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19.xml" ContentType="application/vnd.openxmlformats-officedocument.spreadsheetml.worksheet+xml"/>
  <Override PartName="/xl/worksheets/sheet2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1800" windowWidth="28800" windowHeight="12855" tabRatio="831"/>
  </bookViews>
  <sheets>
    <sheet name="Combined Impacts" sheetId="66" r:id="rId1"/>
    <sheet name="Typical Res Bill Impact" sheetId="56" r:id="rId2"/>
    <sheet name="Work Papers--&gt;" sheetId="51" r:id="rId3"/>
    <sheet name="Individual Impacts--&gt;" sheetId="72" r:id="rId4"/>
    <sheet name="Average Rate Impacts" sheetId="67" r:id="rId5"/>
    <sheet name="Base Rate Impacts" sheetId="65" r:id="rId6"/>
    <sheet name="Sch. 141 Impacts" sheetId="69" r:id="rId7"/>
    <sheet name="Sch. 141X Impacts" sheetId="70" r:id="rId8"/>
    <sheet name="Sch. 149 Impacts" sheetId="71" r:id="rId9"/>
    <sheet name="Rider Revenue Calculation--&gt;" sheetId="28" r:id="rId10"/>
    <sheet name="Schedule 106 Revenue" sheetId="24" r:id="rId11"/>
    <sheet name="Schedule 120 Revenue" sheetId="25" r:id="rId12"/>
    <sheet name="Schedule 129 Revenue" sheetId="11" r:id="rId13"/>
    <sheet name="Schedule 132 Revenue" sheetId="26" r:id="rId14"/>
    <sheet name="Schedule 140 Revenue" sheetId="21" r:id="rId15"/>
    <sheet name="Schedule 141 Revenue" sheetId="18" r:id="rId16"/>
    <sheet name="Schedule 141X Revenue" sheetId="53" r:id="rId17"/>
    <sheet name="Schedule 141Y Revenue" sheetId="61" r:id="rId18"/>
    <sheet name="Sch 142 Revenue (Decoupling)" sheetId="48" r:id="rId19"/>
    <sheet name="Sch 142 Revenue (Rate Plan)" sheetId="16" r:id="rId20"/>
    <sheet name="Schedule 149 Revenue" sheetId="22" r:id="rId21"/>
    <sheet name="Data--&gt;" sheetId="36" r:id="rId22"/>
    <sheet name="Normalized Therms" sheetId="10" r:id="rId23"/>
    <sheet name="12ME Dec18 Rentals" sheetId="37" r:id="rId24"/>
    <sheet name="12ME Dec18 Data" sheetId="15" r:id="rId25"/>
    <sheet name="12ME Dec18 Bill Freq" sheetId="13" r:id="rId26"/>
    <sheet name="12ME Dec18 Norm Therms" sheetId="39" r:id="rId27"/>
    <sheet name="12ME Dec18 Cal Bill Freq" sheetId="40" r:id="rId28"/>
    <sheet name="12ME Dec18 Weather Adj" sheetId="68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</externalReferences>
  <definedNames>
    <definedName name="______Jun09">" BS!$AI$7:$AI$1643"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123Graph_ABUDG6_DSCRPR">[5]Quant!$D$71:$O$71</definedName>
    <definedName name="__123Graph_ABUDG6_ESCRPR1">[5]Quant!$D$100:$O$100</definedName>
    <definedName name="__123Graph_BBUDG6_DSCRPR">[5]Quant!$D$72:$O$72</definedName>
    <definedName name="__123Graph_BBUDG6_ESCRPR1">[5]Quant!$D$88:$O$88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 localSheetId="27">[3]BS!$T$7:$T$3582</definedName>
    <definedName name="__Dec03">[3]BS!$T$7:$T$3582</definedName>
    <definedName name="__Dec04" localSheetId="27">[1]BS!$AC$7:$AC$3580</definedName>
    <definedName name="__Dec04">[1]BS!$AC$7:$AC$3580</definedName>
    <definedName name="__Feb04" localSheetId="18">[1]BS!$S$7:$S$3582</definedName>
    <definedName name="__Feb04" localSheetId="19">[1]BS!$S$7:$S$3582</definedName>
    <definedName name="__Feb04" localSheetId="12">[1]BS!$S$7:$S$3582</definedName>
    <definedName name="__Jan04" localSheetId="18">[1]BS!$R$7:$R$3582</definedName>
    <definedName name="__Jan04" localSheetId="19">[1]BS!$R$7:$R$3582</definedName>
    <definedName name="__Jan04" localSheetId="12">[1]BS!$R$7:$R$3582</definedName>
    <definedName name="__Jul04" localSheetId="27">[1]BS!$X$7:$X$3582</definedName>
    <definedName name="__Jul04">[1]BS!$X$7:$X$3582</definedName>
    <definedName name="__Jul09" xml:space="preserve"> [2]BS!$X$7:$X$1726</definedName>
    <definedName name="__Jun04" localSheetId="27">[1]BS!$W$7:$W$3582</definedName>
    <definedName name="__Jun04">[1]BS!$W$7:$W$3582</definedName>
    <definedName name="__Jun09">" BS!$AI$7:$AI$1643"</definedName>
    <definedName name="__Mar04" localSheetId="18">[1]BS!$T$7:$T$3582</definedName>
    <definedName name="__Mar04" localSheetId="19">[1]BS!$T$7:$T$3582</definedName>
    <definedName name="__Mar04" localSheetId="12">[1]BS!$T$7:$T$3582</definedName>
    <definedName name="__May04" localSheetId="27">[1]BS!$V$7:$V$3582</definedName>
    <definedName name="__May04">[1]BS!$V$7:$V$3582</definedName>
    <definedName name="__Nov03" localSheetId="27">[3]BS!$S$7:$S$3582</definedName>
    <definedName name="__Nov03">[3]BS!$S$7:$S$3582</definedName>
    <definedName name="__Nov04" localSheetId="27">[1]BS!$AB$7:$AB$3582</definedName>
    <definedName name="__Nov04">[1]BS!$AB$7:$AB$3582</definedName>
    <definedName name="__Oct03" localSheetId="27">[3]BS!$R$7:$R$3582</definedName>
    <definedName name="__Oct03">[3]BS!$R$7:$R$3582</definedName>
    <definedName name="__Oct04" localSheetId="27">[1]BS!$AA$7:$AA$3582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 localSheetId="27">[3]BS!$Q$7:$Q$3582</definedName>
    <definedName name="__Sep03">[3]BS!$Q$7:$Q$3582</definedName>
    <definedName name="__Sep04" localSheetId="27">[1]BS!$Z$7:$Z$3582</definedName>
    <definedName name="__Sep04">[1]BS!$Z$7:$Z$3582</definedName>
    <definedName name="_1__123Graph_ABUDG6_D_ESCRPR">[5]Quant!$D$71:$O$71</definedName>
    <definedName name="_3__123Graph_BBUDG6_D_ESCRPR">[5]Quant!$D$72:$O$72</definedName>
    <definedName name="_4__123Graph_BBUDG6_Dtons_inv">[5]Quant!$D$9:$O$9</definedName>
    <definedName name="_5__123Graph_CBUDG6_D_ESCRPR">[5]Quant!$D$100:$O$100</definedName>
    <definedName name="_6__123Graph_DBUDG6_D_ESCRPR">[5]Quant!$D$88:$O$88</definedName>
    <definedName name="_7__123Graph_XBUDG6_D_ESCRPR">[5]Quant!$D$5:$O$5</definedName>
    <definedName name="_8__123Graph_XBUDG6_Dtons_inv">[5]Quant!$D$5:$O$5</definedName>
    <definedName name="_Apr04" localSheetId="27">[1]BS!$U$7:$U$3582</definedName>
    <definedName name="_Apr04">[1]BS!$U$7:$U$3582</definedName>
    <definedName name="_Apr09" xml:space="preserve"> [2]BS!$U$7:$U$1726</definedName>
    <definedName name="_Aug04" localSheetId="27">[1]BS!$Y$7:$Y$3582</definedName>
    <definedName name="_Aug04">[1]BS!$Y$7:$Y$3582</definedName>
    <definedName name="_Aug09" xml:space="preserve"> [2]BS!$Y$7:$Y$1726</definedName>
    <definedName name="_Dec03" localSheetId="27">[3]BS!$T$7:$T$3582</definedName>
    <definedName name="_Dec03">[3]BS!$T$7:$T$3582</definedName>
    <definedName name="_Dec04" localSheetId="27">[1]BS!$AC$7:$AC$3580</definedName>
    <definedName name="_Dec04">[1]BS!$AC$7:$AC$3580</definedName>
    <definedName name="_Dec08" xml:space="preserve"> [2]BS!$Q$7:$Q$1726</definedName>
    <definedName name="_Feb04" localSheetId="27">[1]BS!$S$7:$S$3582</definedName>
    <definedName name="_Feb04">[1]BS!$S$7:$S$3582</definedName>
    <definedName name="_FEB09" xml:space="preserve"> [2]BS!$S$7:$S$1726</definedName>
    <definedName name="_FEDERAL_INCOME_TAX">'[6]MJS-7'!$N$21</definedName>
    <definedName name="_Jan04" localSheetId="27">[1]BS!$R$7:$R$3582</definedName>
    <definedName name="_Jan04">[1]BS!$R$7:$R$3582</definedName>
    <definedName name="_Jul04" localSheetId="27">[1]BS!$X$7:$X$3582</definedName>
    <definedName name="_Jul04">[1]BS!$X$7:$X$3582</definedName>
    <definedName name="_Jul09" xml:space="preserve"> [2]BS!$X$7:$X$1726</definedName>
    <definedName name="_Jun04" localSheetId="27">[1]BS!$W$7:$W$3582</definedName>
    <definedName name="_Jun04">[1]BS!$W$7:$W$3582</definedName>
    <definedName name="_Jun09" xml:space="preserve"> [2]BS!$W$7:$W$1726</definedName>
    <definedName name="_Mar04" localSheetId="27">[1]BS!$T$7:$T$3582</definedName>
    <definedName name="_Mar04">[1]BS!$T$7:$T$3582</definedName>
    <definedName name="_May04" localSheetId="27">[1]BS!$V$7:$V$3582</definedName>
    <definedName name="_May04">[1]BS!$V$7:$V$3582</definedName>
    <definedName name="_May09" xml:space="preserve"> [2]BS!$V$7:$V$1726</definedName>
    <definedName name="_Nov03" localSheetId="27">[3]BS!$S$7:$S$3582</definedName>
    <definedName name="_Nov03">[3]BS!$S$7:$S$3582</definedName>
    <definedName name="_Nov04" localSheetId="27">[1]BS!$AB$7:$AB$3582</definedName>
    <definedName name="_Nov04">[1]BS!$AB$7:$AB$3582</definedName>
    <definedName name="_Oct03" localSheetId="27">[3]BS!$R$7:$R$3582</definedName>
    <definedName name="_Oct03">[3]BS!$R$7:$R$3582</definedName>
    <definedName name="_Oct04" localSheetId="27">[1]BS!$AA$7:$AA$3582</definedName>
    <definedName name="_Oct04">[1]BS!$AA$7:$AA$3582</definedName>
    <definedName name="_Oct09" xml:space="preserve"> [2]BS!$AA$7:$AA$1726</definedName>
    <definedName name="_Order1" localSheetId="22">0</definedName>
    <definedName name="_Order1" localSheetId="18">255</definedName>
    <definedName name="_Order1" localSheetId="19">255</definedName>
    <definedName name="_Order1" localSheetId="12">0</definedName>
    <definedName name="_Order1" localSheetId="15">0</definedName>
    <definedName name="_Order1" localSheetId="16">0</definedName>
    <definedName name="_Order1" localSheetId="1">0</definedName>
    <definedName name="_Order1">255</definedName>
    <definedName name="_Order2" localSheetId="22">0</definedName>
    <definedName name="_Order2" localSheetId="18">255</definedName>
    <definedName name="_Order2" localSheetId="19">255</definedName>
    <definedName name="_Order2" localSheetId="12">0</definedName>
    <definedName name="_Order2" localSheetId="15">0</definedName>
    <definedName name="_Order2" localSheetId="16">0</definedName>
    <definedName name="_Order2" localSheetId="1">0</definedName>
    <definedName name="_Order2">255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SEC24">[4]EXTERNAL!$A$112:$IV$114</definedName>
    <definedName name="_Sep03" localSheetId="27">[3]BS!$Q$7:$Q$3582</definedName>
    <definedName name="_Sep03">[3]BS!$Q$7:$Q$3582</definedName>
    <definedName name="_Sep04" localSheetId="27">[1]BS!$Z$7:$Z$3582</definedName>
    <definedName name="_Sep04">[1]BS!$Z$7:$Z$3582</definedName>
    <definedName name="AccessDatabase">"I:\COMTREL\FINICLE\TradeSummary.mdb"</definedName>
    <definedName name="Acct2281SO">'[7]Func Study'!$H$2190</definedName>
    <definedName name="Acct2283SO">'[7]Func Study'!$H$2198</definedName>
    <definedName name="Acct228SO">'[7]Func Study'!$H$2194</definedName>
    <definedName name="Acct350">'[7]Func Study'!$H$1628</definedName>
    <definedName name="Acct352">'[7]Func Study'!$H$1635</definedName>
    <definedName name="Acct353">'[7]Func Study'!$H$1641</definedName>
    <definedName name="Acct354">'[7]Func Study'!$H$1647</definedName>
    <definedName name="Acct355">'[7]Func Study'!$H$1654</definedName>
    <definedName name="Acct356">'[7]Func Study'!$H$1660</definedName>
    <definedName name="Acct357">'[7]Func Study'!$H$1666</definedName>
    <definedName name="Acct358">'[7]Func Study'!$H$1672</definedName>
    <definedName name="Acct359">'[7]Func Study'!$H$1678</definedName>
    <definedName name="Acct360">'[7]Func Study'!$H$1698</definedName>
    <definedName name="Acct361">'[7]Func Study'!$H$1704</definedName>
    <definedName name="Acct362">'[7]Func Study'!$H$1710</definedName>
    <definedName name="Acct364">'[7]Func Study'!$H$1717</definedName>
    <definedName name="Acct365">'[7]Func Study'!$H$1724</definedName>
    <definedName name="Acct366">'[7]Func Study'!$H$1731</definedName>
    <definedName name="Acct367">'[7]Func Study'!$H$1738</definedName>
    <definedName name="Acct368">'[7]Func Study'!$H$1744</definedName>
    <definedName name="Acct369">'[7]Func Study'!$H$1751</definedName>
    <definedName name="Acct370">'[7]Func Study'!$H$1762</definedName>
    <definedName name="Acct371">'[7]Func Study'!$H$1769</definedName>
    <definedName name="Acct372">'[7]Func Study'!$H$1776</definedName>
    <definedName name="Acct372A">'[7]Func Study'!$H$1775</definedName>
    <definedName name="Acct372DP">'[7]Func Study'!$H$1773</definedName>
    <definedName name="Acct372DS">'[7]Func Study'!$H$1774</definedName>
    <definedName name="Acct373">'[7]Func Study'!$H$1782</definedName>
    <definedName name="Acct448S">'[7]Func Study'!$H$274</definedName>
    <definedName name="Acct450S">'[7]Func Study'!$H$302</definedName>
    <definedName name="Acct451S">'[7]Func Study'!$H$307</definedName>
    <definedName name="Acct454S">'[7]Func Study'!$H$318</definedName>
    <definedName name="Acct456S">'[7]Func Study'!$H$325</definedName>
    <definedName name="ACCT557CAGE">'[7]Func Study'!$H$683</definedName>
    <definedName name="Acct557CT">'[7]Func Study'!$H$681</definedName>
    <definedName name="Acct580">'[7]Func Study'!$H$791</definedName>
    <definedName name="Acct581">'[7]Func Study'!$H$796</definedName>
    <definedName name="Acct582">'[7]Func Study'!$H$801</definedName>
    <definedName name="Acct583">'[7]Func Study'!$H$806</definedName>
    <definedName name="Acct584">'[7]Func Study'!$H$811</definedName>
    <definedName name="Acct585">'[7]Func Study'!$H$816</definedName>
    <definedName name="Acct586">'[7]Func Study'!$H$821</definedName>
    <definedName name="Acct587">'[7]Func Study'!$H$826</definedName>
    <definedName name="Acct588">'[7]Func Study'!$H$831</definedName>
    <definedName name="Acct589">'[7]Func Study'!$H$836</definedName>
    <definedName name="Acct590">'[7]Func Study'!$H$841</definedName>
    <definedName name="Acct591">'[7]Func Study'!$H$846</definedName>
    <definedName name="Acct592">'[7]Func Study'!$H$851</definedName>
    <definedName name="Acct593">'[7]Func Study'!$H$856</definedName>
    <definedName name="Acct594">'[7]Func Study'!$H$861</definedName>
    <definedName name="Acct595">'[7]Func Study'!$H$866</definedName>
    <definedName name="Acct596">'[7]Func Study'!$H$876</definedName>
    <definedName name="Acct597">'[7]Func Study'!$H$881</definedName>
    <definedName name="Acct598">'[7]Func Study'!$H$886</definedName>
    <definedName name="AcctAGA">'[7]Func Study'!$H$296</definedName>
    <definedName name="AcctTable">[8]Variables!$AK$42:$AK$396</definedName>
    <definedName name="AcctTS0">'[7]Func Study'!$H$1686</definedName>
    <definedName name="Acq1Plant" localSheetId="27">'[9]Acquisition Inputs'!$C$8</definedName>
    <definedName name="Acq1Plant">'[9]Acquisition Inputs'!$C$8</definedName>
    <definedName name="Acq2Plant" localSheetId="27">'[9]Acquisition Inputs'!$C$70</definedName>
    <definedName name="Acq2Plant">'[9]Acquisition Inputs'!$C$70</definedName>
    <definedName name="ActualROR">'[10]G+T+D+R+M'!$H$61</definedName>
    <definedName name="ADJPTDCE.T">[4]INTERNAL!$A$31:$IV$33</definedName>
    <definedName name="Adjs2avg">[11]Inputs!$L$255:'[11]Inputs'!$T$505</definedName>
    <definedName name="After_Tax_Cash_Discount">'[12]Assumptions (Input)'!$D$37</definedName>
    <definedName name="afudc_flag">'[12]Assumptions (Input)'!$B$13</definedName>
    <definedName name="ANCIL">[4]EXTERNAL!$A$163:$IV$165</definedName>
    <definedName name="Apr04AMA" localSheetId="27">[1]BS!$AG$7:$AG$3582</definedName>
    <definedName name="Apr04AMA">[1]BS!$AG$7:$AG$3582</definedName>
    <definedName name="APR09AMA">[2]BS!$AN$7:$AN$1725</definedName>
    <definedName name="Apr10AMA">[2]BS!$AZ$7:$AZ$1726</definedName>
    <definedName name="aquila_lookup">'[13]Cabot Gas Replacement'!$B$8:$F$16</definedName>
    <definedName name="AS2DocOpenMode">"AS2DocumentEdit"</definedName>
    <definedName name="Assessment_Rate">'[12]Assumptions (Input)'!$B$7</definedName>
    <definedName name="Asset_Class_Switch">[14]Assumptions!$D$5</definedName>
    <definedName name="Aug04AMA" localSheetId="27">[1]BS!$AK$7:$AK$3582</definedName>
    <definedName name="Aug04AMA">[1]BS!$AK$7:$AK$3582</definedName>
    <definedName name="Aug09AMA">[2]BS!$AR$7:$AR$1726</definedName>
    <definedName name="Aurora_Prices">"Monthly Price Summary'!$C$4:$H$63"</definedName>
    <definedName name="AvgFactors">[8]Factors!$B$3:$P$99</definedName>
    <definedName name="Beg_Unb_KWHs" localSheetId="28">[15]LeadSht!$L$10</definedName>
    <definedName name="Beg_Unb_KWHs">[16]LeadSht!$L$10</definedName>
    <definedName name="BOOK_LIFE">'[17]Lvl FCR'!$G$10</definedName>
    <definedName name="BPAX">[4]EXTERNAL!$A$121:$IV$123</definedName>
    <definedName name="Button_1">"TradeSummary_Ken_Finicle_List"</definedName>
    <definedName name="CAE.T">[4]INTERNAL!$A$34:$IV$36</definedName>
    <definedName name="CAES1.T">[4]INTERNAL!$A$37:$IV$39</definedName>
    <definedName name="cap">[18]Readings!$B$2</definedName>
    <definedName name="Capital_Inflation">'[12]Assumptions (Input)'!$B$11</definedName>
    <definedName name="CASE" localSheetId="18">[19]INPUTS!$C$8</definedName>
    <definedName name="CASE" localSheetId="19">[19]INPUTS!$C$8</definedName>
    <definedName name="CASE" localSheetId="12">[19]INPUTS!$C$8</definedName>
    <definedName name="CASE">[20]INPUTS!$C$11</definedName>
    <definedName name="Case_Name">'[21]KJB-6,13 Cmn Adj'!$B$8</definedName>
    <definedName name="CaseDescription" localSheetId="27">'[9]Dispatch Cases'!$C$11</definedName>
    <definedName name="CaseDescription">'[9]Dispatch Cases'!$C$11</definedName>
    <definedName name="CBWorkbookPriority">-2060790043</definedName>
    <definedName name="CCGT_HeatRate" localSheetId="27">[9]Assumptions!$H$23</definedName>
    <definedName name="CCGT_HeatRate">[9]Assumptions!$H$23</definedName>
    <definedName name="CCGTPrice" localSheetId="27">[9]Assumptions!$H$22</definedName>
    <definedName name="CCGTPrice">[9]Assumptions!$H$22</definedName>
    <definedName name="CL_RT2">'[22]Transp Data'!$A$6:$C$81</definedName>
    <definedName name="Close_Date">'[12]Capital Projects(Input)'!$D$7:$D$53</definedName>
    <definedName name="Construction_OH">'[23]Virtual 49 Back-Up'!$E$54</definedName>
    <definedName name="ConversionFactor" localSheetId="27">[9]Assumptions!$I$65</definedName>
    <definedName name="ConversionFactor">[9]Assumptions!$I$65</definedName>
    <definedName name="COSFacVal">[7]Inputs!$R$5</definedName>
    <definedName name="CurrQtr">'[24]Inc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'[25]Mix Variance'!$B$1:$N$31</definedName>
    <definedName name="Data.Avg">'[24]Avg Amts'!$A$5:$BP$34</definedName>
    <definedName name="Data.Qtrs.Avg">'[24]Avg Amts'!$A$5:$IV$5</definedName>
    <definedName name="data1">'[26]Mix Variance'!$O$5:$T$25</definedName>
    <definedName name="DebtPerc" localSheetId="27">[9]Assumptions!$I$58</definedName>
    <definedName name="DebtPerc">[9]Assumptions!$I$58</definedName>
    <definedName name="Dec03AMA" localSheetId="27">[3]BS!$AJ$7:$AJ$3582</definedName>
    <definedName name="Dec03AMA">[3]BS!$AJ$7:$AJ$3582</definedName>
    <definedName name="Dec04AMA" localSheetId="27">[1]BS!$AO$7:$AO$3582</definedName>
    <definedName name="Dec04AMA">[1]BS!$AO$7:$AO$3582</definedName>
    <definedName name="Dec08AMA">[2]BS!$AJ$7:$AJ$1726</definedName>
    <definedName name="Dec09AMA">[2]BS!$AV$7:$AV$1726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[27]Inputs!$D$11</definedName>
    <definedName name="DES1.T">[4]INTERNAL!$A$40:$IV$42</definedName>
    <definedName name="DES2.T">[4]INTERNAL!$A$43:$IV$45</definedName>
    <definedName name="DF_HeatRate" localSheetId="27">[9]Assumptions!$L$23</definedName>
    <definedName name="DF_HeatRate">[9]Assumptions!$L$23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'[7]Func Study'!$AB$250</definedName>
    <definedName name="Discount_for_Revenue_Reqmt">'[28]Assumptions of Purchase'!$B$45</definedName>
    <definedName name="DisFac">'[7]Func Dist Factor Table'!$A$11:$G$25</definedName>
    <definedName name="DocketNumber">'[29]JHS-4'!$AP$2</definedName>
    <definedName name="DP.T">[4]INTERNAL!$A$46:$IV$48</definedName>
    <definedName name="EBFIT.T">[4]INTERNAL!$A$88:$IV$90</definedName>
    <definedName name="EffTax" localSheetId="18">[4]INPUTS!$F$31</definedName>
    <definedName name="EffTax" localSheetId="19">[4]INPUTS!$F$31</definedName>
    <definedName name="EffTax" localSheetId="12">[4]INPUTS!$F$31</definedName>
    <definedName name="EffTax">[20]INPUTS!$F$36</definedName>
    <definedName name="Electric_Prices" localSheetId="27">'[30]Monthly Price Summary'!$B$4:$E$27</definedName>
    <definedName name="Electric_Prices">'[30]Monthly Price Summary'!$B$4:$E$27</definedName>
    <definedName name="ElRBLine" localSheetId="27">[1]BS!$AQ$7:$AQ$3303</definedName>
    <definedName name="ElRBLine">[1]BS!$AQ$7:$AQ$3303</definedName>
    <definedName name="EndDate" localSheetId="27">[9]Assumptions!$C$11</definedName>
    <definedName name="EndDate">[9]Assumptions!$C$11</definedName>
    <definedName name="ENERGY_1">[4]EXTERNAL!$A$4:$IV$6</definedName>
    <definedName name="ENERGY_2">[4]EXTERNAL!$A$145:$IV$147</definedName>
    <definedName name="Engy">[10]Inputs!$D$9</definedName>
    <definedName name="Engy2">[27]Inputs!$D$12</definedName>
    <definedName name="EPIS.T">[4]INTERNAL!$A$49:$IV$51</definedName>
    <definedName name="Escalator">1.025</definedName>
    <definedName name="Exhibit_No.______MJS_4">'[6]MJS-4'!$O$3</definedName>
    <definedName name="Exhibit_No.______MJS_5">'[6]MJS-5'!$E$3</definedName>
    <definedName name="Exhibit_No.______MJS_6">'[6]MJS-6'!$F$3</definedName>
    <definedName name="Factorck">'[7]COS Factor Table'!$O$15:$O$113</definedName>
    <definedName name="FactorType">[8]Variables!$AK$2:$AL$12</definedName>
    <definedName name="FactSum">'[7]COS Factor Table'!$A$14:$O$113</definedName>
    <definedName name="FCR">'[23]Virtual 49 Back-Up'!$B$20</definedName>
    <definedName name="Feb04AMA" localSheetId="27">[1]BS!$AE$7:$AE$3582</definedName>
    <definedName name="Feb04AMA">[1]BS!$AE$7:$AE$3582</definedName>
    <definedName name="Feb09AMA">[2]BS!$AL$7:$AL$1725</definedName>
    <definedName name="Feb10AMA">[2]BS!$AX$7:$AX$1726</definedName>
    <definedName name="Fed_Cap_Tax" localSheetId="27">[31]Inputs!$E$112</definedName>
    <definedName name="Fed_Cap_Tax">[31]Inputs!$E$112</definedName>
    <definedName name="FedTaxRate" localSheetId="27">[9]Assumptions!$C$33</definedName>
    <definedName name="FedTaxRate">[9]Assumptions!$C$33</definedName>
    <definedName name="FERC_Lookup">'[32]Map Table'!$E$2:$F$58</definedName>
    <definedName name="FIT">'[33]ROR &amp; CONV FACTOR'!$J$20</definedName>
    <definedName name="FIT_Tax_Rate">'[12]Assumptions (Input)'!$B$5</definedName>
    <definedName name="FranchiseTax">[11]Variables!$D$26</definedName>
    <definedName name="FTAX" localSheetId="18">[4]INPUTS!$F$30</definedName>
    <definedName name="FTAX" localSheetId="19">[4]INPUTS!$F$30</definedName>
    <definedName name="FTAX" localSheetId="12">[4]INPUTS!$F$30</definedName>
    <definedName name="FTAX">[20]INPUTS!$F$35</definedName>
    <definedName name="Func">'[7]Func Factor Table'!$A$10:$H$77</definedName>
    <definedName name="Function">'[7]Func Study'!$AB$250</definedName>
    <definedName name="GasRBLine" localSheetId="27">[1]BS!$AS$7:$AS$3631</definedName>
    <definedName name="GasRBLine">[1]BS!$AS$7:$AS$3631</definedName>
    <definedName name="GasWC_LineItem" localSheetId="27">[1]BS!$AR$7:$AR$3631</definedName>
    <definedName name="GasWC_LineItem">[1]BS!$AR$7:$AR$3631</definedName>
    <definedName name="GP.T">[4]INTERNAL!$A$52:$IV$54</definedName>
    <definedName name="HTML_CodePage">1252</definedName>
    <definedName name="HTML_Control" localSheetId="25">{"'Sheet1'!$A$1:$J$121"}</definedName>
    <definedName name="HTML_Control" localSheetId="27">{"'Sheet1'!$A$1:$J$121"}</definedName>
    <definedName name="HTML_Control" localSheetId="26">{"'Sheet1'!$A$1:$J$121"}</definedName>
    <definedName name="HTML_Control" localSheetId="28">{"'Sheet1'!$A$1:$J$121"}</definedName>
    <definedName name="HTML_Control" localSheetId="4">{"'Sheet1'!$A$1:$J$121"}</definedName>
    <definedName name="HTML_Control" localSheetId="5">{"'Sheet1'!$A$1:$J$121"}</definedName>
    <definedName name="HTML_Control" localSheetId="0">{"'Sheet1'!$A$1:$J$121"}</definedName>
    <definedName name="HTML_Control" localSheetId="18">{"'Sheet1'!$A$1:$J$121"}</definedName>
    <definedName name="HTML_Control" localSheetId="19">{"'Sheet1'!$A$1:$J$121"}</definedName>
    <definedName name="HTML_Control" localSheetId="6">{"'Sheet1'!$A$1:$J$121"}</definedName>
    <definedName name="HTML_Control" localSheetId="7">{"'Sheet1'!$A$1:$J$121"}</definedName>
    <definedName name="HTML_Control" localSheetId="8">{"'Sheet1'!$A$1:$J$121"}</definedName>
    <definedName name="HTML_Control" localSheetId="12">{"'Sheet1'!$A$1:$J$121"}</definedName>
    <definedName name="HTML_Control" localSheetId="1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taxrate">0.4</definedName>
    <definedName name="Insurance_Rate">'[12]Assumptions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Z_SCORE">"c1339"</definedName>
    <definedName name="Jan04AMA" localSheetId="27">[1]BS!$AD$7:$AD$3582</definedName>
    <definedName name="Jan04AMA">[1]BS!$AD$7:$AD$3582</definedName>
    <definedName name="Jan09AMA">[2]BS!$AK$7:$AK$1743</definedName>
    <definedName name="Jan10AMA">[2]BS!$AW$7:$AW$1726</definedName>
    <definedName name="jjj">[34]Inputs!$N$18</definedName>
    <definedName name="JP_Bal" localSheetId="28">[35]ACCOUNTS!$AG$31</definedName>
    <definedName name="JP_Bal">[36]ACCOUNTS!$AG$31</definedName>
    <definedName name="Jul04AMA" localSheetId="27">[1]BS!$AJ$7:$AJ$3582</definedName>
    <definedName name="Jul04AMA">[1]BS!$AJ$7:$AJ$3582</definedName>
    <definedName name="Jul09AMA">[2]BS!$AQ$7:$AQ$1726</definedName>
    <definedName name="Jun04AMA" localSheetId="27">[1]BS!$AI$7:$AI$3582</definedName>
    <definedName name="Jun04AMA">[1]BS!$AI$7:$AI$3582</definedName>
    <definedName name="Jun09AMA">[2]BS!$AP$7:$AP$1726</definedName>
    <definedName name="Jun10AMA">[2]BS!$BB$7:$BB$1726</definedName>
    <definedName name="Jurisdiction">[8]Variables!$AK$15</definedName>
    <definedName name="JurisNumber">[8]Variables!$AL$15</definedName>
    <definedName name="k_Docket_Number">'[21]KJB-12 Sum'!$AS$2</definedName>
    <definedName name="k_FITrate">'[21]KJB-3,11 Def'!$L$20</definedName>
    <definedName name="keep_Docket_Number">'[37]KJB-3 Sum'!$AQ$2</definedName>
    <definedName name="keep_FIT">'[37]KJB-7 Def'!$L$20</definedName>
    <definedName name="keep_KJB_3_Rate_Increase">'[37]KJB-7 Def'!$C$3</definedName>
    <definedName name="keep_KJB_4_Electric_Summary">'[37]KJB-3 Sum'!$AQ$3</definedName>
    <definedName name="keep_KJB_8_Common_Adjs">'[37]KJB-5 Cmn Adj'!$L$3</definedName>
    <definedName name="keep_KJB_9_Electric_Only">'[37]KJB-5 El Adj'!$E$3</definedName>
    <definedName name="keep_PSE">'[38]Gas Summary'!$I$5</definedName>
    <definedName name="keep_TESTYEAR">'[38]Gas Detail Pages'!$A$8</definedName>
    <definedName name="kp_DOCKET">'[38]Gas Detail Pages'!$A$9</definedName>
    <definedName name="Last_Row" localSheetId="28">IF('12ME Dec18 Weather Adj'!Values_Entered,Header_Row+'12ME Dec18 Weather Adj'!Number_of_Payments,Header_Row)</definedName>
    <definedName name="Last_Row" localSheetId="4">IF('Average Rate Impacts'!Values_Entered,Header_Row+'Average Rate Impacts'!Number_of_Payments,Header_Row)</definedName>
    <definedName name="Last_Row" localSheetId="5">IF('Base Rate Impacts'!Values_Entered,Header_Row+'Base Rate Impacts'!Number_of_Payments,Header_Row)</definedName>
    <definedName name="Last_Row" localSheetId="0">IF('Combined Impacts'!Values_Entered,Header_Row+'Combined Impacts'!Number_of_Payments,Header_Row)</definedName>
    <definedName name="Last_Row" localSheetId="18">IF('Sch 142 Revenue (Decoupling)'!Values_Entered,Header_Row+'Sch 142 Revenue (Decoupling)'!Number_of_Payments,Header_Row)</definedName>
    <definedName name="Last_Row" localSheetId="19">IF('Sch 142 Revenue (Rate Plan)'!Values_Entered,Header_Row+'Sch 142 Revenue (Rate Plan)'!Number_of_Payments,Header_Row)</definedName>
    <definedName name="Last_Row" localSheetId="6">IF('Sch. 141 Impacts'!Values_Entered,Header_Row+'Sch. 141 Impacts'!Number_of_Payments,Header_Row)</definedName>
    <definedName name="Last_Row" localSheetId="7">IF('Sch. 141X Impacts'!Values_Entered,Header_Row+'Sch. 141X Impacts'!Number_of_Payments,Header_Row)</definedName>
    <definedName name="Last_Row" localSheetId="8">IF('Sch. 149 Impacts'!Values_Entered,Header_Row+'Sch. 149 Impacts'!Number_of_Payments,Header_Row)</definedName>
    <definedName name="Last_Row" localSheetId="13">IF('Schedule 132 Revenue'!Values_Entered,Header_Row+'Schedule 132 Revenue'!Number_of_Payments,Header_Row)</definedName>
    <definedName name="Last_Row" localSheetId="14">IF('Schedule 140 Revenue'!Values_Entered,Header_Row+'Schedule 140 Revenue'!Number_of_Payments,Header_Row)</definedName>
    <definedName name="Last_Row" localSheetId="16">IF('Schedule 141X Revenue'!Values_Entered,Header_Row+'Schedule 141X Revenue'!Number_of_Payments,Header_Row)</definedName>
    <definedName name="Last_Row" localSheetId="17">IF('Schedule 141Y Revenue'!Values_Entered,Header_Row+'Schedule 141Y Revenue'!Number_of_Payments,Header_Row)</definedName>
    <definedName name="Last_Row" localSheetId="20">IF('Schedule 149 Revenue'!Values_Entered,Header_Row+'Schedule 149 Revenue'!Number_of_Payments,Header_Row)</definedName>
    <definedName name="Last_Row" localSheetId="1">IF('Typical Res Bill Impact'!Values_Entered,Header_Row+'Typical Res Bill Impact'!Number_of_Payments,Header_Row)</definedName>
    <definedName name="Last_Row">IF([0]!Values_Entered,Header_Row+[0]!Number_of_Payments,Header_Row)</definedName>
    <definedName name="Levy_Rate">'[12]Assumptions (Input)'!$B$6</definedName>
    <definedName name="limcount">1</definedName>
    <definedName name="LINE.T">[4]INTERNAL!$A$55:$IV$57</definedName>
    <definedName name="LinkCos">'[7]JAM Download'!$K$4</definedName>
    <definedName name="Load_Factor" localSheetId="28">[35]ACCOUNTS!$AG$167</definedName>
    <definedName name="Load_Factor">[36]ACCOUNTS!$AG$167</definedName>
    <definedName name="LoadArray">'[39]Load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9100F4_v4">[40]M9100F4!$A$1:$V$99</definedName>
    <definedName name="MACRS">'[12]MACRS RATES'!$A$3:$AT$10</definedName>
    <definedName name="Mar04AMA" localSheetId="27">[1]BS!$AF$7:$AF$3582</definedName>
    <definedName name="Mar04AMA">[1]BS!$AF$7:$AF$3582</definedName>
    <definedName name="MAR09AMA">[2]BS!$AM$7:$AM$1725</definedName>
    <definedName name="Mar10AMA">[2]BS!$AY$7:$AY$1726</definedName>
    <definedName name="May04AMA" localSheetId="27">[1]BS!$AH$7:$AH$3582</definedName>
    <definedName name="May04AMA">[1]BS!$AH$7:$AH$3582</definedName>
    <definedName name="MAY09AMA">[2]BS!$AO$7:$AO$1726</definedName>
    <definedName name="May10AMA">[2]BS!$BA$7:$BA$1726</definedName>
    <definedName name="menu1_Button5_Click" localSheetId="4">[41]!menu1_Button5_Click</definedName>
    <definedName name="menu1_Button5_Click" localSheetId="5">[41]!menu1_Button5_Click</definedName>
    <definedName name="menu1_Button5_Click" localSheetId="0">[41]!menu1_Button5_Click</definedName>
    <definedName name="menu1_Button5_Click" localSheetId="19">[41]!menu1_Button5_Click</definedName>
    <definedName name="menu1_Button5_Click" localSheetId="6">[41]!menu1_Button5_Click</definedName>
    <definedName name="menu1_Button5_Click" localSheetId="7">[41]!menu1_Button5_Click</definedName>
    <definedName name="menu1_Button5_Click" localSheetId="8">[41]!menu1_Button5_Click</definedName>
    <definedName name="menu1_Button5_Click" localSheetId="13">[41]!menu1_Button5_Click</definedName>
    <definedName name="menu1_Button5_Click" localSheetId="14">[41]!menu1_Button5_Click</definedName>
    <definedName name="menu1_Button5_Click" localSheetId="16">[41]!menu1_Button5_Click</definedName>
    <definedName name="menu1_Button5_Click" localSheetId="17">[41]!menu1_Button5_Click</definedName>
    <definedName name="menu1_Button5_Click" localSheetId="20">[41]!menu1_Button5_Click</definedName>
    <definedName name="menu1_Button5_Click">[41]!menu1_Button5_Click</definedName>
    <definedName name="menu1_Button6_Click" localSheetId="4">[41]!menu1_Button6_Click</definedName>
    <definedName name="menu1_Button6_Click" localSheetId="5">[41]!menu1_Button6_Click</definedName>
    <definedName name="menu1_Button6_Click" localSheetId="0">[41]!menu1_Button6_Click</definedName>
    <definedName name="menu1_Button6_Click" localSheetId="19">[41]!menu1_Button6_Click</definedName>
    <definedName name="menu1_Button6_Click" localSheetId="6">[41]!menu1_Button6_Click</definedName>
    <definedName name="menu1_Button6_Click" localSheetId="7">[41]!menu1_Button6_Click</definedName>
    <definedName name="menu1_Button6_Click" localSheetId="8">[41]!menu1_Button6_Click</definedName>
    <definedName name="menu1_Button6_Click" localSheetId="13">[41]!menu1_Button6_Click</definedName>
    <definedName name="menu1_Button6_Click" localSheetId="14">[41]!menu1_Button6_Click</definedName>
    <definedName name="menu1_Button6_Click" localSheetId="16">[41]!menu1_Button6_Click</definedName>
    <definedName name="menu1_Button6_Click" localSheetId="17">[41]!menu1_Button6_Click</definedName>
    <definedName name="menu1_Button6_Click" localSheetId="20">[41]!menu1_Button6_Click</definedName>
    <definedName name="menu1_Button6_Click">[41]!menu1_Button6_Click</definedName>
    <definedName name="MERGER_COST" localSheetId="18">[42]Sheet1!$AF$3:$AJ$28</definedName>
    <definedName name="MERGER_COST" localSheetId="19">[42]Sheet1!$AF$3:$AJ$28</definedName>
    <definedName name="MERGER_COST" localSheetId="12">[42]Sheet1!$AF$3:$AJ$28</definedName>
    <definedName name="MERGER_COST">[43]Sheet1!$AF$3:$AJ$28</definedName>
    <definedName name="METER">[4]EXTERNAL!$A$34:$IV$36</definedName>
    <definedName name="Method">[10]Inputs!$C$6</definedName>
    <definedName name="monthlist">[44]Table!$R$2:$S$13</definedName>
    <definedName name="monthtotals">'[44]WA SBC'!$D$40:$O$40</definedName>
    <definedName name="MTD_Format" localSheetId="27">[45]Mthly!$B$11:$D$11,[45]Mthly!$B$32:$D$32</definedName>
    <definedName name="MTD_Format" localSheetId="18">[46]Mthly!$B$11:$D$11,[46]Mthly!$B$35:$D$35</definedName>
    <definedName name="MTD_Format" localSheetId="19">[46]Mthly!$B$11:$D$11,[46]Mthly!$B$35:$D$35</definedName>
    <definedName name="MTD_Format" localSheetId="12">[46]Mthly!$B$11:$D$11,[46]Mthly!$B$35:$D$35</definedName>
    <definedName name="MTD_Format">[45]Mthly!$B$11:$D$11,[45]Mthly!$B$32:$D$32</definedName>
    <definedName name="MTR_YR3">[47]Variables!$E$14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[7]Inputs!$G$8</definedName>
    <definedName name="NetToGross">[11]Variables!$D$23</definedName>
    <definedName name="Nov03AMA" localSheetId="27">[3]BS!$AI$7:$AI$3582</definedName>
    <definedName name="Nov03AMA">[3]BS!$AI$7:$AI$3582</definedName>
    <definedName name="Nov04AMA" localSheetId="27">[1]BS!$AN$7:$AN$3582</definedName>
    <definedName name="Nov04AMA">[1]BS!$AN$7:$AN$3582</definedName>
    <definedName name="Nov09AMA">[2]BS!$AU$7:$AU$1726</definedName>
    <definedName name="NPC">[48]Inputs!$N$18</definedName>
    <definedName name="NRG">[4]CLASSIFIERS!$A$5:$IV$5</definedName>
    <definedName name="Number_of_Payments" localSheetId="28">MATCH(0.01,End_Bal,-1)+1</definedName>
    <definedName name="Number_of_Payments" localSheetId="4">MATCH(0.01,End_Bal,-1)+1</definedName>
    <definedName name="Number_of_Payments" localSheetId="5">MATCH(0.01,End_Bal,-1)+1</definedName>
    <definedName name="Number_of_Payments" localSheetId="0">MATCH(0.01,End_Bal,-1)+1</definedName>
    <definedName name="Number_of_Payments" localSheetId="18">MATCH(0.01,End_Bal,-1)+1</definedName>
    <definedName name="Number_of_Payments" localSheetId="19">MATCH(0.01,End_Bal,-1)+1</definedName>
    <definedName name="Number_of_Payments" localSheetId="6">MATCH(0.01,End_Bal,-1)+1</definedName>
    <definedName name="Number_of_Payments" localSheetId="7">MATCH(0.01,End_Bal,-1)+1</definedName>
    <definedName name="Number_of_Payments" localSheetId="8">MATCH(0.01,End_Bal,-1)+1</definedName>
    <definedName name="Number_of_Payments" localSheetId="13">MATCH(0.01,End_Bal,-1)+1</definedName>
    <definedName name="Number_of_Payments" localSheetId="14">MATCH(0.01,End_Bal,-1)+1</definedName>
    <definedName name="Number_of_Payments" localSheetId="16">MATCH(0.01,End_Bal,-1)+1</definedName>
    <definedName name="Number_of_Payments" localSheetId="17">MATCH(0.01,End_Bal,-1)+1</definedName>
    <definedName name="Number_of_Payments" localSheetId="20">MATCH(0.01,End_Bal,-1)+1</definedName>
    <definedName name="Number_of_Payments" localSheetId="1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'[12]MiscItems(Input)'!$B$5:$AO$8,'[12]MiscItems(Input)'!$B$13:$AO$13,'[12]MiscItems(Input)'!$B$15:$B$17,'[12]MiscItems(Input)'!$B$17:$AO$17,'[12]MiscItems(Input)'!$B$15:$AO$15</definedName>
    <definedName name="O_M_Rate">'[23]Virtual 49 Back-Up'!$B$21</definedName>
    <definedName name="Oct03AMA" localSheetId="27">[3]BS!$AH$7:$AH$3582</definedName>
    <definedName name="Oct03AMA">[3]BS!$AH$7:$AH$3582</definedName>
    <definedName name="Oct04AMA" localSheetId="27">[1]BS!$AM$7:$AM$3582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'[49]Dist Misc'!$F$120</definedName>
    <definedName name="OthRCF">[19]INPUTS!$F$41</definedName>
    <definedName name="OthUnc">[4]INPUTS!$F$36</definedName>
    <definedName name="outlookdata">'[50]pivoted data'!$D$3:$Q$90</definedName>
    <definedName name="peak_new_table">'[51]2008 Extreme Peaks - 080403'!$E$5:$AD$8</definedName>
    <definedName name="peak_table">'[51]Peaks-F01'!$C$5:$E$243</definedName>
    <definedName name="PeakMethod">[10]Inputs!$T$5</definedName>
    <definedName name="Percent_debt" localSheetId="27">[31]Inputs!$E$129</definedName>
    <definedName name="Percent_debt">[31]Inputs!$E$129</definedName>
    <definedName name="Plant_Input">'[12]Plant(Input)'!$B$7:$AP$9,'[12]Plant(Input)'!$B$11,'[12]Plant(Input)'!$B$15:$AP$15,'[12]Plant(Input)'!$B$18,'[12]Plant(Input)'!$B$20:$AP$20</definedName>
    <definedName name="POWER.T">[4]INTERNAL!$A$58:$IV$60</definedName>
    <definedName name="PP.T">[4]INTERNAL!$A$61:$IV$63</definedName>
    <definedName name="PreTaxDebtCost" localSheetId="27">[9]Assumptions!$I$56</definedName>
    <definedName name="PreTaxDebtCost">[9]Assumptions!$I$56</definedName>
    <definedName name="PreTaxWACC" localSheetId="27">[9]Assumptions!$I$62</definedName>
    <definedName name="PreTaxWACC">[9]Assumptions!$I$62</definedName>
    <definedName name="Prices_Aurora" localSheetId="27">'[30]Monthly Price Summary'!$C$4:$H$63</definedName>
    <definedName name="Prices_Aurora">'[30]Monthly Price Summary'!$C$4:$H$63</definedName>
    <definedName name="_xlnm.Print_Area" localSheetId="25">'12ME Dec18 Bill Freq'!$A$1:$N$62</definedName>
    <definedName name="_xlnm.Print_Area" localSheetId="27">'12ME Dec18 Cal Bill Freq'!$A$1:$N$118</definedName>
    <definedName name="_xlnm.Print_Area" localSheetId="26">'12ME Dec18 Norm Therms'!$A$1:$N$118,'12ME Dec18 Norm Therms'!$A$123:$N$185</definedName>
    <definedName name="_xlnm.Print_Area" localSheetId="28">'12ME Dec18 Weather Adj'!$B$1:$P$294</definedName>
    <definedName name="_xlnm.Print_Area" localSheetId="4">'Average Rate Impacts'!$B$1:$L$44</definedName>
    <definedName name="_xlnm.Print_Area" localSheetId="5">'Base Rate Impacts'!$B$1:$R$44</definedName>
    <definedName name="_xlnm.Print_Area" localSheetId="0">'Combined Impacts'!$B$1:$W$43</definedName>
    <definedName name="_xlnm.Print_Area" localSheetId="6">'Sch. 141 Impacts'!$B$1:$R$44</definedName>
    <definedName name="_xlnm.Print_Area" localSheetId="7">'Sch. 141X Impacts'!$B$1:$R$44</definedName>
    <definedName name="_xlnm.Print_Area" localSheetId="8">'Sch. 149 Impacts'!$B$1:$R$44</definedName>
    <definedName name="_xlnm.Print_Area" localSheetId="12">'Schedule 129 Revenue'!$A$1:$I$49</definedName>
    <definedName name="_xlnm.Print_Area" localSheetId="14">'Schedule 140 Revenue'!$A$1:$H$24</definedName>
    <definedName name="_xlnm.Print_Area" localSheetId="15">'Schedule 141 Revenue'!$A$1:$H$139</definedName>
    <definedName name="_xlnm.Print_Area" localSheetId="16">'Schedule 141X Revenue'!$A$1:$H$139</definedName>
    <definedName name="_xlnm.Print_Area" localSheetId="17">'Schedule 141Y Revenue'!$A$1:$H$24</definedName>
    <definedName name="_xlnm.Print_Area" localSheetId="20">'Schedule 149 Revenue'!$A$1:$H$24</definedName>
    <definedName name="_xlnm.Print_Area" localSheetId="1">'Typical Res Bill Impact'!$B$1:$T$42</definedName>
    <definedName name="_xlnm.Print_Titles" localSheetId="25">'12ME Dec18 Bill Freq'!$1:$4</definedName>
    <definedName name="_xlnm.Print_Titles" localSheetId="27">'12ME Dec18 Cal Bill Freq'!$1:$4</definedName>
    <definedName name="_xlnm.Print_Titles" localSheetId="26">'12ME Dec18 Norm Therms'!$1:$4</definedName>
    <definedName name="_xlnm.Print_Titles" localSheetId="28">'12ME Dec18 Weather Adj'!$1:$6</definedName>
    <definedName name="_xlnm.Print_Titles" localSheetId="18">'Sch 142 Revenue (Decoupling)'!$1:$8</definedName>
    <definedName name="_xlnm.Print_Titles" localSheetId="19">'Sch 142 Revenue (Rate Plan)'!$1:$8</definedName>
    <definedName name="_xlnm.Print_Titles" localSheetId="15">'Schedule 141 Revenue'!$1:$7</definedName>
    <definedName name="_xlnm.Print_Titles" localSheetId="16">'Schedule 141X Revenue'!$1:$7</definedName>
    <definedName name="Prior_Month" localSheetId="28">[15]Sch_120!$I$21</definedName>
    <definedName name="Prior_Month">[52]Sch_120!$I$21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[53]Sheet1!$A$1147:$B$1887</definedName>
    <definedName name="Prov_Cap_Tax" localSheetId="27">[31]Inputs!$E$111</definedName>
    <definedName name="Prov_Cap_Tax">[31]Inputs!$E$111</definedName>
    <definedName name="PSE">'[54]4.04'!$A$6</definedName>
    <definedName name="PSE_Pre_Tax_Equity_Rate">'[28]Assumptions of Purchase'!$B$42</definedName>
    <definedName name="PTDGP.T">[4]INTERNAL!$A$64:$IV$66</definedName>
    <definedName name="PTDP.T">[4]INTERNAL!$A$67:$IV$69</definedName>
    <definedName name="QTD_Format">[46]QTD!$B$11:$D$11,[46]QTD!$B$35:$D$35</definedName>
    <definedName name="RATE2">'[22]Transp Data'!$A$8:$I$112</definedName>
    <definedName name="Rates">[55]Codes!$A$1:$C$500</definedName>
    <definedName name="RB.T">[4]INTERNAL!$A$70:$IV$72</definedName>
    <definedName name="RCF" localSheetId="28">[35]INPUTS!$F$48</definedName>
    <definedName name="RCF">[36]INPUTS!$F$48</definedName>
    <definedName name="Requlated_scenario">'[12]Assumptions (Input)'!$B$12</definedName>
    <definedName name="ResExchCrRate" localSheetId="18">[52]Sch_194!$M$31</definedName>
    <definedName name="ResExchCrRate" localSheetId="19">[52]Sch_194!$M$31</definedName>
    <definedName name="ResExchCrRate" localSheetId="12">[52]Sch_194!$M$31</definedName>
    <definedName name="ResExchCrRate">[56]Sch_194!$M$31</definedName>
    <definedName name="RESID">[4]EXTERNAL!$A$88:$IV$90</definedName>
    <definedName name="resource_lookup">'[57]#REF'!$B$3:$C$112</definedName>
    <definedName name="ResourceSupplier">[11]Variables!$D$28</definedName>
    <definedName name="ResRCF" localSheetId="18">[19]INPUTS!$F$39</definedName>
    <definedName name="ResRCF" localSheetId="19">[19]INPUTS!$F$39</definedName>
    <definedName name="ResRCF" localSheetId="12">[19]INPUTS!$F$39</definedName>
    <definedName name="ResRCF">[20]INPUTS!$F$44</definedName>
    <definedName name="ResUnc" localSheetId="18">[4]INPUTS!$F$34</definedName>
    <definedName name="ResUnc" localSheetId="19">[4]INPUTS!$F$34</definedName>
    <definedName name="ResUnc" localSheetId="12">[4]INPUTS!$F$34</definedName>
    <definedName name="ResUnc">[20]INPUTS!$F$39</definedName>
    <definedName name="RevClass">[55]Codes!$F$2:$G$10</definedName>
    <definedName name="revenue_flag">'[12]Assumptions (Input)'!$C$12</definedName>
    <definedName name="Revenue_Taxes">'[12]Assumptions (Input)'!$B$8</definedName>
    <definedName name="REVFAC1.T">[4]INTERNAL!$A$73:$IV$75</definedName>
    <definedName name="ROD" localSheetId="18">[58]INPUTS!$F$25</definedName>
    <definedName name="ROD" localSheetId="19">[58]INPUTS!$F$25</definedName>
    <definedName name="ROD" localSheetId="12">[58]INPUTS!$F$25</definedName>
    <definedName name="ROD">[20]INPUTS!$F$30</definedName>
    <definedName name="ROR">[20]INPUTS!$F$29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[19]INPUTS!$F$40</definedName>
    <definedName name="SbUnc">[4]INPUTS!$F$35</definedName>
    <definedName name="Sch194Rlfwd">'[59]Sch94 Rlfwd'!$B$11</definedName>
    <definedName name="Schedule">[48]Inputs!$N$14</definedName>
    <definedName name="Sep03AMA" localSheetId="27">[3]BS!$AG$7:$AG$3582</definedName>
    <definedName name="Sep03AMA">[3]BS!$AG$7:$AG$3582</definedName>
    <definedName name="Sep04AMA" localSheetId="27">[1]BS!$AL$7:$AL$3582</definedName>
    <definedName name="Sep04AMA">[1]BS!$AL$7:$AL$3582</definedName>
    <definedName name="Sep09AMA">[2]BS!$AS$7:$AS$1726</definedName>
    <definedName name="solver_eval">0</definedName>
    <definedName name="solver_ntri">1000</definedName>
    <definedName name="solver_rsmp">1</definedName>
    <definedName name="solver_seed">0</definedName>
    <definedName name="StartDate" localSheetId="27">[9]Assumptions!$C$9</definedName>
    <definedName name="StartDate">[9]Assumptions!$C$9</definedName>
    <definedName name="STATE_UTILITY_TAX">'[6]MJS-7'!$N$16</definedName>
    <definedName name="STAX" localSheetId="18">[4]INPUTS!$F$29</definedName>
    <definedName name="STAX" localSheetId="19">[4]INPUTS!$F$29</definedName>
    <definedName name="STAX" localSheetId="12">[4]INPUTS!$F$29</definedName>
    <definedName name="STAX">[20]INPUTS!$F$34</definedName>
    <definedName name="SW.T">[4]INTERNAL!$A$76:$IV$78</definedName>
    <definedName name="SWPTD.T">[4]INTERNAL!$A$79:$IV$81</definedName>
    <definedName name="TableName">"Dummy"</definedName>
    <definedName name="TargetROR">[10]Inputs!$G$29</definedName>
    <definedName name="TDP.T">[4]INTERNAL!$A$82:$IV$84</definedName>
    <definedName name="TestPeriod">[7]Inputs!$C$5</definedName>
    <definedName name="TESTYEAR">'[29]JHS-6'!$A$7</definedName>
    <definedName name="TFR">[4]CLASSIFIERS!$A$11:$IV$11</definedName>
    <definedName name="ThermalBookLife" localSheetId="27">[9]Assumptions!$C$25</definedName>
    <definedName name="ThermalBookLife">[9]Assumptions!$C$25</definedName>
    <definedName name="Title" localSheetId="27">[9]Assumptions!$A$1</definedName>
    <definedName name="Title">[9]Assumptions!$A$1</definedName>
    <definedName name="Total_Payment" localSheetId="4">Scheduled_Payment+Extra_Payment</definedName>
    <definedName name="Total_Payment" localSheetId="5">Scheduled_Payment+Extra_Payment</definedName>
    <definedName name="Total_Payment" localSheetId="0">Scheduled_Payment+Extra_Payment</definedName>
    <definedName name="Total_Payment" localSheetId="18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8">Scheduled_Payment+Extra_Payment</definedName>
    <definedName name="Total_Payment" localSheetId="16">Scheduled_Payment+Extra_Payment</definedName>
    <definedName name="Total_Payment" localSheetId="17">Scheduled_Payment+Extra_Payment</definedName>
    <definedName name="Total_Payment" localSheetId="1">Scheduled_Payment+Extra_Payment</definedName>
    <definedName name="Total_Payment">Scheduled_Payment+Extra_Payment</definedName>
    <definedName name="TotalRateBase">'[7]G+T+D+R+M'!$H$58</definedName>
    <definedName name="TP.T">[4]INTERNAL!$A$91:$IV$93</definedName>
    <definedName name="transdb" localSheetId="27">'[60]Transp Unbilled'!$A$8:$E$174</definedName>
    <definedName name="transdb">'[60]Transp Unbilled'!$A$8:$E$174</definedName>
    <definedName name="TRANSM_2">[61]Transm2!$A$1:$M$461:'[61]10 Yr FC'!$M$47</definedName>
    <definedName name="UAcct103">'[7]Func Study'!$AB$1613</definedName>
    <definedName name="UAcct105Dnpg">'[7]Func Study'!$AB$2010</definedName>
    <definedName name="UAcct105S">'[7]Func Study'!$AB$2005</definedName>
    <definedName name="UAcct105Seu">'[7]Func Study'!$AB$2009</definedName>
    <definedName name="UAcct105Snppo">'[7]Func Study'!$AB$2008</definedName>
    <definedName name="UAcct105Snpps">'[7]Func Study'!$AB$2006</definedName>
    <definedName name="UAcct105Snpt">'[7]Func Study'!$AB$2007</definedName>
    <definedName name="UAcct1081390">'[7]Func Study'!$AB$2451</definedName>
    <definedName name="UAcct1081390Rcl">'[7]Func Study'!$AB$2450</definedName>
    <definedName name="UAcct1081399">'[7]Func Study'!$AB$2459</definedName>
    <definedName name="UAcct1081399Rcl">'[7]Func Study'!$AB$2458</definedName>
    <definedName name="UAcct108360">'[7]Func Study'!$AB$2355</definedName>
    <definedName name="UAcct108361">'[7]Func Study'!$AB$2359</definedName>
    <definedName name="UAcct108362">'[7]Func Study'!$AB$2363</definedName>
    <definedName name="UAcct108364">'[7]Func Study'!$AB$2367</definedName>
    <definedName name="UAcct108365">'[7]Func Study'!$AB$2371</definedName>
    <definedName name="UAcct108366">'[7]Func Study'!$AB$2375</definedName>
    <definedName name="UAcct108367">'[7]Func Study'!$AB$2379</definedName>
    <definedName name="UAcct108368">'[7]Func Study'!$AB$2383</definedName>
    <definedName name="UAcct108369">'[7]Func Study'!$AB$2387</definedName>
    <definedName name="UAcct108370">'[7]Func Study'!$AB$2391</definedName>
    <definedName name="UAcct108371">'[7]Func Study'!$AB$2395</definedName>
    <definedName name="UAcct108372">'[7]Func Study'!$AB$2399</definedName>
    <definedName name="UAcct108373">'[7]Func Study'!$AB$2403</definedName>
    <definedName name="UAcct108D">'[7]Func Study'!$AB$2415</definedName>
    <definedName name="UAcct108D00">'[7]Func Study'!$AB$2407</definedName>
    <definedName name="UAcct108Ds">'[7]Func Study'!$AB$2411</definedName>
    <definedName name="UAcct108Ep">'[7]Func Study'!$AB$2327</definedName>
    <definedName name="UAcct108Gpcn">'[7]Func Study'!$AB$2429</definedName>
    <definedName name="UAcct108Gps">'[7]Func Study'!$AB$2425</definedName>
    <definedName name="UAcct108Gpse">'[7]Func Study'!$AB$2431</definedName>
    <definedName name="UAcct108Gpsg">'[7]Func Study'!$AB$2428</definedName>
    <definedName name="UAcct108Gpsgp">'[7]Func Study'!$AB$2426</definedName>
    <definedName name="UAcct108Gpsgu">'[7]Func Study'!$AB$2427</definedName>
    <definedName name="UAcct108Gpso">'[7]Func Study'!$AB$2430</definedName>
    <definedName name="UACCT108GPSSGCH">'[7]Func Study'!$AB$2434</definedName>
    <definedName name="UACCT108GPSSGCT">'[7]Func Study'!$AB$2433</definedName>
    <definedName name="UAcct108Hp">'[7]Func Study'!$AB$2313</definedName>
    <definedName name="UAcct108Mp">'[7]Func Study'!$AB$2444</definedName>
    <definedName name="UAcct108Np">'[7]Func Study'!$AB$2305</definedName>
    <definedName name="UAcct108Op">'[7]Func Study'!$AB$2322</definedName>
    <definedName name="UACCT108OPSSCCT">'[7]Func Study'!$AB$2321</definedName>
    <definedName name="UAcct108Sp">'[7]Func Study'!$AB$2299</definedName>
    <definedName name="UACCT108SPSSGCH">'[7]Func Study'!$AB$2298</definedName>
    <definedName name="UAcct108Tp">'[7]Func Study'!$AB$2346</definedName>
    <definedName name="UAcct111Clg">'[7]Func Study'!$AB$2487</definedName>
    <definedName name="UAcct111Clgsou">'[7]Func Study'!$AB$2485</definedName>
    <definedName name="UAcct111Clh">'[7]Func Study'!$AB$2493</definedName>
    <definedName name="UAcct111Cls">'[7]Func Study'!$AB$2478</definedName>
    <definedName name="UAcct111Ipcn">'[7]Func Study'!$AB$2502</definedName>
    <definedName name="UAcct111Ips">'[7]Func Study'!$AB$2497</definedName>
    <definedName name="UAcct111Ipse">'[7]Func Study'!$AB$2500</definedName>
    <definedName name="UAcct111Ipsg">'[7]Func Study'!$AB$2501</definedName>
    <definedName name="UAcct111Ipsgp">'[7]Func Study'!$AB$2498</definedName>
    <definedName name="UAcct111Ipsgu">'[7]Func Study'!$AB$2499</definedName>
    <definedName name="UAcct111Ipso">'[7]Func Study'!$AB$2506</definedName>
    <definedName name="UACCT111IPSSGCH">'[7]Func Study'!$AB$2505</definedName>
    <definedName name="UACCT111IPSSGCT">'[7]Func Study'!$AB$2504</definedName>
    <definedName name="UAcct114">'[7]Func Study'!$AB$2017</definedName>
    <definedName name="UAcct120">'[7]Func Study'!$AB$2021</definedName>
    <definedName name="UAcct124">'[7]Func Study'!$AB$2026</definedName>
    <definedName name="UAcct141">'[7]Func Study'!$AB$2173</definedName>
    <definedName name="UAcct151">'[7]Func Study'!$AB$2049</definedName>
    <definedName name="Uacct151SSECT">'[7]Func Study'!$AB$2047</definedName>
    <definedName name="UAcct154">'[7]Func Study'!$AB$2083</definedName>
    <definedName name="Uacct154SSGCT">'[7]Func Study'!$AB$2080</definedName>
    <definedName name="UAcct163">'[7]Func Study'!$AB$2093</definedName>
    <definedName name="UAcct165">'[7]Func Study'!$AB$2108</definedName>
    <definedName name="UAcct165Gps">'[7]Func Study'!$AB$2104</definedName>
    <definedName name="UAcct182">'[7]Func Study'!$AB$2033</definedName>
    <definedName name="UAcct18222">'[7]Func Study'!$AB$2163</definedName>
    <definedName name="UAcct182M">'[7]Func Study'!$AB$2118</definedName>
    <definedName name="UAcct182MSSGCH">'[7]Func Study'!$AB$2113</definedName>
    <definedName name="UAcct186">'[7]Func Study'!$AB$2041</definedName>
    <definedName name="UAcct1869">'[7]Func Study'!$AB$2168</definedName>
    <definedName name="UAcct186M">'[7]Func Study'!$AB$2129</definedName>
    <definedName name="UAcct190">'[7]Func Study'!$AB$2243</definedName>
    <definedName name="UAcct190Baddebt">'[7]Func Study'!$AB$2237</definedName>
    <definedName name="UAcct190Dop">'[7]Func Study'!$AB$2235</definedName>
    <definedName name="UAcct2281">'[7]Func Study'!$AB$2191</definedName>
    <definedName name="UAcct2282">'[7]Func Study'!$AB$2195</definedName>
    <definedName name="UAcct2283">'[7]Func Study'!$AB$2200</definedName>
    <definedName name="UACCT22841SG">'[7]Func Study'!$AB$2205</definedName>
    <definedName name="UAcct22842">'[7]Func Study'!$AB$2211</definedName>
    <definedName name="UAcct235">'[7]Func Study'!$AB$2187</definedName>
    <definedName name="UACCT235CN">'[7]Func Study'!$AB$2186</definedName>
    <definedName name="UAcct252">'[7]Func Study'!$AB$2219</definedName>
    <definedName name="UAcct25316">'[7]Func Study'!$AB$2057</definedName>
    <definedName name="UAcct25317">'[7]Func Study'!$AB$2061</definedName>
    <definedName name="UAcct25318">'[7]Func Study'!$AB$2098</definedName>
    <definedName name="UAcct25319">'[7]Func Study'!$AB$2065</definedName>
    <definedName name="uacct25398">'[7]Func Study'!$AB$2222</definedName>
    <definedName name="UAcct25399">'[7]Func Study'!$AB$2230</definedName>
    <definedName name="UACCT254SO">'[7]Func Study'!$AB$2202</definedName>
    <definedName name="UAcct255">'[7]Func Study'!$AB$2284</definedName>
    <definedName name="UAcct281">'[7]Func Study'!$AB$2249</definedName>
    <definedName name="UAcct282">'[7]Func Study'!$AB$2259</definedName>
    <definedName name="UAcct282Cn">'[7]Func Study'!$AB$2256</definedName>
    <definedName name="UAcct282So">'[7]Func Study'!$AB$2255</definedName>
    <definedName name="UAcct283">'[7]Func Study'!$AB$2271</definedName>
    <definedName name="UAcct283So">'[7]Func Study'!$AB$2265</definedName>
    <definedName name="UAcct301S">'[7]Func Study'!$AB$1964</definedName>
    <definedName name="UAcct301Sg">'[7]Func Study'!$AB$1966</definedName>
    <definedName name="UAcct301So">'[7]Func Study'!$AB$1965</definedName>
    <definedName name="UAcct302S">'[7]Func Study'!$AB$1969</definedName>
    <definedName name="UAcct302Sg">'[7]Func Study'!$AB$1970</definedName>
    <definedName name="UAcct302Sgp">'[7]Func Study'!$AB$1971</definedName>
    <definedName name="UAcct302Sgu">'[7]Func Study'!$AB$1972</definedName>
    <definedName name="UAcct303Cn">'[7]Func Study'!$AB$1980</definedName>
    <definedName name="UAcct303S">'[7]Func Study'!$AB$1976</definedName>
    <definedName name="UAcct303Se">'[7]Func Study'!$AB$1979</definedName>
    <definedName name="UAcct303Sg">'[7]Func Study'!$AB$1977</definedName>
    <definedName name="UAcct303Sgu">'[7]Func Study'!$AB$1981</definedName>
    <definedName name="UAcct303So">'[7]Func Study'!$AB$1978</definedName>
    <definedName name="UACCT303SSGCH">'[7]Func Study'!$AB$1983</definedName>
    <definedName name="UAcct310">'[7]Func Study'!$AB$1414</definedName>
    <definedName name="UAcct310JBG">'[7]Func Study'!$AB$1413</definedName>
    <definedName name="UAcct311">'[7]Func Study'!$AB$1421</definedName>
    <definedName name="UAcct311JBG">'[7]Func Study'!$AB$1420</definedName>
    <definedName name="UAcct312">'[7]Func Study'!$AB$1428</definedName>
    <definedName name="UAcct312JBG">'[7]Func Study'!$AB$1427</definedName>
    <definedName name="UAcct314">'[7]Func Study'!$AB$1435</definedName>
    <definedName name="UAcct314JBG">'[7]Func Study'!$AB$1434</definedName>
    <definedName name="UAcct315">'[7]Func Study'!$AB$1442</definedName>
    <definedName name="UAcct315JBG">'[7]Func Study'!$AB$1441</definedName>
    <definedName name="UAcct316">'[7]Func Study'!$AB$1450</definedName>
    <definedName name="UAcct316JBG">'[7]Func Study'!$AB$1449</definedName>
    <definedName name="UAcct320">'[7]Func Study'!$AB$1466</definedName>
    <definedName name="UAcct321">'[7]Func Study'!$AB$1471</definedName>
    <definedName name="UAcct322">'[7]Func Study'!$AB$1476</definedName>
    <definedName name="UAcct323">'[7]Func Study'!$AB$1481</definedName>
    <definedName name="UAcct324">'[7]Func Study'!$AB$1486</definedName>
    <definedName name="UAcct325">'[7]Func Study'!$AB$1491</definedName>
    <definedName name="UAcct33">'[7]Func Study'!$AB$295</definedName>
    <definedName name="UAcct330">'[7]Func Study'!$AB$1508</definedName>
    <definedName name="UAcct331">'[7]Func Study'!$AB$1513</definedName>
    <definedName name="UAcct332">'[7]Func Study'!$AB$1518</definedName>
    <definedName name="UAcct333">'[7]Func Study'!$AB$1523</definedName>
    <definedName name="UAcct334">'[7]Func Study'!$AB$1528</definedName>
    <definedName name="UAcct335">'[7]Func Study'!$AB$1533</definedName>
    <definedName name="UAcct336">'[7]Func Study'!$AB$1539</definedName>
    <definedName name="UAcct340Dgu">'[7]Func Study'!$AB$1564</definedName>
    <definedName name="UAcct340Sgu">'[7]Func Study'!$AB$1565</definedName>
    <definedName name="UAcct341Dgu">'[7]Func Study'!$AB$1569</definedName>
    <definedName name="UAcct341Sgu">'[7]Func Study'!$AB$1570</definedName>
    <definedName name="UAcct342Dgu">'[7]Func Study'!$AB$1574</definedName>
    <definedName name="UAcct342Sgu">'[7]Func Study'!$AB$1575</definedName>
    <definedName name="UAcct343">'[7]Func Study'!$AB$1584</definedName>
    <definedName name="UAcct344S">'[7]Func Study'!$AB$1587</definedName>
    <definedName name="UAcct344Sgp">'[7]Func Study'!$AB$1588</definedName>
    <definedName name="UAcct345Dgu">'[7]Func Study'!$AB$1594</definedName>
    <definedName name="UAcct345Sgu">'[7]Func Study'!$AB$1595</definedName>
    <definedName name="UAcct346">'[7]Func Study'!$AB$1601</definedName>
    <definedName name="UAcct350">'[7]Func Study'!$AB$1628</definedName>
    <definedName name="UAcct352">'[7]Func Study'!$AB$1635</definedName>
    <definedName name="UAcct353">'[7]Func Study'!$AB$1641</definedName>
    <definedName name="UAcct354">'[7]Func Study'!$AB$1647</definedName>
    <definedName name="UAcct355">'[7]Func Study'!$AB$1654</definedName>
    <definedName name="UAcct356">'[7]Func Study'!$AB$1660</definedName>
    <definedName name="UAcct357">'[7]Func Study'!$AB$1666</definedName>
    <definedName name="UAcct358">'[7]Func Study'!$AB$1672</definedName>
    <definedName name="UAcct359">'[7]Func Study'!$AB$1678</definedName>
    <definedName name="UAcct360">'[7]Func Study'!$AB$1698</definedName>
    <definedName name="UAcct361">'[7]Func Study'!$AB$1704</definedName>
    <definedName name="UAcct362">'[7]Func Study'!$AB$1710</definedName>
    <definedName name="UAcct368">'[7]Func Study'!$AB$1744</definedName>
    <definedName name="UAcct369">'[7]Func Study'!$AB$1751</definedName>
    <definedName name="UAcct370">'[7]Func Study'!$AB$1762</definedName>
    <definedName name="UAcct372A">'[7]Func Study'!$AB$1775</definedName>
    <definedName name="UAcct372Dp">'[7]Func Study'!$AB$1773</definedName>
    <definedName name="UAcct372Ds">'[7]Func Study'!$AB$1774</definedName>
    <definedName name="UAcct373">'[7]Func Study'!$AB$1782</definedName>
    <definedName name="UAcct389Cn">'[7]Func Study'!$AB$1800</definedName>
    <definedName name="UAcct389S">'[7]Func Study'!$AB$1799</definedName>
    <definedName name="UAcct389Sg">'[7]Func Study'!$AB$1802</definedName>
    <definedName name="UAcct389Sgu">'[7]Func Study'!$AB$1801</definedName>
    <definedName name="UAcct389So">'[7]Func Study'!$AB$1803</definedName>
    <definedName name="UAcct390Cn">'[7]Func Study'!$AB$1810</definedName>
    <definedName name="UAcct390JBG">'[7]Func Study'!$AB$1812</definedName>
    <definedName name="UAcct390L">'[7]Func Study'!$AB$1927</definedName>
    <definedName name="UACCT390LRCL">'[7]Func Study'!$AB$1929</definedName>
    <definedName name="UAcct390S">'[7]Func Study'!$AB$1807</definedName>
    <definedName name="UAcct390Sgp">'[7]Func Study'!$AB$1808</definedName>
    <definedName name="UAcct390Sgu">'[7]Func Study'!$AB$1809</definedName>
    <definedName name="UAcct390Sop">'[7]Func Study'!$AB$1811</definedName>
    <definedName name="UAcct390Sou">'[7]Func Study'!$AB$1813</definedName>
    <definedName name="UAcct391Cn">'[7]Func Study'!$AB$1820</definedName>
    <definedName name="UACCT391JBE">'[7]Func Study'!$AB$1825</definedName>
    <definedName name="UAcct391S">'[7]Func Study'!$AB$1817</definedName>
    <definedName name="UAcct391Sg">'[7]Func Study'!$AB$1821</definedName>
    <definedName name="UAcct391Sgp">'[7]Func Study'!$AB$1818</definedName>
    <definedName name="UAcct391Sgu">'[7]Func Study'!$AB$1819</definedName>
    <definedName name="UAcct391So">'[7]Func Study'!$AB$1823</definedName>
    <definedName name="UACCT391SSGCH">'[7]Func Study'!$AB$1824</definedName>
    <definedName name="UAcct392Cn">'[7]Func Study'!$AB$1832</definedName>
    <definedName name="UAcct392L">'[7]Func Study'!$AB$1935</definedName>
    <definedName name="UAcct392Lrcl">'[7]Func Study'!$AB$1937</definedName>
    <definedName name="UAcct392S">'[7]Func Study'!$AB$1829</definedName>
    <definedName name="UAcct392Se">'[7]Func Study'!$AB$1834</definedName>
    <definedName name="UAcct392Sg">'[7]Func Study'!$AB$1831</definedName>
    <definedName name="UAcct392Sgp">'[7]Func Study'!$AB$1835</definedName>
    <definedName name="UAcct392Sgu">'[7]Func Study'!$AB$1833</definedName>
    <definedName name="UAcct392So">'[7]Func Study'!$AB$1830</definedName>
    <definedName name="UACCT392SSGCH">'[7]Func Study'!$AB$1836</definedName>
    <definedName name="UAcct393S">'[7]Func Study'!$AB$1841</definedName>
    <definedName name="UAcct393Sg">'[7]Func Study'!$AB$1845</definedName>
    <definedName name="UAcct393Sgp">'[7]Func Study'!$AB$1842</definedName>
    <definedName name="UAcct393Sgu">'[7]Func Study'!$AB$1843</definedName>
    <definedName name="UAcct393So">'[7]Func Study'!$AB$1844</definedName>
    <definedName name="UACCT393SSGCT">'[7]Func Study'!$AB$1846</definedName>
    <definedName name="UAcct394S">'[7]Func Study'!$AB$1850</definedName>
    <definedName name="UAcct394Se">'[7]Func Study'!$AB$1854</definedName>
    <definedName name="UAcct394Sg">'[7]Func Study'!$AB$1855</definedName>
    <definedName name="UAcct394Sgp">'[7]Func Study'!$AB$1851</definedName>
    <definedName name="UAcct394Sgu">'[7]Func Study'!$AB$1852</definedName>
    <definedName name="UAcct394So">'[7]Func Study'!$AB$1853</definedName>
    <definedName name="UACCT394SSGCH">'[7]Func Study'!$AB$1856</definedName>
    <definedName name="UAcct395S">'[7]Func Study'!$AB$1861</definedName>
    <definedName name="UAcct395Se">'[7]Func Study'!$AB$1865</definedName>
    <definedName name="UAcct395Sg">'[7]Func Study'!$AB$1866</definedName>
    <definedName name="UAcct395Sgp">'[7]Func Study'!$AB$1862</definedName>
    <definedName name="UAcct395Sgu">'[7]Func Study'!$AB$1863</definedName>
    <definedName name="UAcct395So">'[7]Func Study'!$AB$1864</definedName>
    <definedName name="UACCT395SSGCH">'[7]Func Study'!$AB$1867</definedName>
    <definedName name="UAcct396S">'[7]Func Study'!$AB$1872</definedName>
    <definedName name="UAcct396Se">'[7]Func Study'!$AB$1877</definedName>
    <definedName name="UAcct396Sg">'[7]Func Study'!$AB$1874</definedName>
    <definedName name="UAcct396Sgp">'[7]Func Study'!$AB$1873</definedName>
    <definedName name="UAcct396Sgu">'[7]Func Study'!$AB$1876</definedName>
    <definedName name="UAcct396So">'[7]Func Study'!$AB$1875</definedName>
    <definedName name="UACCT396SSGCH">'[7]Func Study'!$AB$1879</definedName>
    <definedName name="UACCT396SSGCT">'[7]Func Study'!$AB$1878</definedName>
    <definedName name="UAcct397Cn">'[7]Func Study'!$AB$1890</definedName>
    <definedName name="UAcct397JBG">'[7]Func Study'!$AB$1893</definedName>
    <definedName name="UAcct397S">'[7]Func Study'!$AB$1886</definedName>
    <definedName name="UAcct397Se">'[7]Func Study'!$AB$1892</definedName>
    <definedName name="UAcct397Sg">'[7]Func Study'!$AB$1891</definedName>
    <definedName name="UAcct397Sgp">'[7]Func Study'!$AB$1887</definedName>
    <definedName name="UAcct397Sgu">'[7]Func Study'!$AB$1888</definedName>
    <definedName name="UAcct397So">'[7]Func Study'!$AB$1889</definedName>
    <definedName name="UAcct398Cn">'[7]Func Study'!$AB$1902</definedName>
    <definedName name="UAcct398S">'[7]Func Study'!$AB$1899</definedName>
    <definedName name="UAcct398Se">'[7]Func Study'!$AB$1904</definedName>
    <definedName name="UAcct398Sg">'[7]Func Study'!$AB$1905</definedName>
    <definedName name="UAcct398Sgp">'[7]Func Study'!$AB$1900</definedName>
    <definedName name="UAcct398Sgu">'[7]Func Study'!$AB$1901</definedName>
    <definedName name="UAcct398So">'[7]Func Study'!$AB$1903</definedName>
    <definedName name="UACCT398SSGCT">'[7]Func Study'!$AB$1906</definedName>
    <definedName name="UAcct399">'[7]Func Study'!$AB$1913</definedName>
    <definedName name="UAcct399G">'[7]Func Study'!$AB$1955</definedName>
    <definedName name="UAcct399L">'[7]Func Study'!$AB$1917</definedName>
    <definedName name="UAcct399Lrcl">'[7]Func Study'!$AB$1919</definedName>
    <definedName name="UAcct403360">'[7]Func Study'!$AB$1090</definedName>
    <definedName name="UAcct403361">'[7]Func Study'!$AB$1091</definedName>
    <definedName name="UAcct403362">'[7]Func Study'!$AB$1092</definedName>
    <definedName name="UAcct403364">'[7]Func Study'!$AB$1094</definedName>
    <definedName name="UAcct403365">'[7]Func Study'!$AB$1095</definedName>
    <definedName name="UAcct403366">'[7]Func Study'!$AB$1096</definedName>
    <definedName name="UAcct403367">'[7]Func Study'!$AB$1097</definedName>
    <definedName name="UAcct403368">'[7]Func Study'!$AB$1098</definedName>
    <definedName name="UAcct403369">'[7]Func Study'!$AB$1099</definedName>
    <definedName name="UAcct403370">'[7]Func Study'!$AB$1100</definedName>
    <definedName name="UAcct403371">'[7]Func Study'!$AB$1101</definedName>
    <definedName name="UAcct403372">'[7]Func Study'!$AB$1102</definedName>
    <definedName name="UAcct403373">'[7]Func Study'!$AB$1103</definedName>
    <definedName name="UAcct403Ep">'[7]Func Study'!$AB$1130</definedName>
    <definedName name="UAcct403Gpcn">'[7]Func Study'!$AB$1111</definedName>
    <definedName name="UAcct403GPDGP">'[7]Func Study'!$AB$1108</definedName>
    <definedName name="UAcct403GPDGU">'[7]Func Study'!$AB$1109</definedName>
    <definedName name="UAcct403GPJBG">'[7]Func Study'!$AB$1115</definedName>
    <definedName name="UAcct403Gps">'[7]Func Study'!$AB$1107</definedName>
    <definedName name="UAcct403Gpsg">'[7]Func Study'!$AB$1112</definedName>
    <definedName name="UAcct403Gpso">'[7]Func Study'!$AB$1113</definedName>
    <definedName name="UAcct403Gv0">'[7]Func Study'!$AB$1121</definedName>
    <definedName name="UAcct403Hp">'[7]Func Study'!$AB$1072</definedName>
    <definedName name="UACCT403JBE">'[7]Func Study'!$AB$1116</definedName>
    <definedName name="UAcct403Mp">'[7]Func Study'!$AB$1125</definedName>
    <definedName name="UAcct403Np">'[7]Func Study'!$AB$1065</definedName>
    <definedName name="UAcct403Op">'[7]Func Study'!$AB$1080</definedName>
    <definedName name="UAcct403OPCAGE">'[7]Func Study'!$AB$1078</definedName>
    <definedName name="UAcct403Sp">'[7]Func Study'!$AB$1061</definedName>
    <definedName name="UAcct403SPJBG">'[7]Func Study'!$AB$1058</definedName>
    <definedName name="UAcct403Tp">'[7]Func Study'!$AB$1087</definedName>
    <definedName name="UAcct404330">'[7]Func Study'!$AB$1177</definedName>
    <definedName name="UACCT404GP">'[7]Func Study'!$AB$1146</definedName>
    <definedName name="UACCT404GPCN">'[7]Func Study'!$AB$1143</definedName>
    <definedName name="UACCT404GPSO">'[7]Func Study'!$AB$1141</definedName>
    <definedName name="UAcct404Ipcn">'[7]Func Study'!$AB$1158</definedName>
    <definedName name="UAcct404IPJBG">'[7]Func Study'!$AB$1163</definedName>
    <definedName name="UAcct404Ips">'[7]Func Study'!$AB$1154</definedName>
    <definedName name="UAcct404Ipse">'[7]Func Study'!$AB$1155</definedName>
    <definedName name="UAcct404Ipsg">'[7]Func Study'!$AB$1156</definedName>
    <definedName name="UAcct404Ipsg1">'[7]Func Study'!$AB$1159</definedName>
    <definedName name="UAcct404Ipsg2">'[7]Func Study'!$AB$1160</definedName>
    <definedName name="UAcct404Ipso">'[7]Func Study'!$AB$1157</definedName>
    <definedName name="UAcct404M">'[7]Func Study'!$AB$1168</definedName>
    <definedName name="UACCT404OP">'[7]Func Study'!$AB$1172</definedName>
    <definedName name="UACCT404SP">'[7]Func Study'!$AB$1151</definedName>
    <definedName name="UAcct405">'[7]Func Study'!$AB$1185</definedName>
    <definedName name="UAcct406">'[7]Func Study'!$AB$1193</definedName>
    <definedName name="UAcct407">'[7]Func Study'!$AB$1202</definedName>
    <definedName name="UAcct408">'[7]Func Study'!$AB$1221</definedName>
    <definedName name="UAcct408S">'[7]Func Study'!$AB$1213</definedName>
    <definedName name="UAcct41010">'[7]Func Study'!$AB$1294</definedName>
    <definedName name="UAcct41011">'[7]Func Study'!$AB$1309</definedName>
    <definedName name="UAcct41110">'[7]Func Study'!$AB$1325</definedName>
    <definedName name="UAcct41140">'[7]Func Study'!$AB$1232</definedName>
    <definedName name="UAcct41141">'[7]Func Study'!$AB$1237</definedName>
    <definedName name="UAcct41160">'[7]Func Study'!$AB$369</definedName>
    <definedName name="UAcct41170">'[7]Func Study'!$AB$374</definedName>
    <definedName name="UAcct4118">'[7]Func Study'!$AB$378</definedName>
    <definedName name="UAcct41181">'[7]Func Study'!$AB$381</definedName>
    <definedName name="UAcct4194">'[7]Func Study'!$AB$385</definedName>
    <definedName name="UAcct421">'[7]Func Study'!$AB$394</definedName>
    <definedName name="UAcct4311">'[7]Func Study'!$AB$401</definedName>
    <definedName name="UAcct442Se">'[7]Func Study'!$AB$259</definedName>
    <definedName name="UAcct442Sg">'[7]Func Study'!$AB$260</definedName>
    <definedName name="UAcct447">'[7]Func Study'!$AB$281</definedName>
    <definedName name="UACCT447NPC">'[7]Func Study'!$AB$289</definedName>
    <definedName name="UACCT447NPCCAEW">'[7]Func Study'!$AB$286</definedName>
    <definedName name="UACCT447NPCCAGW">'[7]Func Study'!$AB$287</definedName>
    <definedName name="UACCT447NPCDGP">'[7]Func Study'!$AB$288</definedName>
    <definedName name="UAcct447S">'[7]Func Study'!$AB$280</definedName>
    <definedName name="UAcct448S">'[7]Func Study'!$AB$274</definedName>
    <definedName name="UAcct448So">'[7]Func Study'!$AB$275</definedName>
    <definedName name="UAcct449">'[7]Func Study'!$AB$294</definedName>
    <definedName name="UAcct450">'[7]Func Study'!$AB$304</definedName>
    <definedName name="UAcct450S">'[7]Func Study'!$AB$302</definedName>
    <definedName name="UAcct450So">'[7]Func Study'!$AB$303</definedName>
    <definedName name="UAcct451S">'[7]Func Study'!$AB$307</definedName>
    <definedName name="UAcct451Sg">'[7]Func Study'!$AB$308</definedName>
    <definedName name="UAcct451So">'[7]Func Study'!$AB$309</definedName>
    <definedName name="UAcct453">'[7]Func Study'!$AB$315</definedName>
    <definedName name="UAcct454">'[7]Func Study'!$AB$322</definedName>
    <definedName name="UAcct454JBG">'[7]Func Study'!$AB$319</definedName>
    <definedName name="UAcct454S">'[7]Func Study'!$AB$318</definedName>
    <definedName name="UAcct454Sg">'[7]Func Study'!$AB$320</definedName>
    <definedName name="UAcct454So">'[7]Func Study'!$AB$321</definedName>
    <definedName name="UAcct456">'[7]Func Study'!$AB$332</definedName>
    <definedName name="UAcct456CAEW">'[7]Func Study'!$AB$331</definedName>
    <definedName name="UAcct456S">'[7]Func Study'!$AB$325</definedName>
    <definedName name="UAcct456So">'[7]Func Study'!$AB$329</definedName>
    <definedName name="UAcct500">'[7]Func Study'!$AB$416</definedName>
    <definedName name="UAcct500JBG">'[7]Func Study'!$AB$414</definedName>
    <definedName name="UAcct501">'[7]Func Study'!$AB$423</definedName>
    <definedName name="UAcct501CAEW">'[7]Func Study'!$AB$420</definedName>
    <definedName name="UAcct501JBE">'[7]Func Study'!$AB$421</definedName>
    <definedName name="UACCT501NPCCAEW">'[7]Func Study'!$AB$426</definedName>
    <definedName name="UAcct502">'[7]Func Study'!$AB$433</definedName>
    <definedName name="UAcct502CAGE">'[7]Func Study'!$AB$431</definedName>
    <definedName name="UAcct503">'[7]Func Study'!$AB$437</definedName>
    <definedName name="UACCT503NPC">'[7]Func Study'!$AB$443</definedName>
    <definedName name="UAcct505">'[7]Func Study'!$AB$449</definedName>
    <definedName name="UAcct505CAGE">'[7]Func Study'!$AB$447</definedName>
    <definedName name="UAcct506">'[7]Func Study'!$AB$455</definedName>
    <definedName name="UAcct506CAGE">'[7]Func Study'!$AB$452</definedName>
    <definedName name="UAcct507">'[7]Func Study'!$AB$464</definedName>
    <definedName name="UAcct507CAGE">'[7]Func Study'!$AB$462</definedName>
    <definedName name="UAcct510">'[7]Func Study'!$AB$469</definedName>
    <definedName name="UAcct510CAGE">'[7]Func Study'!$AB$467</definedName>
    <definedName name="UAcct511">'[7]Func Study'!$AB$474</definedName>
    <definedName name="UAcct511CAGE">'[7]Func Study'!$AB$472</definedName>
    <definedName name="UAcct512">'[7]Func Study'!$AB$479</definedName>
    <definedName name="UAcct512CAGE">'[7]Func Study'!$AB$477</definedName>
    <definedName name="UAcct513">'[7]Func Study'!$AB$484</definedName>
    <definedName name="UAcct513CAGE">'[7]Func Study'!$AB$482</definedName>
    <definedName name="UAcct514">'[7]Func Study'!$AB$489</definedName>
    <definedName name="UAcct514CAGE">'[7]Func Study'!$AB$487</definedName>
    <definedName name="UAcct517">'[7]Func Study'!$AB$498</definedName>
    <definedName name="UAcct518">'[7]Func Study'!$AB$502</definedName>
    <definedName name="UAcct519">'[7]Func Study'!$AB$507</definedName>
    <definedName name="UAcct520">'[7]Func Study'!$AB$511</definedName>
    <definedName name="UAcct523">'[7]Func Study'!$AB$515</definedName>
    <definedName name="UAcct524">'[7]Func Study'!$AB$519</definedName>
    <definedName name="UAcct528">'[7]Func Study'!$AB$523</definedName>
    <definedName name="UAcct529">'[7]Func Study'!$AB$527</definedName>
    <definedName name="UAcct530">'[7]Func Study'!$AB$531</definedName>
    <definedName name="UAcct531">'[7]Func Study'!$AB$535</definedName>
    <definedName name="UAcct532">'[7]Func Study'!$AB$539</definedName>
    <definedName name="UAcct535">'[7]Func Study'!$AB$551</definedName>
    <definedName name="UAcct536">'[7]Func Study'!$AB$555</definedName>
    <definedName name="UAcct537">'[7]Func Study'!$AB$559</definedName>
    <definedName name="UAcct538">'[7]Func Study'!$AB$563</definedName>
    <definedName name="UAcct539">'[7]Func Study'!$AB$568</definedName>
    <definedName name="UAcct540">'[7]Func Study'!$AB$572</definedName>
    <definedName name="UAcct541">'[7]Func Study'!$AB$576</definedName>
    <definedName name="UAcct542">'[7]Func Study'!$AB$580</definedName>
    <definedName name="UAcct543">'[7]Func Study'!$AB$584</definedName>
    <definedName name="UAcct544">'[7]Func Study'!$AB$588</definedName>
    <definedName name="UAcct545">'[7]Func Study'!$AB$592</definedName>
    <definedName name="UAcct546">'[7]Func Study'!$AB$606</definedName>
    <definedName name="UAcct546CAGE">'[7]Func Study'!$AB$605</definedName>
    <definedName name="UAcct547CAEW">'[7]Func Study'!$AB$610</definedName>
    <definedName name="UACCT547NPCCAEW">'[7]Func Study'!$AB$613</definedName>
    <definedName name="UAcct547Se">'[7]Func Study'!$AB$609</definedName>
    <definedName name="UAcct548">'[7]Func Study'!$AB$621</definedName>
    <definedName name="UACCT548CAGE">'[7]Func Study'!$AB$620</definedName>
    <definedName name="UAcct549">'[7]Func Study'!$AB$626</definedName>
    <definedName name="Uacct549CAGE">'[7]Func Study'!$AB$625</definedName>
    <definedName name="UAcct551CAGE">'[7]Func Study'!$AB$634</definedName>
    <definedName name="UACCT551SG">'[7]Func Study'!$AB$635</definedName>
    <definedName name="UACCT552CAGE">'[7]Func Study'!$AB$640</definedName>
    <definedName name="UAcct552SG">'[7]Func Study'!$AB$639</definedName>
    <definedName name="UACCT553CAGE">'[7]Func Study'!$AB$646</definedName>
    <definedName name="UAcct553SG">'[7]Func Study'!$AB$645</definedName>
    <definedName name="UACCT554CAGE">'[7]Func Study'!$AB$651</definedName>
    <definedName name="UAcct554SG">'[7]Func Study'!$AB$650</definedName>
    <definedName name="UAcct555CAEW">'[7]Func Study'!$AB$665</definedName>
    <definedName name="UAcct555CAGW">'[7]Func Study'!$AB$664</definedName>
    <definedName name="UACCT555DGP">'[7]Func Study'!$AB$670</definedName>
    <definedName name="UACCT555NPCCAEW">'[7]Func Study'!$AB$669</definedName>
    <definedName name="UACCT555NPCCAGW">'[7]Func Study'!$AB$668</definedName>
    <definedName name="UAcct555S">'[7]Func Study'!$AB$663</definedName>
    <definedName name="UAcct555Se">'[7]Func Study'!$AB$665</definedName>
    <definedName name="UACCT555SG">'[7]Func Study'!$AB$664</definedName>
    <definedName name="UAcct556">'[7]Func Study'!$AB$676</definedName>
    <definedName name="UAcct557">'[7]Func Study'!$AB$685</definedName>
    <definedName name="UAcct560">'[7]Func Study'!$AB$715</definedName>
    <definedName name="UAcct561">'[7]Func Study'!$AB$720</definedName>
    <definedName name="UAcct562">'[7]Func Study'!$AB$726</definedName>
    <definedName name="UAcct563">'[7]Func Study'!$AB$731</definedName>
    <definedName name="UAcct564">'[7]Func Study'!$AB$735</definedName>
    <definedName name="UAcct565">'[7]Func Study'!$AB$739</definedName>
    <definedName name="UACCT565NPC">'[7]Func Study'!$AB$744</definedName>
    <definedName name="UACCT565NPCCAGW">'[7]Func Study'!$AB$742</definedName>
    <definedName name="UAcct566">'[7]Func Study'!$AB$748</definedName>
    <definedName name="UAcct567">'[7]Func Study'!$AB$752</definedName>
    <definedName name="UAcct568">'[7]Func Study'!$AB$756</definedName>
    <definedName name="UAcct569">'[7]Func Study'!$AB$760</definedName>
    <definedName name="UAcct570">'[7]Func Study'!$AB$765</definedName>
    <definedName name="UAcct571">'[7]Func Study'!$AB$770</definedName>
    <definedName name="UAcct572">'[7]Func Study'!$AB$774</definedName>
    <definedName name="UAcct573">'[7]Func Study'!$AB$778</definedName>
    <definedName name="UAcct580">'[7]Func Study'!$AB$791</definedName>
    <definedName name="UAcct581">'[7]Func Study'!$AB$796</definedName>
    <definedName name="UAcct582">'[7]Func Study'!$AB$801</definedName>
    <definedName name="UAcct583">'[7]Func Study'!$AB$806</definedName>
    <definedName name="UAcct584">'[7]Func Study'!$AB$811</definedName>
    <definedName name="UAcct585">'[7]Func Study'!$AB$816</definedName>
    <definedName name="UAcct586">'[7]Func Study'!$AB$821</definedName>
    <definedName name="UAcct587">'[7]Func Study'!$AB$826</definedName>
    <definedName name="UAcct588">'[7]Func Study'!$AB$831</definedName>
    <definedName name="UAcct589">'[7]Func Study'!$AB$836</definedName>
    <definedName name="UAcct590">'[7]Func Study'!$AB$841</definedName>
    <definedName name="UAcct591">'[7]Func Study'!$AB$846</definedName>
    <definedName name="UAcct592">'[7]Func Study'!$AB$851</definedName>
    <definedName name="UAcct593">'[7]Func Study'!$AB$856</definedName>
    <definedName name="UAcct594">'[7]Func Study'!$AB$861</definedName>
    <definedName name="UAcct595">'[7]Func Study'!$AB$866</definedName>
    <definedName name="UAcct596">'[7]Func Study'!$AB$876</definedName>
    <definedName name="UAcct597">'[7]Func Study'!$AB$881</definedName>
    <definedName name="UAcct598">'[7]Func Study'!$AB$886</definedName>
    <definedName name="UAcct901">'[7]Func Study'!$AB$898</definedName>
    <definedName name="UAcct902">'[7]Func Study'!$AB$903</definedName>
    <definedName name="UAcct903">'[7]Func Study'!$AB$908</definedName>
    <definedName name="UAcct904">'[7]Func Study'!$AB$914</definedName>
    <definedName name="UAcct905">'[7]Func Study'!$AB$919</definedName>
    <definedName name="UAcct907">'[7]Func Study'!$AB$933</definedName>
    <definedName name="UAcct908">'[7]Func Study'!$AB$938</definedName>
    <definedName name="UAcct909">'[7]Func Study'!$AB$943</definedName>
    <definedName name="UAcct910">'[7]Func Study'!$AB$948</definedName>
    <definedName name="UAcct911">'[7]Func Study'!$AB$959</definedName>
    <definedName name="UAcct912">'[7]Func Study'!$AB$964</definedName>
    <definedName name="UAcct913">'[7]Func Study'!$AB$969</definedName>
    <definedName name="UAcct916">'[7]Func Study'!$AB$974</definedName>
    <definedName name="UAcct920">'[7]Func Study'!$AB$985</definedName>
    <definedName name="UAcct920Cn">'[7]Func Study'!$AB$983</definedName>
    <definedName name="UAcct921">'[7]Func Study'!$AB$991</definedName>
    <definedName name="UAcct921Cn">'[7]Func Study'!$AB$989</definedName>
    <definedName name="UAcct923">'[7]Func Study'!$AB$997</definedName>
    <definedName name="UAcct923CAGW">'[7]Func Study'!$AB$995</definedName>
    <definedName name="UAcct924">'[7]Func Study'!$AB$1001</definedName>
    <definedName name="UAcct925">'[7]Func Study'!$AB$1005</definedName>
    <definedName name="UAcct926">'[7]Func Study'!$AB$1011</definedName>
    <definedName name="UAcct927">'[7]Func Study'!$AB$1016</definedName>
    <definedName name="UAcct928">'[7]Func Study'!$AB$1023</definedName>
    <definedName name="UAcct929">'[7]Func Study'!$AB$1028</definedName>
    <definedName name="UAcct930">'[7]Func Study'!$AB$1034</definedName>
    <definedName name="UAcct931">'[7]Func Study'!$AB$1039</definedName>
    <definedName name="UAcct935">'[7]Func Study'!$AB$1045</definedName>
    <definedName name="UAcctAGA">'[7]Func Study'!$AB$296</definedName>
    <definedName name="UAcctcwc">'[7]Func Study'!$AB$2136</definedName>
    <definedName name="UAcctd00">'[7]Func Study'!$AB$1786</definedName>
    <definedName name="UAcctds0">'[7]Func Study'!$AB$1790</definedName>
    <definedName name="UACCTECDDGP">'[7]Func Study'!$AB$687</definedName>
    <definedName name="UACCTECDMC">'[7]Func Study'!$AB$689</definedName>
    <definedName name="UACCTECDS">'[7]Func Study'!$AB$691</definedName>
    <definedName name="UACCTECDSG1">'[7]Func Study'!$AB$688</definedName>
    <definedName name="UACCTECDSG2">'[7]Func Study'!$AB$690</definedName>
    <definedName name="UACCTECDSG3">'[7]Func Study'!$AB$692</definedName>
    <definedName name="UAcctfit">'[7]Func Study'!$AB$1395</definedName>
    <definedName name="UAcctg00">'[7]Func Study'!$AB$1947</definedName>
    <definedName name="UAccth00">'[7]Func Study'!$AB$1545</definedName>
    <definedName name="UAccti00">'[7]Func Study'!$AB$1993</definedName>
    <definedName name="UAcctn00">'[7]Func Study'!$AB$1496</definedName>
    <definedName name="UAccto00">'[7]Func Study'!$AB$1606</definedName>
    <definedName name="UAcctowc">'[7]Func Study'!$AB$2149</definedName>
    <definedName name="UACCTOWCSSECH">'[7]Func Study'!$AB$2148</definedName>
    <definedName name="UAccts00">'[7]Func Study'!$AB$1455</definedName>
    <definedName name="UAcctsttax">'[7]Func Study'!$AB$1377</definedName>
    <definedName name="UAcctt00">'[7]Func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[11]Variables!$D$25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[11]Variables!$D$29</definedName>
    <definedName name="ValidAccount">[8]Variables!$AK$43:$AK$369</definedName>
    <definedName name="Values_Entered" localSheetId="28">IF(Loan_Amount*Interest_Rate*Loan_Years*Loan_Start&gt;0,1,0)</definedName>
    <definedName name="Values_Entered" localSheetId="4">IF(Loan_Amount*Interest_Rate*Loan_Years*Loan_Start&gt;0,1,0)</definedName>
    <definedName name="Values_Entered" localSheetId="5">IF(Loan_Amount*Interest_Rate*Loan_Years*Loan_Start&gt;0,1,0)</definedName>
    <definedName name="Values_Entered" localSheetId="0">IF(Loan_Amount*Interest_Rate*Loan_Years*Loan_Start&gt;0,1,0)</definedName>
    <definedName name="Values_Entered" localSheetId="18">IF(Loan_Amount*Interest_Rate*Loan_Years*Loan_Start&gt;0,1,0)</definedName>
    <definedName name="Values_Entered" localSheetId="19">IF(Loan_Amount*Interest_Rate*Loan_Years*Loan_Start&gt;0,1,0)</definedName>
    <definedName name="Values_Entered" localSheetId="6">IF(Loan_Amount*Interest_Rate*Loan_Years*Loan_Start&gt;0,1,0)</definedName>
    <definedName name="Values_Entered" localSheetId="7">IF(Loan_Amount*Interest_Rate*Loan_Years*Loan_Start&gt;0,1,0)</definedName>
    <definedName name="Values_Entered" localSheetId="8">IF(Loan_Amount*Interest_Rate*Loan_Years*Loan_Start&gt;0,1,0)</definedName>
    <definedName name="Values_Entered" localSheetId="13">IF(Loan_Amount*Interest_Rate*Loan_Years*Loan_Start&gt;0,1,0)</definedName>
    <definedName name="Values_Entered" localSheetId="14">IF(Loan_Amount*Interest_Rate*Loan_Years*Loan_Start&gt;0,1,0)</definedName>
    <definedName name="Values_Entered" localSheetId="16">IF(Loan_Amount*Interest_Rate*Loan_Years*Loan_Start&gt;0,1,0)</definedName>
    <definedName name="Values_Entered" localSheetId="17">IF(Loan_Amount*Interest_Rate*Loan_Years*Loan_Start&gt;0,1,0)</definedName>
    <definedName name="Values_Entered" localSheetId="20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OMEsc" localSheetId="27">[9]Assumptions!$C$21</definedName>
    <definedName name="VOMEsc">[9]Assumptions!$C$21</definedName>
    <definedName name="WACC" localSheetId="27">[9]Assumptions!$I$61</definedName>
    <definedName name="WACC">[9]Assumptions!$I$61</definedName>
    <definedName name="WaRevenueTax">[11]Variables!$D$27</definedName>
    <definedName name="Winter">'[62]Input Tab'!$B$11</definedName>
    <definedName name="WinterPeak">'[63]Load Data'!$D$9:$H$12,'[63]Load Data'!$D$20:$H$22</definedName>
    <definedName name="WUTC_Docket_No._UG_11____">'[6]MJS-6'!$F$2</definedName>
    <definedName name="WUTC_FILING_FEE">'[6]MJS-7'!$O$15</definedName>
    <definedName name="Years_evaluated">'[64]Revison Inputs'!$B$6</definedName>
    <definedName name="YEFactors">[8]Factors!$S$3:$AG$99</definedName>
    <definedName name="YTD_Format">[46]YTD!$B$13:$D$13,[46]YTD!$B$36:$D$36</definedName>
  </definedNames>
  <calcPr calcId="145621" calcMode="autoNoTable"/>
</workbook>
</file>

<file path=xl/calcChain.xml><?xml version="1.0" encoding="utf-8"?>
<calcChain xmlns="http://schemas.openxmlformats.org/spreadsheetml/2006/main">
  <c r="Q25" i="65" l="1"/>
  <c r="Q22" i="65"/>
  <c r="Q21" i="65"/>
  <c r="Q20" i="65"/>
  <c r="Q19" i="65"/>
  <c r="Q16" i="65"/>
  <c r="Q15" i="65"/>
  <c r="Q14" i="65"/>
  <c r="Q18" i="65"/>
  <c r="Q17" i="65"/>
  <c r="Q13" i="65"/>
  <c r="Q12" i="65"/>
  <c r="Q11" i="65"/>
  <c r="Q10" i="65"/>
  <c r="S17" i="56"/>
  <c r="G17" i="56"/>
  <c r="S11" i="56"/>
  <c r="G11" i="56"/>
  <c r="O151" i="68"/>
  <c r="N151" i="68"/>
  <c r="M151" i="68"/>
  <c r="L151" i="68"/>
  <c r="K151" i="68"/>
  <c r="J151" i="68"/>
  <c r="I151" i="68"/>
  <c r="H151" i="68"/>
  <c r="G151" i="68"/>
  <c r="F151" i="68"/>
  <c r="E151" i="68"/>
  <c r="D151" i="68"/>
  <c r="O150" i="68"/>
  <c r="N150" i="68"/>
  <c r="M150" i="68"/>
  <c r="L150" i="68"/>
  <c r="K150" i="68"/>
  <c r="J150" i="68"/>
  <c r="I150" i="68"/>
  <c r="H150" i="68"/>
  <c r="G150" i="68"/>
  <c r="F150" i="68"/>
  <c r="E150" i="68"/>
  <c r="D150" i="68"/>
  <c r="O149" i="68"/>
  <c r="N149" i="68"/>
  <c r="M149" i="68"/>
  <c r="L149" i="68"/>
  <c r="K149" i="68"/>
  <c r="J149" i="68"/>
  <c r="I149" i="68"/>
  <c r="H149" i="68"/>
  <c r="G149" i="68"/>
  <c r="F149" i="68"/>
  <c r="E149" i="68"/>
  <c r="D149" i="68"/>
  <c r="O82" i="68"/>
  <c r="N82" i="68"/>
  <c r="M82" i="68"/>
  <c r="L82" i="68"/>
  <c r="K82" i="68"/>
  <c r="J82" i="68"/>
  <c r="I82" i="68"/>
  <c r="H82" i="68"/>
  <c r="G82" i="68"/>
  <c r="F82" i="68"/>
  <c r="E82" i="68"/>
  <c r="D82" i="68"/>
  <c r="E25" i="71"/>
  <c r="E25" i="70"/>
  <c r="E25" i="69"/>
  <c r="E25" i="65"/>
  <c r="E22" i="71"/>
  <c r="F21" i="71"/>
  <c r="E21" i="71"/>
  <c r="F20" i="71"/>
  <c r="E20" i="71"/>
  <c r="F19" i="71"/>
  <c r="E19" i="71"/>
  <c r="F18" i="71"/>
  <c r="E18" i="71"/>
  <c r="F17" i="71"/>
  <c r="E17" i="71"/>
  <c r="F16" i="71"/>
  <c r="E16" i="71"/>
  <c r="F15" i="71"/>
  <c r="E15" i="71"/>
  <c r="F14" i="71"/>
  <c r="E14" i="71"/>
  <c r="F13" i="71"/>
  <c r="E13" i="71"/>
  <c r="F12" i="71"/>
  <c r="E12" i="71"/>
  <c r="F11" i="71"/>
  <c r="E11" i="71"/>
  <c r="F10" i="71"/>
  <c r="E10" i="71"/>
  <c r="E22" i="70"/>
  <c r="F21" i="70"/>
  <c r="E21" i="70"/>
  <c r="F20" i="70"/>
  <c r="E20" i="70"/>
  <c r="F19" i="70"/>
  <c r="E19" i="70"/>
  <c r="F18" i="70"/>
  <c r="E18" i="70"/>
  <c r="F17" i="70"/>
  <c r="E17" i="70"/>
  <c r="F16" i="70"/>
  <c r="E16" i="70"/>
  <c r="F15" i="70"/>
  <c r="E15" i="70"/>
  <c r="F14" i="70"/>
  <c r="E14" i="70"/>
  <c r="F13" i="70"/>
  <c r="E13" i="70"/>
  <c r="F12" i="70"/>
  <c r="E12" i="70"/>
  <c r="F11" i="70"/>
  <c r="E11" i="70"/>
  <c r="F10" i="70"/>
  <c r="E10" i="70"/>
  <c r="E22" i="69"/>
  <c r="F21" i="69"/>
  <c r="E21" i="69"/>
  <c r="F20" i="69"/>
  <c r="E20" i="69"/>
  <c r="F19" i="69"/>
  <c r="E19" i="69"/>
  <c r="F18" i="69"/>
  <c r="E18" i="69"/>
  <c r="F17" i="69"/>
  <c r="E17" i="69"/>
  <c r="F16" i="69"/>
  <c r="E16" i="69"/>
  <c r="F15" i="69"/>
  <c r="E15" i="69"/>
  <c r="F14" i="69"/>
  <c r="E14" i="69"/>
  <c r="F13" i="69"/>
  <c r="E13" i="69"/>
  <c r="F12" i="69"/>
  <c r="E12" i="69"/>
  <c r="F11" i="69"/>
  <c r="E11" i="69"/>
  <c r="F10" i="69"/>
  <c r="E10" i="69"/>
  <c r="E22" i="65"/>
  <c r="F21" i="65"/>
  <c r="E21" i="65"/>
  <c r="F20" i="65"/>
  <c r="E20" i="65"/>
  <c r="F19" i="65"/>
  <c r="E19" i="65"/>
  <c r="F18" i="65"/>
  <c r="E18" i="65"/>
  <c r="F17" i="65"/>
  <c r="E17" i="65"/>
  <c r="F16" i="65"/>
  <c r="E16" i="65"/>
  <c r="F15" i="65"/>
  <c r="E15" i="65"/>
  <c r="F14" i="65"/>
  <c r="E14" i="65"/>
  <c r="F13" i="65"/>
  <c r="E13" i="65"/>
  <c r="F12" i="65"/>
  <c r="E12" i="65"/>
  <c r="F11" i="65"/>
  <c r="E11" i="65"/>
  <c r="F10" i="65"/>
  <c r="E10" i="65"/>
  <c r="P12" i="65" l="1"/>
  <c r="R40" i="66"/>
  <c r="R37" i="66"/>
  <c r="R32" i="66"/>
  <c r="R31" i="66"/>
  <c r="R26" i="66"/>
  <c r="R12" i="66"/>
  <c r="R13" i="66"/>
  <c r="R18" i="66"/>
  <c r="R21" i="66"/>
  <c r="R23" i="66"/>
  <c r="R11" i="66"/>
  <c r="Q22" i="71" l="1"/>
  <c r="Q21" i="71"/>
  <c r="Q20" i="71"/>
  <c r="Q19" i="71"/>
  <c r="Q18" i="71"/>
  <c r="Q17" i="71"/>
  <c r="Q16" i="71"/>
  <c r="Q15" i="71"/>
  <c r="Q14" i="71"/>
  <c r="Q13" i="71"/>
  <c r="Q12" i="71"/>
  <c r="Q11" i="71"/>
  <c r="Q10" i="71"/>
  <c r="S24" i="56"/>
  <c r="S21" i="56"/>
  <c r="S20" i="56"/>
  <c r="S13" i="56"/>
  <c r="S12" i="56"/>
  <c r="S32" i="56"/>
  <c r="S27" i="56"/>
  <c r="S23" i="56"/>
  <c r="S22" i="56"/>
  <c r="S19" i="56"/>
  <c r="P24" i="56"/>
  <c r="P22" i="56"/>
  <c r="J12" i="56"/>
  <c r="J20" i="56"/>
  <c r="M21" i="56"/>
  <c r="M13" i="56"/>
  <c r="M19" i="56"/>
  <c r="Q25" i="70"/>
  <c r="Q22" i="70"/>
  <c r="Q20" i="70"/>
  <c r="Q17" i="70"/>
  <c r="Q12" i="70"/>
  <c r="Q11" i="70"/>
  <c r="Q10" i="70"/>
  <c r="Q22" i="69"/>
  <c r="Q20" i="69"/>
  <c r="Q17" i="69"/>
  <c r="Q12" i="69"/>
  <c r="Q11" i="69"/>
  <c r="Q10" i="69"/>
  <c r="L22" i="71"/>
  <c r="L20" i="71"/>
  <c r="L17" i="71"/>
  <c r="L12" i="71"/>
  <c r="L11" i="71"/>
  <c r="L10" i="71"/>
  <c r="L22" i="70"/>
  <c r="L20" i="70"/>
  <c r="L17" i="70"/>
  <c r="L12" i="70"/>
  <c r="L11" i="70"/>
  <c r="L10" i="70"/>
  <c r="L22" i="69"/>
  <c r="L20" i="69"/>
  <c r="L17" i="69"/>
  <c r="L12" i="69"/>
  <c r="L11" i="69"/>
  <c r="L10" i="69"/>
  <c r="L12" i="65"/>
  <c r="K22" i="71"/>
  <c r="K20" i="71"/>
  <c r="K17" i="71"/>
  <c r="K12" i="71"/>
  <c r="K11" i="71"/>
  <c r="K10" i="71"/>
  <c r="K22" i="70"/>
  <c r="K20" i="70"/>
  <c r="K17" i="70"/>
  <c r="K12" i="70"/>
  <c r="K11" i="70"/>
  <c r="K10" i="70"/>
  <c r="K22" i="69"/>
  <c r="K20" i="69"/>
  <c r="K17" i="69"/>
  <c r="K12" i="69"/>
  <c r="K11" i="69"/>
  <c r="K10" i="69"/>
  <c r="K12" i="65"/>
  <c r="Q25" i="69"/>
  <c r="H139" i="53"/>
  <c r="H139" i="18"/>
  <c r="J27" i="56"/>
  <c r="G32" i="56"/>
  <c r="O12" i="66" l="1"/>
  <c r="O13" i="66"/>
  <c r="O14" i="66"/>
  <c r="O15" i="66"/>
  <c r="O16" i="66"/>
  <c r="O17" i="66"/>
  <c r="O18" i="66"/>
  <c r="O19" i="66"/>
  <c r="O20" i="66"/>
  <c r="O21" i="66"/>
  <c r="O22" i="66"/>
  <c r="O23" i="66"/>
  <c r="O11" i="66"/>
  <c r="L26" i="66"/>
  <c r="L12" i="66"/>
  <c r="L13" i="66"/>
  <c r="L18" i="66"/>
  <c r="L21" i="66"/>
  <c r="L23" i="66"/>
  <c r="L11" i="66"/>
  <c r="I26" i="66"/>
  <c r="I12" i="66"/>
  <c r="I13" i="66"/>
  <c r="I18" i="66"/>
  <c r="I21" i="66"/>
  <c r="I23" i="66"/>
  <c r="I11" i="66"/>
  <c r="Q32" i="71"/>
  <c r="Q30" i="71"/>
  <c r="Q35" i="71"/>
  <c r="Q31" i="71"/>
  <c r="Q33" i="71"/>
  <c r="O22" i="71"/>
  <c r="O21" i="71"/>
  <c r="O20" i="71"/>
  <c r="O19" i="71"/>
  <c r="O18" i="71"/>
  <c r="O17" i="71"/>
  <c r="O16" i="71"/>
  <c r="O15" i="71"/>
  <c r="O14" i="71"/>
  <c r="O13" i="71"/>
  <c r="O12" i="71"/>
  <c r="O11" i="71"/>
  <c r="O10" i="71"/>
  <c r="Q39" i="71"/>
  <c r="Q36" i="71"/>
  <c r="D36" i="71"/>
  <c r="D35" i="71"/>
  <c r="Q34" i="71"/>
  <c r="D34" i="71"/>
  <c r="D33" i="71"/>
  <c r="D37" i="71" s="1"/>
  <c r="D40" i="71" s="1"/>
  <c r="D32" i="71"/>
  <c r="E31" i="71"/>
  <c r="D31" i="71"/>
  <c r="D30" i="71"/>
  <c r="M25" i="71"/>
  <c r="L25" i="71"/>
  <c r="K25" i="71"/>
  <c r="J25" i="71"/>
  <c r="E39" i="71"/>
  <c r="D25" i="71"/>
  <c r="M23" i="71"/>
  <c r="M26" i="71" s="1"/>
  <c r="J23" i="71"/>
  <c r="J26" i="71" s="1"/>
  <c r="H23" i="71"/>
  <c r="H26" i="71" s="1"/>
  <c r="G23" i="71"/>
  <c r="G26" i="71" s="1"/>
  <c r="D23" i="71"/>
  <c r="M22" i="71"/>
  <c r="J22" i="71"/>
  <c r="P22" i="71"/>
  <c r="P36" i="71" s="1"/>
  <c r="R36" i="71" s="1"/>
  <c r="D22" i="71"/>
  <c r="M21" i="71"/>
  <c r="J21" i="71"/>
  <c r="D21" i="71"/>
  <c r="N20" i="71"/>
  <c r="M20" i="71"/>
  <c r="J20" i="71"/>
  <c r="I20" i="71"/>
  <c r="D20" i="71"/>
  <c r="M19" i="71"/>
  <c r="J19" i="71"/>
  <c r="D19" i="71"/>
  <c r="M18" i="71"/>
  <c r="J18" i="71"/>
  <c r="I18" i="71"/>
  <c r="D18" i="71"/>
  <c r="N17" i="71"/>
  <c r="M17" i="71"/>
  <c r="J17" i="71"/>
  <c r="I17" i="71"/>
  <c r="D17" i="71"/>
  <c r="M16" i="71"/>
  <c r="J16" i="71"/>
  <c r="H16" i="71"/>
  <c r="G16" i="71"/>
  <c r="E35" i="71"/>
  <c r="D16" i="71"/>
  <c r="M15" i="71"/>
  <c r="J15" i="71"/>
  <c r="I15" i="71"/>
  <c r="H15" i="71"/>
  <c r="G15" i="71"/>
  <c r="D15" i="71"/>
  <c r="M14" i="71"/>
  <c r="J14" i="71"/>
  <c r="H14" i="71"/>
  <c r="G14" i="71"/>
  <c r="D14" i="71"/>
  <c r="M13" i="71"/>
  <c r="J13" i="71"/>
  <c r="I13" i="71"/>
  <c r="H13" i="71"/>
  <c r="G13" i="71"/>
  <c r="E32" i="71"/>
  <c r="D13" i="71"/>
  <c r="N12" i="71"/>
  <c r="M12" i="71"/>
  <c r="J12" i="71"/>
  <c r="I12" i="71"/>
  <c r="H12" i="71"/>
  <c r="G12" i="71"/>
  <c r="D12" i="71"/>
  <c r="M11" i="71"/>
  <c r="J11" i="71"/>
  <c r="H11" i="71"/>
  <c r="G11" i="71"/>
  <c r="D11" i="71"/>
  <c r="N10" i="71"/>
  <c r="M10" i="71"/>
  <c r="J10" i="71"/>
  <c r="I10" i="71"/>
  <c r="H10" i="71"/>
  <c r="G10" i="71"/>
  <c r="F23" i="71"/>
  <c r="F26" i="71" s="1"/>
  <c r="D10" i="71"/>
  <c r="Q39" i="70"/>
  <c r="Q36" i="70"/>
  <c r="Q30" i="70"/>
  <c r="D34" i="70"/>
  <c r="M25" i="70"/>
  <c r="L25" i="70"/>
  <c r="K25" i="70"/>
  <c r="J25" i="70"/>
  <c r="P25" i="70"/>
  <c r="P39" i="70" s="1"/>
  <c r="D25" i="70"/>
  <c r="O22" i="70"/>
  <c r="M22" i="70"/>
  <c r="J22" i="70"/>
  <c r="E36" i="70"/>
  <c r="D22" i="70"/>
  <c r="D36" i="70" s="1"/>
  <c r="O21" i="70"/>
  <c r="M21" i="70"/>
  <c r="J21" i="70"/>
  <c r="D21" i="70"/>
  <c r="O20" i="70"/>
  <c r="N20" i="70"/>
  <c r="M20" i="70"/>
  <c r="J20" i="70"/>
  <c r="I20" i="70"/>
  <c r="P20" i="70"/>
  <c r="D20" i="70"/>
  <c r="O19" i="70"/>
  <c r="M19" i="70"/>
  <c r="J19" i="70"/>
  <c r="D19" i="70"/>
  <c r="O18" i="70"/>
  <c r="M18" i="70"/>
  <c r="J18" i="70"/>
  <c r="I18" i="70"/>
  <c r="D18" i="70"/>
  <c r="O17" i="70"/>
  <c r="N17" i="70"/>
  <c r="M17" i="70"/>
  <c r="J17" i="70"/>
  <c r="I17" i="70"/>
  <c r="P17" i="70"/>
  <c r="D17" i="70"/>
  <c r="O16" i="70"/>
  <c r="O23" i="70" s="1"/>
  <c r="O26" i="70" s="1"/>
  <c r="M16" i="70"/>
  <c r="J16" i="70"/>
  <c r="H16" i="70"/>
  <c r="G16" i="70"/>
  <c r="E35" i="70"/>
  <c r="D16" i="70"/>
  <c r="D35" i="70" s="1"/>
  <c r="O15" i="70"/>
  <c r="M15" i="70"/>
  <c r="J15" i="70"/>
  <c r="I15" i="70"/>
  <c r="H15" i="70"/>
  <c r="G15" i="70"/>
  <c r="D15" i="70"/>
  <c r="O14" i="70"/>
  <c r="M14" i="70"/>
  <c r="J14" i="70"/>
  <c r="H14" i="70"/>
  <c r="G14" i="70"/>
  <c r="G23" i="70" s="1"/>
  <c r="G26" i="70" s="1"/>
  <c r="E33" i="70"/>
  <c r="D14" i="70"/>
  <c r="D33" i="70" s="1"/>
  <c r="O13" i="70"/>
  <c r="M13" i="70"/>
  <c r="J13" i="70"/>
  <c r="I13" i="70"/>
  <c r="H13" i="70"/>
  <c r="G13" i="70"/>
  <c r="D13" i="70"/>
  <c r="D32" i="70" s="1"/>
  <c r="Q31" i="70"/>
  <c r="O12" i="70"/>
  <c r="N12" i="70"/>
  <c r="M12" i="70"/>
  <c r="J12" i="70"/>
  <c r="I12" i="70"/>
  <c r="H12" i="70"/>
  <c r="G12" i="70"/>
  <c r="D12" i="70"/>
  <c r="D31" i="70" s="1"/>
  <c r="O11" i="70"/>
  <c r="M11" i="70"/>
  <c r="J11" i="70"/>
  <c r="H11" i="70"/>
  <c r="G11" i="70"/>
  <c r="D11" i="70"/>
  <c r="O10" i="70"/>
  <c r="N10" i="70"/>
  <c r="M10" i="70"/>
  <c r="M23" i="70" s="1"/>
  <c r="M26" i="70" s="1"/>
  <c r="J10" i="70"/>
  <c r="J23" i="70" s="1"/>
  <c r="J26" i="70" s="1"/>
  <c r="I10" i="70"/>
  <c r="H10" i="70"/>
  <c r="H23" i="70" s="1"/>
  <c r="H26" i="70" s="1"/>
  <c r="G10" i="70"/>
  <c r="D10" i="70"/>
  <c r="D30" i="70" s="1"/>
  <c r="D37" i="70" s="1"/>
  <c r="D40" i="70" s="1"/>
  <c r="Q39" i="69"/>
  <c r="M25" i="69"/>
  <c r="L25" i="69"/>
  <c r="K25" i="69"/>
  <c r="J25" i="69"/>
  <c r="E39" i="69"/>
  <c r="D25" i="69"/>
  <c r="O22" i="69"/>
  <c r="M22" i="69"/>
  <c r="J22" i="69"/>
  <c r="E36" i="69"/>
  <c r="D22" i="69"/>
  <c r="D36" i="69" s="1"/>
  <c r="O21" i="69"/>
  <c r="M21" i="69"/>
  <c r="J21" i="69"/>
  <c r="D21" i="69"/>
  <c r="O20" i="69"/>
  <c r="N20" i="69"/>
  <c r="M20" i="69"/>
  <c r="J20" i="69"/>
  <c r="I20" i="69"/>
  <c r="D20" i="69"/>
  <c r="O19" i="69"/>
  <c r="M19" i="69"/>
  <c r="J19" i="69"/>
  <c r="D19" i="69"/>
  <c r="O18" i="69"/>
  <c r="M18" i="69"/>
  <c r="J18" i="69"/>
  <c r="I18" i="69"/>
  <c r="D18" i="69"/>
  <c r="O17" i="69"/>
  <c r="N17" i="69"/>
  <c r="M17" i="69"/>
  <c r="J17" i="69"/>
  <c r="I17" i="69"/>
  <c r="D17" i="69"/>
  <c r="O16" i="69"/>
  <c r="M16" i="69"/>
  <c r="J16" i="69"/>
  <c r="H16" i="69"/>
  <c r="G16" i="69"/>
  <c r="D16" i="69"/>
  <c r="D35" i="69" s="1"/>
  <c r="O15" i="69"/>
  <c r="M15" i="69"/>
  <c r="J15" i="69"/>
  <c r="I15" i="69"/>
  <c r="H15" i="69"/>
  <c r="G15" i="69"/>
  <c r="D15" i="69"/>
  <c r="D34" i="69" s="1"/>
  <c r="O14" i="69"/>
  <c r="M14" i="69"/>
  <c r="J14" i="69"/>
  <c r="H14" i="69"/>
  <c r="G14" i="69"/>
  <c r="E33" i="69"/>
  <c r="D14" i="69"/>
  <c r="D33" i="69" s="1"/>
  <c r="O13" i="69"/>
  <c r="M13" i="69"/>
  <c r="J13" i="69"/>
  <c r="I13" i="69"/>
  <c r="H13" i="69"/>
  <c r="G13" i="69"/>
  <c r="D13" i="69"/>
  <c r="D32" i="69" s="1"/>
  <c r="O12" i="69"/>
  <c r="N12" i="69"/>
  <c r="M12" i="69"/>
  <c r="J12" i="69"/>
  <c r="I12" i="69"/>
  <c r="H12" i="69"/>
  <c r="G12" i="69"/>
  <c r="D12" i="69"/>
  <c r="D31" i="69" s="1"/>
  <c r="O11" i="69"/>
  <c r="M11" i="69"/>
  <c r="J11" i="69"/>
  <c r="H11" i="69"/>
  <c r="G11" i="69"/>
  <c r="D11" i="69"/>
  <c r="O10" i="69"/>
  <c r="O23" i="69" s="1"/>
  <c r="O26" i="69" s="1"/>
  <c r="N10" i="69"/>
  <c r="M10" i="69"/>
  <c r="M23" i="69" s="1"/>
  <c r="M26" i="69" s="1"/>
  <c r="J10" i="69"/>
  <c r="J23" i="69" s="1"/>
  <c r="J26" i="69" s="1"/>
  <c r="I10" i="69"/>
  <c r="H10" i="69"/>
  <c r="H23" i="69" s="1"/>
  <c r="H26" i="69" s="1"/>
  <c r="G10" i="69"/>
  <c r="G23" i="69" s="1"/>
  <c r="G26" i="69" s="1"/>
  <c r="D10" i="69"/>
  <c r="D30" i="69" s="1"/>
  <c r="D37" i="69" s="1"/>
  <c r="D40" i="69" s="1"/>
  <c r="E36" i="71" l="1"/>
  <c r="P11" i="71"/>
  <c r="R11" i="71" s="1"/>
  <c r="F23" i="69"/>
  <c r="F26" i="69" s="1"/>
  <c r="P11" i="70"/>
  <c r="R11" i="70" s="1"/>
  <c r="P20" i="71"/>
  <c r="R20" i="71" s="1"/>
  <c r="P12" i="69"/>
  <c r="R12" i="69" s="1"/>
  <c r="E35" i="69"/>
  <c r="F23" i="70"/>
  <c r="F26" i="70" s="1"/>
  <c r="E30" i="71"/>
  <c r="P12" i="71"/>
  <c r="E34" i="71"/>
  <c r="E33" i="71"/>
  <c r="P17" i="69"/>
  <c r="R17" i="69" s="1"/>
  <c r="P10" i="70"/>
  <c r="R10" i="70" s="1"/>
  <c r="P12" i="70"/>
  <c r="P31" i="70" s="1"/>
  <c r="R31" i="70" s="1"/>
  <c r="E39" i="70"/>
  <c r="P10" i="71"/>
  <c r="R10" i="71" s="1"/>
  <c r="P25" i="71"/>
  <c r="P39" i="71" s="1"/>
  <c r="R39" i="71" s="1"/>
  <c r="P10" i="69"/>
  <c r="R10" i="69" s="1"/>
  <c r="P11" i="69"/>
  <c r="P30" i="69" s="1"/>
  <c r="E32" i="69"/>
  <c r="P20" i="69"/>
  <c r="E32" i="70"/>
  <c r="E23" i="71"/>
  <c r="E26" i="71" s="1"/>
  <c r="P17" i="71"/>
  <c r="R17" i="71" s="1"/>
  <c r="Q23" i="71"/>
  <c r="Q26" i="71" s="1"/>
  <c r="R22" i="71"/>
  <c r="O23" i="71"/>
  <c r="O26" i="71" s="1"/>
  <c r="R12" i="71"/>
  <c r="Q37" i="71"/>
  <c r="R17" i="70"/>
  <c r="R20" i="70"/>
  <c r="R39" i="70"/>
  <c r="D23" i="70"/>
  <c r="R25" i="70"/>
  <c r="E30" i="70"/>
  <c r="E34" i="70"/>
  <c r="P22" i="70"/>
  <c r="E23" i="70"/>
  <c r="E26" i="70" s="1"/>
  <c r="E31" i="70"/>
  <c r="Q31" i="69"/>
  <c r="Q30" i="69"/>
  <c r="R20" i="69"/>
  <c r="D23" i="69"/>
  <c r="E30" i="69"/>
  <c r="E34" i="69"/>
  <c r="Q36" i="69"/>
  <c r="P22" i="69"/>
  <c r="P36" i="69" s="1"/>
  <c r="E23" i="69"/>
  <c r="E26" i="69" s="1"/>
  <c r="E31" i="69"/>
  <c r="P25" i="69"/>
  <c r="P39" i="69" s="1"/>
  <c r="R12" i="70" l="1"/>
  <c r="P30" i="70"/>
  <c r="R30" i="70" s="1"/>
  <c r="E37" i="71"/>
  <c r="E40" i="71" s="1"/>
  <c r="P30" i="71"/>
  <c r="R30" i="71" s="1"/>
  <c r="R11" i="69"/>
  <c r="P31" i="69"/>
  <c r="R31" i="69" s="1"/>
  <c r="R25" i="71"/>
  <c r="P31" i="71"/>
  <c r="R31" i="71" s="1"/>
  <c r="Q40" i="71"/>
  <c r="E37" i="70"/>
  <c r="E40" i="70" s="1"/>
  <c r="P36" i="70"/>
  <c r="R36" i="70" s="1"/>
  <c r="R22" i="70"/>
  <c r="E37" i="69"/>
  <c r="E40" i="69" s="1"/>
  <c r="R22" i="69"/>
  <c r="R25" i="69"/>
  <c r="R36" i="69"/>
  <c r="R39" i="69"/>
  <c r="R30" i="69"/>
  <c r="C116" i="39" l="1"/>
  <c r="D116" i="39"/>
  <c r="E116" i="39"/>
  <c r="F116" i="39"/>
  <c r="G116" i="39"/>
  <c r="H116" i="39"/>
  <c r="I116" i="39"/>
  <c r="J116" i="39"/>
  <c r="K116" i="39"/>
  <c r="L116" i="39"/>
  <c r="M116" i="39"/>
  <c r="B116" i="39"/>
  <c r="C96" i="39"/>
  <c r="D96" i="39"/>
  <c r="E96" i="39"/>
  <c r="F96" i="39"/>
  <c r="G96" i="39"/>
  <c r="H96" i="39"/>
  <c r="I96" i="39"/>
  <c r="J96" i="39"/>
  <c r="K96" i="39"/>
  <c r="L96" i="39"/>
  <c r="M96" i="39"/>
  <c r="B96" i="39"/>
  <c r="C90" i="39"/>
  <c r="D90" i="39"/>
  <c r="E90" i="39"/>
  <c r="F90" i="39"/>
  <c r="G90" i="39"/>
  <c r="H90" i="39"/>
  <c r="I90" i="39"/>
  <c r="J90" i="39"/>
  <c r="K90" i="39"/>
  <c r="L90" i="39"/>
  <c r="M90" i="39"/>
  <c r="B90" i="39"/>
  <c r="C76" i="39"/>
  <c r="D76" i="39"/>
  <c r="E76" i="39"/>
  <c r="F76" i="39"/>
  <c r="G76" i="39"/>
  <c r="H76" i="39"/>
  <c r="I76" i="39"/>
  <c r="J76" i="39"/>
  <c r="K76" i="39"/>
  <c r="L76" i="39"/>
  <c r="M76" i="39"/>
  <c r="B76" i="39"/>
  <c r="C42" i="39"/>
  <c r="D42" i="39"/>
  <c r="E42" i="39"/>
  <c r="F42" i="39"/>
  <c r="G42" i="39"/>
  <c r="H42" i="39"/>
  <c r="I42" i="39"/>
  <c r="J42" i="39"/>
  <c r="K42" i="39"/>
  <c r="L42" i="39"/>
  <c r="M42" i="39"/>
  <c r="B42" i="39"/>
  <c r="C30" i="39"/>
  <c r="D30" i="39"/>
  <c r="E30" i="39"/>
  <c r="F30" i="39"/>
  <c r="G30" i="39"/>
  <c r="H30" i="39"/>
  <c r="I30" i="39"/>
  <c r="J30" i="39"/>
  <c r="K30" i="39"/>
  <c r="L30" i="39"/>
  <c r="M30" i="39"/>
  <c r="B30" i="39"/>
  <c r="N61" i="39" l="1"/>
  <c r="N60" i="39"/>
  <c r="N59" i="39"/>
  <c r="N58" i="39"/>
  <c r="N57" i="39"/>
  <c r="N62" i="39" s="1"/>
  <c r="N56" i="39"/>
  <c r="L261" i="68"/>
  <c r="D261" i="68"/>
  <c r="M254" i="68"/>
  <c r="O253" i="68"/>
  <c r="N253" i="68"/>
  <c r="M253" i="68"/>
  <c r="L253" i="68"/>
  <c r="K253" i="68"/>
  <c r="J253" i="68"/>
  <c r="I253" i="68"/>
  <c r="H253" i="68"/>
  <c r="G253" i="68"/>
  <c r="F253" i="68"/>
  <c r="E253" i="68"/>
  <c r="D253" i="68"/>
  <c r="P253" i="68" s="1"/>
  <c r="O252" i="68"/>
  <c r="N252" i="68"/>
  <c r="M252" i="68"/>
  <c r="L252" i="68"/>
  <c r="K252" i="68"/>
  <c r="J252" i="68"/>
  <c r="I252" i="68"/>
  <c r="H252" i="68"/>
  <c r="G252" i="68"/>
  <c r="F252" i="68"/>
  <c r="E252" i="68"/>
  <c r="D252" i="68"/>
  <c r="P252" i="68" s="1"/>
  <c r="O251" i="68"/>
  <c r="N251" i="68"/>
  <c r="M251" i="68"/>
  <c r="L251" i="68"/>
  <c r="K251" i="68"/>
  <c r="J251" i="68"/>
  <c r="I251" i="68"/>
  <c r="H251" i="68"/>
  <c r="G251" i="68"/>
  <c r="F251" i="68"/>
  <c r="E251" i="68"/>
  <c r="D251" i="68"/>
  <c r="O250" i="68"/>
  <c r="N250" i="68"/>
  <c r="M250" i="68"/>
  <c r="L250" i="68"/>
  <c r="K250" i="68"/>
  <c r="J250" i="68"/>
  <c r="I250" i="68"/>
  <c r="H250" i="68"/>
  <c r="G250" i="68"/>
  <c r="F250" i="68"/>
  <c r="E250" i="68"/>
  <c r="E254" i="68" s="1"/>
  <c r="D250" i="68"/>
  <c r="O249" i="68"/>
  <c r="N249" i="68"/>
  <c r="M249" i="68"/>
  <c r="L249" i="68"/>
  <c r="K249" i="68"/>
  <c r="J249" i="68"/>
  <c r="I249" i="68"/>
  <c r="H249" i="68"/>
  <c r="G249" i="68"/>
  <c r="F249" i="68"/>
  <c r="E249" i="68"/>
  <c r="D249" i="68"/>
  <c r="P249" i="68" s="1"/>
  <c r="O248" i="68"/>
  <c r="N248" i="68"/>
  <c r="M248" i="68"/>
  <c r="L248" i="68"/>
  <c r="K248" i="68"/>
  <c r="J248" i="68"/>
  <c r="I248" i="68"/>
  <c r="H248" i="68"/>
  <c r="G248" i="68"/>
  <c r="F248" i="68"/>
  <c r="E248" i="68"/>
  <c r="D248" i="68"/>
  <c r="P248" i="68" s="1"/>
  <c r="O247" i="68"/>
  <c r="N247" i="68"/>
  <c r="M247" i="68"/>
  <c r="L247" i="68"/>
  <c r="K247" i="68"/>
  <c r="J247" i="68"/>
  <c r="I247" i="68"/>
  <c r="H247" i="68"/>
  <c r="G247" i="68"/>
  <c r="F247" i="68"/>
  <c r="E247" i="68"/>
  <c r="D247" i="68"/>
  <c r="P247" i="68" s="1"/>
  <c r="O246" i="68"/>
  <c r="N246" i="68"/>
  <c r="M246" i="68"/>
  <c r="L246" i="68"/>
  <c r="K246" i="68"/>
  <c r="J246" i="68"/>
  <c r="I246" i="68"/>
  <c r="H246" i="68"/>
  <c r="G246" i="68"/>
  <c r="F246" i="68"/>
  <c r="E246" i="68"/>
  <c r="D246" i="68"/>
  <c r="O245" i="68"/>
  <c r="N245" i="68"/>
  <c r="M245" i="68"/>
  <c r="L245" i="68"/>
  <c r="K245" i="68"/>
  <c r="J245" i="68"/>
  <c r="I245" i="68"/>
  <c r="H245" i="68"/>
  <c r="G245" i="68"/>
  <c r="F245" i="68"/>
  <c r="E245" i="68"/>
  <c r="D245" i="68"/>
  <c r="O244" i="68"/>
  <c r="N244" i="68"/>
  <c r="M244" i="68"/>
  <c r="L244" i="68"/>
  <c r="K244" i="68"/>
  <c r="J244" i="68"/>
  <c r="I244" i="68"/>
  <c r="H244" i="68"/>
  <c r="G244" i="68"/>
  <c r="F244" i="68"/>
  <c r="E244" i="68"/>
  <c r="D244" i="68"/>
  <c r="P244" i="68" s="1"/>
  <c r="O243" i="68"/>
  <c r="N243" i="68"/>
  <c r="M243" i="68"/>
  <c r="L243" i="68"/>
  <c r="K243" i="68"/>
  <c r="J243" i="68"/>
  <c r="I243" i="68"/>
  <c r="H243" i="68"/>
  <c r="G243" i="68"/>
  <c r="F243" i="68"/>
  <c r="E243" i="68"/>
  <c r="D243" i="68"/>
  <c r="O242" i="68"/>
  <c r="N242" i="68"/>
  <c r="M242" i="68"/>
  <c r="L242" i="68"/>
  <c r="K242" i="68"/>
  <c r="J242" i="68"/>
  <c r="I242" i="68"/>
  <c r="H242" i="68"/>
  <c r="G242" i="68"/>
  <c r="F242" i="68"/>
  <c r="E242" i="68"/>
  <c r="D242" i="68"/>
  <c r="O241" i="68"/>
  <c r="N241" i="68"/>
  <c r="M241" i="68"/>
  <c r="L241" i="68"/>
  <c r="K241" i="68"/>
  <c r="J241" i="68"/>
  <c r="I241" i="68"/>
  <c r="H241" i="68"/>
  <c r="G241" i="68"/>
  <c r="F241" i="68"/>
  <c r="E241" i="68"/>
  <c r="D241" i="68"/>
  <c r="O240" i="68"/>
  <c r="N240" i="68"/>
  <c r="M240" i="68"/>
  <c r="L240" i="68"/>
  <c r="L254" i="68" s="1"/>
  <c r="L255" i="68" s="1"/>
  <c r="K240" i="68"/>
  <c r="J240" i="68"/>
  <c r="I240" i="68"/>
  <c r="H240" i="68"/>
  <c r="H254" i="68" s="1"/>
  <c r="H255" i="68" s="1"/>
  <c r="G240" i="68"/>
  <c r="F240" i="68"/>
  <c r="E240" i="68"/>
  <c r="D240" i="68"/>
  <c r="D254" i="68" s="1"/>
  <c r="D255" i="68" s="1"/>
  <c r="J233" i="68"/>
  <c r="J268" i="68" s="1"/>
  <c r="P226" i="68"/>
  <c r="M225" i="68"/>
  <c r="M261" i="68" s="1"/>
  <c r="K225" i="68"/>
  <c r="K261" i="68" s="1"/>
  <c r="I225" i="68"/>
  <c r="I261" i="68" s="1"/>
  <c r="E225" i="68"/>
  <c r="E261" i="68" s="1"/>
  <c r="M221" i="68"/>
  <c r="J221" i="68"/>
  <c r="I221" i="68"/>
  <c r="E221" i="68"/>
  <c r="P214" i="68"/>
  <c r="P207" i="68"/>
  <c r="P206" i="68"/>
  <c r="P202" i="68"/>
  <c r="O197" i="68"/>
  <c r="N197" i="68"/>
  <c r="M197" i="68"/>
  <c r="L197" i="68"/>
  <c r="K197" i="68"/>
  <c r="J197" i="68"/>
  <c r="I197" i="68"/>
  <c r="H197" i="68"/>
  <c r="G197" i="68"/>
  <c r="F197" i="68"/>
  <c r="E197" i="68"/>
  <c r="D197" i="68"/>
  <c r="O196" i="68"/>
  <c r="O233" i="68" s="1"/>
  <c r="O268" i="68" s="1"/>
  <c r="N196" i="68"/>
  <c r="N233" i="68" s="1"/>
  <c r="N268" i="68" s="1"/>
  <c r="M196" i="68"/>
  <c r="M233" i="68" s="1"/>
  <c r="M268" i="68" s="1"/>
  <c r="L196" i="68"/>
  <c r="L233" i="68" s="1"/>
  <c r="L268" i="68" s="1"/>
  <c r="K196" i="68"/>
  <c r="K233" i="68" s="1"/>
  <c r="K268" i="68" s="1"/>
  <c r="J196" i="68"/>
  <c r="I196" i="68"/>
  <c r="I233" i="68" s="1"/>
  <c r="I268" i="68" s="1"/>
  <c r="H196" i="68"/>
  <c r="H233" i="68" s="1"/>
  <c r="H268" i="68" s="1"/>
  <c r="G196" i="68"/>
  <c r="G233" i="68" s="1"/>
  <c r="G268" i="68" s="1"/>
  <c r="F196" i="68"/>
  <c r="F233" i="68" s="1"/>
  <c r="F268" i="68" s="1"/>
  <c r="E196" i="68"/>
  <c r="E233" i="68" s="1"/>
  <c r="E268" i="68" s="1"/>
  <c r="D196" i="68"/>
  <c r="D233" i="68" s="1"/>
  <c r="O195" i="68"/>
  <c r="N195" i="68"/>
  <c r="M195" i="68"/>
  <c r="L195" i="68"/>
  <c r="K195" i="68"/>
  <c r="J195" i="68"/>
  <c r="I195" i="68"/>
  <c r="H195" i="68"/>
  <c r="G195" i="68"/>
  <c r="F195" i="68"/>
  <c r="E195" i="68"/>
  <c r="D195" i="68"/>
  <c r="P195" i="68" s="1"/>
  <c r="O194" i="68"/>
  <c r="N194" i="68"/>
  <c r="M194" i="68"/>
  <c r="L194" i="68"/>
  <c r="K194" i="68"/>
  <c r="J194" i="68"/>
  <c r="I194" i="68"/>
  <c r="H194" i="68"/>
  <c r="G194" i="68"/>
  <c r="F194" i="68"/>
  <c r="E194" i="68"/>
  <c r="D194" i="68"/>
  <c r="P194" i="68" s="1"/>
  <c r="O193" i="68"/>
  <c r="N193" i="68"/>
  <c r="M193" i="68"/>
  <c r="L193" i="68"/>
  <c r="K193" i="68"/>
  <c r="J193" i="68"/>
  <c r="I193" i="68"/>
  <c r="H193" i="68"/>
  <c r="G193" i="68"/>
  <c r="F193" i="68"/>
  <c r="E193" i="68"/>
  <c r="D193" i="68"/>
  <c r="P193" i="68" s="1"/>
  <c r="C193" i="68"/>
  <c r="B193" i="68"/>
  <c r="O192" i="68"/>
  <c r="N192" i="68"/>
  <c r="M192" i="68"/>
  <c r="L192" i="68"/>
  <c r="K192" i="68"/>
  <c r="J192" i="68"/>
  <c r="I192" i="68"/>
  <c r="I198" i="68" s="1"/>
  <c r="H192" i="68"/>
  <c r="G192" i="68"/>
  <c r="F192" i="68"/>
  <c r="E192" i="68"/>
  <c r="E198" i="68" s="1"/>
  <c r="D192" i="68"/>
  <c r="C192" i="68"/>
  <c r="B192" i="68"/>
  <c r="O191" i="68"/>
  <c r="N191" i="68"/>
  <c r="M191" i="68"/>
  <c r="L191" i="68"/>
  <c r="L198" i="68" s="1"/>
  <c r="K191" i="68"/>
  <c r="J191" i="68"/>
  <c r="I191" i="68"/>
  <c r="H191" i="68"/>
  <c r="G191" i="68"/>
  <c r="F191" i="68"/>
  <c r="E191" i="68"/>
  <c r="D191" i="68"/>
  <c r="P191" i="68" s="1"/>
  <c r="C191" i="68"/>
  <c r="B191" i="68"/>
  <c r="O190" i="68"/>
  <c r="N190" i="68"/>
  <c r="M190" i="68"/>
  <c r="L190" i="68"/>
  <c r="K190" i="68"/>
  <c r="J190" i="68"/>
  <c r="I190" i="68"/>
  <c r="H190" i="68"/>
  <c r="G190" i="68"/>
  <c r="F190" i="68"/>
  <c r="E190" i="68"/>
  <c r="D190" i="68"/>
  <c r="P190" i="68" s="1"/>
  <c r="O189" i="68"/>
  <c r="O225" i="68" s="1"/>
  <c r="O261" i="68" s="1"/>
  <c r="N189" i="68"/>
  <c r="N225" i="68" s="1"/>
  <c r="N261" i="68" s="1"/>
  <c r="M189" i="68"/>
  <c r="L189" i="68"/>
  <c r="L225" i="68" s="1"/>
  <c r="K189" i="68"/>
  <c r="J189" i="68"/>
  <c r="J225" i="68" s="1"/>
  <c r="J261" i="68" s="1"/>
  <c r="I189" i="68"/>
  <c r="H189" i="68"/>
  <c r="H225" i="68" s="1"/>
  <c r="H261" i="68" s="1"/>
  <c r="G189" i="68"/>
  <c r="G225" i="68" s="1"/>
  <c r="G261" i="68" s="1"/>
  <c r="F189" i="68"/>
  <c r="F225" i="68" s="1"/>
  <c r="F261" i="68" s="1"/>
  <c r="E189" i="68"/>
  <c r="D189" i="68"/>
  <c r="D225" i="68" s="1"/>
  <c r="O188" i="68"/>
  <c r="N188" i="68"/>
  <c r="M188" i="68"/>
  <c r="L188" i="68"/>
  <c r="K188" i="68"/>
  <c r="J188" i="68"/>
  <c r="I188" i="68"/>
  <c r="H188" i="68"/>
  <c r="G188" i="68"/>
  <c r="F188" i="68"/>
  <c r="E188" i="68"/>
  <c r="D188" i="68"/>
  <c r="D198" i="68" s="1"/>
  <c r="C188" i="68"/>
  <c r="B188" i="68"/>
  <c r="O187" i="68"/>
  <c r="N187" i="68"/>
  <c r="M187" i="68"/>
  <c r="L187" i="68"/>
  <c r="L221" i="68" s="1"/>
  <c r="K187" i="68"/>
  <c r="J187" i="68"/>
  <c r="I187" i="68"/>
  <c r="H187" i="68"/>
  <c r="H221" i="68" s="1"/>
  <c r="G187" i="68"/>
  <c r="F187" i="68"/>
  <c r="E187" i="68"/>
  <c r="D187" i="68"/>
  <c r="D221" i="68" s="1"/>
  <c r="F152" i="68"/>
  <c r="O152" i="68"/>
  <c r="N152" i="68"/>
  <c r="M152" i="68"/>
  <c r="K152" i="68"/>
  <c r="J152" i="68"/>
  <c r="I152" i="68"/>
  <c r="H152" i="68"/>
  <c r="G152" i="68"/>
  <c r="E152" i="68"/>
  <c r="O112" i="68"/>
  <c r="O127" i="68" s="1"/>
  <c r="O143" i="68" s="1"/>
  <c r="P83" i="68"/>
  <c r="O84" i="68"/>
  <c r="N84" i="68"/>
  <c r="N107" i="68" s="1"/>
  <c r="N122" i="68" s="1"/>
  <c r="N138" i="68" s="1"/>
  <c r="M84" i="68"/>
  <c r="L84" i="68"/>
  <c r="K84" i="68"/>
  <c r="K106" i="68" s="1"/>
  <c r="K121" i="68" s="1"/>
  <c r="K137" i="68" s="1"/>
  <c r="J84" i="68"/>
  <c r="J111" i="68" s="1"/>
  <c r="J126" i="68" s="1"/>
  <c r="J142" i="68" s="1"/>
  <c r="I84" i="68"/>
  <c r="H84" i="68"/>
  <c r="G84" i="68"/>
  <c r="F84" i="68"/>
  <c r="F110" i="68" s="1"/>
  <c r="F125" i="68" s="1"/>
  <c r="F141" i="68" s="1"/>
  <c r="E84" i="68"/>
  <c r="E104" i="68" s="1"/>
  <c r="E119" i="68" s="1"/>
  <c r="E135" i="68" s="1"/>
  <c r="D84" i="68"/>
  <c r="O79" i="68"/>
  <c r="O113" i="68" s="1"/>
  <c r="O128" i="68" s="1"/>
  <c r="O144" i="68" s="1"/>
  <c r="N79" i="68"/>
  <c r="N113" i="68" s="1"/>
  <c r="N128" i="68" s="1"/>
  <c r="N144" i="68" s="1"/>
  <c r="M79" i="68"/>
  <c r="L79" i="68"/>
  <c r="K79" i="68"/>
  <c r="J79" i="68"/>
  <c r="I79" i="68"/>
  <c r="H79" i="68"/>
  <c r="G79" i="68"/>
  <c r="G113" i="68" s="1"/>
  <c r="G128" i="68" s="1"/>
  <c r="G144" i="68" s="1"/>
  <c r="F79" i="68"/>
  <c r="F113" i="68" s="1"/>
  <c r="F128" i="68" s="1"/>
  <c r="F144" i="68" s="1"/>
  <c r="E79" i="68"/>
  <c r="D79" i="68"/>
  <c r="P79" i="68" s="1"/>
  <c r="O78" i="68"/>
  <c r="N78" i="68"/>
  <c r="N112" i="68" s="1"/>
  <c r="N127" i="68" s="1"/>
  <c r="N143" i="68" s="1"/>
  <c r="M78" i="68"/>
  <c r="M112" i="68" s="1"/>
  <c r="M127" i="68" s="1"/>
  <c r="M143" i="68" s="1"/>
  <c r="L78" i="68"/>
  <c r="L112" i="68" s="1"/>
  <c r="L127" i="68" s="1"/>
  <c r="L143" i="68" s="1"/>
  <c r="K78" i="68"/>
  <c r="K112" i="68" s="1"/>
  <c r="K127" i="68" s="1"/>
  <c r="K143" i="68" s="1"/>
  <c r="J78" i="68"/>
  <c r="J112" i="68" s="1"/>
  <c r="J127" i="68" s="1"/>
  <c r="J143" i="68" s="1"/>
  <c r="I78" i="68"/>
  <c r="H78" i="68"/>
  <c r="G78" i="68"/>
  <c r="F78" i="68"/>
  <c r="E78" i="68"/>
  <c r="D78" i="68"/>
  <c r="O77" i="68"/>
  <c r="N77" i="68"/>
  <c r="M77" i="68"/>
  <c r="L77" i="68"/>
  <c r="K77" i="68"/>
  <c r="J77" i="68"/>
  <c r="J110" i="68" s="1"/>
  <c r="J125" i="68" s="1"/>
  <c r="J141" i="68" s="1"/>
  <c r="I77" i="68"/>
  <c r="I110" i="68" s="1"/>
  <c r="I125" i="68" s="1"/>
  <c r="I141" i="68" s="1"/>
  <c r="H77" i="68"/>
  <c r="G77" i="68"/>
  <c r="F77" i="68"/>
  <c r="E77" i="68"/>
  <c r="D77" i="68"/>
  <c r="O76" i="68"/>
  <c r="O109" i="68" s="1"/>
  <c r="O124" i="68" s="1"/>
  <c r="O140" i="68" s="1"/>
  <c r="N76" i="68"/>
  <c r="M76" i="68"/>
  <c r="L76" i="68"/>
  <c r="K76" i="68"/>
  <c r="J76" i="68"/>
  <c r="J109" i="68" s="1"/>
  <c r="J124" i="68" s="1"/>
  <c r="J140" i="68" s="1"/>
  <c r="I76" i="68"/>
  <c r="H76" i="68"/>
  <c r="G76" i="68"/>
  <c r="G109" i="68" s="1"/>
  <c r="G124" i="68" s="1"/>
  <c r="G140" i="68" s="1"/>
  <c r="F76" i="68"/>
  <c r="E76" i="68"/>
  <c r="D76" i="68"/>
  <c r="O75" i="68"/>
  <c r="O108" i="68" s="1"/>
  <c r="O123" i="68" s="1"/>
  <c r="O139" i="68" s="1"/>
  <c r="N75" i="68"/>
  <c r="N108" i="68" s="1"/>
  <c r="N123" i="68" s="1"/>
  <c r="N139" i="68" s="1"/>
  <c r="M75" i="68"/>
  <c r="L75" i="68"/>
  <c r="K75" i="68"/>
  <c r="J75" i="68"/>
  <c r="J108" i="68" s="1"/>
  <c r="J123" i="68" s="1"/>
  <c r="J139" i="68" s="1"/>
  <c r="I75" i="68"/>
  <c r="H75" i="68"/>
  <c r="G75" i="68"/>
  <c r="G108" i="68" s="1"/>
  <c r="G123" i="68" s="1"/>
  <c r="G139" i="68" s="1"/>
  <c r="F75" i="68"/>
  <c r="F108" i="68" s="1"/>
  <c r="F123" i="68" s="1"/>
  <c r="F139" i="68" s="1"/>
  <c r="E75" i="68"/>
  <c r="D75" i="68"/>
  <c r="P75" i="68" s="1"/>
  <c r="O74" i="68"/>
  <c r="N74" i="68"/>
  <c r="M74" i="68"/>
  <c r="L74" i="68"/>
  <c r="K74" i="68"/>
  <c r="J74" i="68"/>
  <c r="I74" i="68"/>
  <c r="I107" i="68" s="1"/>
  <c r="I122" i="68" s="1"/>
  <c r="I138" i="68" s="1"/>
  <c r="H74" i="68"/>
  <c r="G74" i="68"/>
  <c r="F74" i="68"/>
  <c r="E74" i="68"/>
  <c r="D74" i="68"/>
  <c r="O73" i="68"/>
  <c r="N73" i="68"/>
  <c r="N106" i="68" s="1"/>
  <c r="N121" i="68" s="1"/>
  <c r="N137" i="68" s="1"/>
  <c r="M73" i="68"/>
  <c r="L73" i="68"/>
  <c r="K73" i="68"/>
  <c r="J73" i="68"/>
  <c r="J106" i="68" s="1"/>
  <c r="J121" i="68" s="1"/>
  <c r="J137" i="68" s="1"/>
  <c r="I73" i="68"/>
  <c r="I106" i="68" s="1"/>
  <c r="I121" i="68" s="1"/>
  <c r="I137" i="68" s="1"/>
  <c r="H73" i="68"/>
  <c r="G73" i="68"/>
  <c r="F73" i="68"/>
  <c r="F106" i="68" s="1"/>
  <c r="F121" i="68" s="1"/>
  <c r="F137" i="68" s="1"/>
  <c r="E73" i="68"/>
  <c r="D73" i="68"/>
  <c r="O72" i="68"/>
  <c r="N72" i="68"/>
  <c r="N105" i="68" s="1"/>
  <c r="N120" i="68" s="1"/>
  <c r="N136" i="68" s="1"/>
  <c r="M72" i="68"/>
  <c r="L72" i="68"/>
  <c r="K72" i="68"/>
  <c r="J72" i="68"/>
  <c r="I72" i="68"/>
  <c r="H72" i="68"/>
  <c r="G72" i="68"/>
  <c r="F72" i="68"/>
  <c r="F105" i="68" s="1"/>
  <c r="F120" i="68" s="1"/>
  <c r="F136" i="68" s="1"/>
  <c r="E72" i="68"/>
  <c r="D72" i="68"/>
  <c r="P72" i="68" s="1"/>
  <c r="O71" i="68"/>
  <c r="O104" i="68" s="1"/>
  <c r="O119" i="68" s="1"/>
  <c r="O135" i="68" s="1"/>
  <c r="N71" i="68"/>
  <c r="M71" i="68"/>
  <c r="L71" i="68"/>
  <c r="K71" i="68"/>
  <c r="J71" i="68"/>
  <c r="I71" i="68"/>
  <c r="H71" i="68"/>
  <c r="G71" i="68"/>
  <c r="F71" i="68"/>
  <c r="E71" i="68"/>
  <c r="D71" i="68"/>
  <c r="P71" i="68" s="1"/>
  <c r="O70" i="68"/>
  <c r="N70" i="68"/>
  <c r="M70" i="68"/>
  <c r="L70" i="68"/>
  <c r="K70" i="68"/>
  <c r="J70" i="68"/>
  <c r="I70" i="68"/>
  <c r="H70" i="68"/>
  <c r="G70" i="68"/>
  <c r="F70" i="68"/>
  <c r="E70" i="68"/>
  <c r="D70" i="68"/>
  <c r="O69" i="68"/>
  <c r="N69" i="68"/>
  <c r="M69" i="68"/>
  <c r="L69" i="68"/>
  <c r="K69" i="68"/>
  <c r="J69" i="68"/>
  <c r="J103" i="68" s="1"/>
  <c r="J118" i="68" s="1"/>
  <c r="J134" i="68" s="1"/>
  <c r="I69" i="68"/>
  <c r="H69" i="68"/>
  <c r="G69" i="68"/>
  <c r="F69" i="68"/>
  <c r="E69" i="68"/>
  <c r="D69" i="68"/>
  <c r="P69" i="68" s="1"/>
  <c r="O68" i="68"/>
  <c r="O102" i="68" s="1"/>
  <c r="O117" i="68" s="1"/>
  <c r="O133" i="68" s="1"/>
  <c r="N68" i="68"/>
  <c r="M68" i="68"/>
  <c r="L68" i="68"/>
  <c r="K68" i="68"/>
  <c r="J68" i="68"/>
  <c r="J102" i="68" s="1"/>
  <c r="J117" i="68" s="1"/>
  <c r="J133" i="68" s="1"/>
  <c r="I68" i="68"/>
  <c r="I102" i="68" s="1"/>
  <c r="I117" i="68" s="1"/>
  <c r="I133" i="68" s="1"/>
  <c r="H68" i="68"/>
  <c r="G68" i="68"/>
  <c r="G102" i="68" s="1"/>
  <c r="G117" i="68" s="1"/>
  <c r="G133" i="68" s="1"/>
  <c r="F68" i="68"/>
  <c r="E68" i="68"/>
  <c r="D68" i="68"/>
  <c r="O67" i="68"/>
  <c r="O101" i="68" s="1"/>
  <c r="O116" i="68" s="1"/>
  <c r="N67" i="68"/>
  <c r="M67" i="68"/>
  <c r="L67" i="68"/>
  <c r="K67" i="68"/>
  <c r="J67" i="68"/>
  <c r="J101" i="68" s="1"/>
  <c r="J116" i="68" s="1"/>
  <c r="I67" i="68"/>
  <c r="H67" i="68"/>
  <c r="G67" i="68"/>
  <c r="G101" i="68" s="1"/>
  <c r="G116" i="68" s="1"/>
  <c r="F67" i="68"/>
  <c r="F101" i="68" s="1"/>
  <c r="F116" i="68" s="1"/>
  <c r="E67" i="68"/>
  <c r="D67" i="68"/>
  <c r="P67" i="68" s="1"/>
  <c r="O64" i="68"/>
  <c r="N64" i="68"/>
  <c r="M64" i="68"/>
  <c r="L64" i="68"/>
  <c r="K64" i="68"/>
  <c r="J64" i="68"/>
  <c r="I64" i="68"/>
  <c r="H64" i="68"/>
  <c r="G64" i="68"/>
  <c r="F64" i="68"/>
  <c r="E64" i="68"/>
  <c r="D64" i="68"/>
  <c r="P64" i="68" s="1"/>
  <c r="P63" i="68"/>
  <c r="P62" i="68"/>
  <c r="P61" i="68"/>
  <c r="P60" i="68"/>
  <c r="P59" i="68"/>
  <c r="P58" i="68"/>
  <c r="P57" i="68"/>
  <c r="P56" i="68"/>
  <c r="P55" i="68"/>
  <c r="P54" i="68"/>
  <c r="P53" i="68"/>
  <c r="P52" i="68"/>
  <c r="P51" i="68"/>
  <c r="P50" i="68"/>
  <c r="P49" i="68"/>
  <c r="P48" i="68"/>
  <c r="P47" i="68"/>
  <c r="P46" i="68"/>
  <c r="P45" i="68"/>
  <c r="P44" i="68"/>
  <c r="P43" i="68"/>
  <c r="P42" i="68"/>
  <c r="P41" i="68"/>
  <c r="P40" i="68"/>
  <c r="P39" i="68"/>
  <c r="P38" i="68"/>
  <c r="P37" i="68"/>
  <c r="P36" i="68"/>
  <c r="O33" i="68"/>
  <c r="N33" i="68"/>
  <c r="M33" i="68"/>
  <c r="L33" i="68"/>
  <c r="K33" i="68"/>
  <c r="J33" i="68"/>
  <c r="I33" i="68"/>
  <c r="H33" i="68"/>
  <c r="G33" i="68"/>
  <c r="F33" i="68"/>
  <c r="E33" i="68"/>
  <c r="D33" i="68"/>
  <c r="P33" i="68" s="1"/>
  <c r="O32" i="68"/>
  <c r="N32" i="68"/>
  <c r="M32" i="68"/>
  <c r="L32" i="68"/>
  <c r="K32" i="68"/>
  <c r="J32" i="68"/>
  <c r="I32" i="68"/>
  <c r="H32" i="68"/>
  <c r="G32" i="68"/>
  <c r="F32" i="68"/>
  <c r="E32" i="68"/>
  <c r="D32" i="68"/>
  <c r="P31" i="68"/>
  <c r="P30" i="68"/>
  <c r="P29" i="68"/>
  <c r="P28" i="68"/>
  <c r="P27" i="68"/>
  <c r="P26" i="68"/>
  <c r="P25" i="68"/>
  <c r="P24" i="68"/>
  <c r="P23" i="68"/>
  <c r="P22" i="68"/>
  <c r="P21" i="68"/>
  <c r="P20" i="68"/>
  <c r="P19" i="68"/>
  <c r="P18" i="68"/>
  <c r="P17" i="68"/>
  <c r="P16" i="68"/>
  <c r="P15" i="68"/>
  <c r="P14" i="68"/>
  <c r="P13" i="68"/>
  <c r="P12" i="68"/>
  <c r="P11" i="68"/>
  <c r="P10" i="68"/>
  <c r="P9" i="68"/>
  <c r="P8" i="68"/>
  <c r="F6" i="68"/>
  <c r="G6" i="68" s="1"/>
  <c r="H6" i="68" s="1"/>
  <c r="I6" i="68" s="1"/>
  <c r="J6" i="68" s="1"/>
  <c r="K6" i="68" s="1"/>
  <c r="L6" i="68" s="1"/>
  <c r="M6" i="68" s="1"/>
  <c r="N6" i="68" s="1"/>
  <c r="O6" i="68" s="1"/>
  <c r="E6" i="68"/>
  <c r="M104" i="68" l="1"/>
  <c r="M119" i="68" s="1"/>
  <c r="M135" i="68" s="1"/>
  <c r="M108" i="68"/>
  <c r="M123" i="68" s="1"/>
  <c r="M139" i="68" s="1"/>
  <c r="M106" i="68"/>
  <c r="M121" i="68" s="1"/>
  <c r="M137" i="68" s="1"/>
  <c r="D109" i="68"/>
  <c r="D124" i="68" s="1"/>
  <c r="D105" i="68"/>
  <c r="D120" i="68" s="1"/>
  <c r="D136" i="68" s="1"/>
  <c r="D103" i="68"/>
  <c r="D118" i="68" s="1"/>
  <c r="D134" i="68" s="1"/>
  <c r="D113" i="68"/>
  <c r="D128" i="68" s="1"/>
  <c r="D144" i="68" s="1"/>
  <c r="D104" i="68"/>
  <c r="D119" i="68" s="1"/>
  <c r="D135" i="68" s="1"/>
  <c r="H105" i="68"/>
  <c r="H120" i="68" s="1"/>
  <c r="H136" i="68" s="1"/>
  <c r="H108" i="68"/>
  <c r="H123" i="68" s="1"/>
  <c r="H139" i="68" s="1"/>
  <c r="L109" i="68"/>
  <c r="L124" i="68" s="1"/>
  <c r="L140" i="68" s="1"/>
  <c r="L113" i="68"/>
  <c r="L128" i="68" s="1"/>
  <c r="L144" i="68" s="1"/>
  <c r="L105" i="68"/>
  <c r="L120" i="68" s="1"/>
  <c r="L136" i="68" s="1"/>
  <c r="L104" i="68"/>
  <c r="L119" i="68" s="1"/>
  <c r="L135" i="68" s="1"/>
  <c r="L111" i="68"/>
  <c r="L126" i="68" s="1"/>
  <c r="L142" i="68" s="1"/>
  <c r="L103" i="68"/>
  <c r="L118" i="68" s="1"/>
  <c r="L134" i="68" s="1"/>
  <c r="L101" i="68"/>
  <c r="L116" i="68" s="1"/>
  <c r="H103" i="68"/>
  <c r="H118" i="68" s="1"/>
  <c r="H134" i="68" s="1"/>
  <c r="H104" i="68"/>
  <c r="H119" i="68" s="1"/>
  <c r="H135" i="68" s="1"/>
  <c r="L106" i="68"/>
  <c r="L121" i="68" s="1"/>
  <c r="L137" i="68" s="1"/>
  <c r="D112" i="68"/>
  <c r="H113" i="68"/>
  <c r="H128" i="68" s="1"/>
  <c r="H144" i="68" s="1"/>
  <c r="E102" i="68"/>
  <c r="E117" i="68" s="1"/>
  <c r="E133" i="68" s="1"/>
  <c r="M102" i="68"/>
  <c r="M117" i="68" s="1"/>
  <c r="M133" i="68" s="1"/>
  <c r="E103" i="68"/>
  <c r="E118" i="68" s="1"/>
  <c r="E134" i="68" s="1"/>
  <c r="M103" i="68"/>
  <c r="M118" i="68" s="1"/>
  <c r="M134" i="68" s="1"/>
  <c r="E111" i="68"/>
  <c r="E126" i="68" s="1"/>
  <c r="E142" i="68" s="1"/>
  <c r="M111" i="68"/>
  <c r="M126" i="68" s="1"/>
  <c r="M142" i="68" s="1"/>
  <c r="M107" i="68"/>
  <c r="M122" i="68" s="1"/>
  <c r="M138" i="68" s="1"/>
  <c r="E109" i="68"/>
  <c r="E124" i="68" s="1"/>
  <c r="E140" i="68" s="1"/>
  <c r="M109" i="68"/>
  <c r="M124" i="68" s="1"/>
  <c r="M140" i="68" s="1"/>
  <c r="M163" i="68" s="1"/>
  <c r="E110" i="68"/>
  <c r="E125" i="68" s="1"/>
  <c r="E141" i="68" s="1"/>
  <c r="M110" i="68"/>
  <c r="M125" i="68" s="1"/>
  <c r="M141" i="68" s="1"/>
  <c r="E112" i="68"/>
  <c r="E127" i="68" s="1"/>
  <c r="E143" i="68" s="1"/>
  <c r="M113" i="68"/>
  <c r="M128" i="68" s="1"/>
  <c r="M144" i="68" s="1"/>
  <c r="D102" i="68"/>
  <c r="D117" i="68" s="1"/>
  <c r="H111" i="68"/>
  <c r="H126" i="68" s="1"/>
  <c r="H142" i="68" s="1"/>
  <c r="D106" i="68"/>
  <c r="D121" i="68" s="1"/>
  <c r="D107" i="68"/>
  <c r="D122" i="68" s="1"/>
  <c r="L108" i="68"/>
  <c r="L123" i="68" s="1"/>
  <c r="L139" i="68" s="1"/>
  <c r="D152" i="68"/>
  <c r="H101" i="68"/>
  <c r="H116" i="68" s="1"/>
  <c r="H132" i="68" s="1"/>
  <c r="L102" i="68"/>
  <c r="L117" i="68" s="1"/>
  <c r="L133" i="68" s="1"/>
  <c r="D111" i="68"/>
  <c r="D126" i="68" s="1"/>
  <c r="H106" i="68"/>
  <c r="H121" i="68" s="1"/>
  <c r="H137" i="68" s="1"/>
  <c r="L107" i="68"/>
  <c r="L122" i="68" s="1"/>
  <c r="L138" i="68" s="1"/>
  <c r="D110" i="68"/>
  <c r="D125" i="68" s="1"/>
  <c r="H112" i="68"/>
  <c r="H127" i="68" s="1"/>
  <c r="H143" i="68" s="1"/>
  <c r="L152" i="68"/>
  <c r="K102" i="68"/>
  <c r="K117" i="68" s="1"/>
  <c r="K133" i="68" s="1"/>
  <c r="K103" i="68"/>
  <c r="K118" i="68" s="1"/>
  <c r="K134" i="68" s="1"/>
  <c r="K104" i="68"/>
  <c r="K119" i="68" s="1"/>
  <c r="K135" i="68" s="1"/>
  <c r="K167" i="68" s="1"/>
  <c r="K105" i="68"/>
  <c r="K120" i="68" s="1"/>
  <c r="K136" i="68" s="1"/>
  <c r="K107" i="68"/>
  <c r="K122" i="68" s="1"/>
  <c r="K138" i="68" s="1"/>
  <c r="K113" i="68"/>
  <c r="K128" i="68" s="1"/>
  <c r="K144" i="68" s="1"/>
  <c r="D127" i="68"/>
  <c r="I111" i="68"/>
  <c r="I126" i="68" s="1"/>
  <c r="I142" i="68" s="1"/>
  <c r="I104" i="68"/>
  <c r="I119" i="68" s="1"/>
  <c r="I135" i="68" s="1"/>
  <c r="I108" i="68"/>
  <c r="I123" i="68" s="1"/>
  <c r="I139" i="68" s="1"/>
  <c r="I112" i="68"/>
  <c r="I127" i="68" s="1"/>
  <c r="I143" i="68" s="1"/>
  <c r="I103" i="68"/>
  <c r="I118" i="68" s="1"/>
  <c r="I134" i="68" s="1"/>
  <c r="L132" i="68"/>
  <c r="F132" i="68"/>
  <c r="J132" i="68"/>
  <c r="G132" i="68"/>
  <c r="O132" i="68"/>
  <c r="G110" i="68"/>
  <c r="G125" i="68" s="1"/>
  <c r="G141" i="68" s="1"/>
  <c r="G112" i="68"/>
  <c r="G127" i="68" s="1"/>
  <c r="G143" i="68" s="1"/>
  <c r="G105" i="68"/>
  <c r="G120" i="68" s="1"/>
  <c r="G136" i="68" s="1"/>
  <c r="G106" i="68"/>
  <c r="G121" i="68" s="1"/>
  <c r="G137" i="68" s="1"/>
  <c r="G104" i="68"/>
  <c r="G119" i="68" s="1"/>
  <c r="G135" i="68" s="1"/>
  <c r="O106" i="68"/>
  <c r="O121" i="68" s="1"/>
  <c r="O137" i="68" s="1"/>
  <c r="O110" i="68"/>
  <c r="O125" i="68" s="1"/>
  <c r="O141" i="68" s="1"/>
  <c r="O105" i="68"/>
  <c r="O120" i="68" s="1"/>
  <c r="O136" i="68" s="1"/>
  <c r="P73" i="68"/>
  <c r="I109" i="68"/>
  <c r="I124" i="68" s="1"/>
  <c r="I140" i="68" s="1"/>
  <c r="P78" i="68"/>
  <c r="N101" i="68"/>
  <c r="N116" i="68" s="1"/>
  <c r="F102" i="68"/>
  <c r="F117" i="68" s="1"/>
  <c r="F133" i="68" s="1"/>
  <c r="N103" i="68"/>
  <c r="N118" i="68" s="1"/>
  <c r="N134" i="68" s="1"/>
  <c r="J105" i="68"/>
  <c r="J120" i="68" s="1"/>
  <c r="J136" i="68" s="1"/>
  <c r="E107" i="68"/>
  <c r="E122" i="68" s="1"/>
  <c r="E138" i="68" s="1"/>
  <c r="J107" i="68"/>
  <c r="J122" i="68" s="1"/>
  <c r="J138" i="68" s="1"/>
  <c r="F109" i="68"/>
  <c r="F124" i="68" s="1"/>
  <c r="F140" i="68" s="1"/>
  <c r="K109" i="68"/>
  <c r="K124" i="68" s="1"/>
  <c r="K140" i="68" s="1"/>
  <c r="N110" i="68"/>
  <c r="N125" i="68" s="1"/>
  <c r="N141" i="68" s="1"/>
  <c r="F111" i="68"/>
  <c r="F126" i="68" s="1"/>
  <c r="F142" i="68" s="1"/>
  <c r="P240" i="68"/>
  <c r="E101" i="68"/>
  <c r="E116" i="68" s="1"/>
  <c r="I101" i="68"/>
  <c r="I116" i="68" s="1"/>
  <c r="M101" i="68"/>
  <c r="M116" i="68" s="1"/>
  <c r="H102" i="68"/>
  <c r="H117" i="68" s="1"/>
  <c r="H133" i="68" s="1"/>
  <c r="G111" i="68"/>
  <c r="G126" i="68" s="1"/>
  <c r="G142" i="68" s="1"/>
  <c r="K111" i="68"/>
  <c r="K126" i="68" s="1"/>
  <c r="K142" i="68" s="1"/>
  <c r="O111" i="68"/>
  <c r="O126" i="68" s="1"/>
  <c r="O142" i="68" s="1"/>
  <c r="F104" i="68"/>
  <c r="F119" i="68" s="1"/>
  <c r="F135" i="68" s="1"/>
  <c r="J104" i="68"/>
  <c r="J119" i="68" s="1"/>
  <c r="J135" i="68" s="1"/>
  <c r="N104" i="68"/>
  <c r="N119" i="68" s="1"/>
  <c r="N135" i="68" s="1"/>
  <c r="E105" i="68"/>
  <c r="E120" i="68" s="1"/>
  <c r="E136" i="68" s="1"/>
  <c r="I105" i="68"/>
  <c r="I120" i="68" s="1"/>
  <c r="I136" i="68" s="1"/>
  <c r="M105" i="68"/>
  <c r="M120" i="68" s="1"/>
  <c r="M136" i="68" s="1"/>
  <c r="P74" i="68"/>
  <c r="D101" i="68"/>
  <c r="F107" i="68"/>
  <c r="F122" i="68" s="1"/>
  <c r="F138" i="68" s="1"/>
  <c r="D108" i="68"/>
  <c r="G198" i="68"/>
  <c r="K221" i="68"/>
  <c r="K198" i="68"/>
  <c r="O198" i="68"/>
  <c r="M198" i="68"/>
  <c r="P192" i="68"/>
  <c r="G103" i="68"/>
  <c r="G118" i="68" s="1"/>
  <c r="G134" i="68" s="1"/>
  <c r="O103" i="68"/>
  <c r="O118" i="68" s="1"/>
  <c r="O134" i="68" s="1"/>
  <c r="G107" i="68"/>
  <c r="G122" i="68" s="1"/>
  <c r="G138" i="68" s="1"/>
  <c r="O107" i="68"/>
  <c r="O122" i="68" s="1"/>
  <c r="O138" i="68" s="1"/>
  <c r="P32" i="68"/>
  <c r="P70" i="68"/>
  <c r="F112" i="68"/>
  <c r="F127" i="68" s="1"/>
  <c r="F143" i="68" s="1"/>
  <c r="E113" i="68"/>
  <c r="E128" i="68" s="1"/>
  <c r="E144" i="68" s="1"/>
  <c r="I113" i="68"/>
  <c r="I128" i="68" s="1"/>
  <c r="I144" i="68" s="1"/>
  <c r="P82" i="68"/>
  <c r="P84" i="68" s="1"/>
  <c r="K101" i="68"/>
  <c r="K116" i="68" s="1"/>
  <c r="N102" i="68"/>
  <c r="N117" i="68" s="1"/>
  <c r="N133" i="68" s="1"/>
  <c r="F103" i="68"/>
  <c r="F118" i="68" s="1"/>
  <c r="F134" i="68" s="1"/>
  <c r="E106" i="68"/>
  <c r="E121" i="68" s="1"/>
  <c r="E137" i="68" s="1"/>
  <c r="H107" i="68"/>
  <c r="H122" i="68" s="1"/>
  <c r="H138" i="68" s="1"/>
  <c r="E108" i="68"/>
  <c r="E123" i="68" s="1"/>
  <c r="E139" i="68" s="1"/>
  <c r="K108" i="68"/>
  <c r="K123" i="68" s="1"/>
  <c r="K139" i="68" s="1"/>
  <c r="H109" i="68"/>
  <c r="H124" i="68" s="1"/>
  <c r="H140" i="68" s="1"/>
  <c r="N109" i="68"/>
  <c r="N124" i="68" s="1"/>
  <c r="N140" i="68" s="1"/>
  <c r="N161" i="68" s="1"/>
  <c r="K110" i="68"/>
  <c r="K125" i="68" s="1"/>
  <c r="K141" i="68" s="1"/>
  <c r="N111" i="68"/>
  <c r="N126" i="68" s="1"/>
  <c r="N142" i="68" s="1"/>
  <c r="J113" i="68"/>
  <c r="J128" i="68" s="1"/>
  <c r="J144" i="68" s="1"/>
  <c r="M255" i="68"/>
  <c r="P76" i="68"/>
  <c r="H110" i="68"/>
  <c r="H125" i="68" s="1"/>
  <c r="H141" i="68" s="1"/>
  <c r="L110" i="68"/>
  <c r="L125" i="68" s="1"/>
  <c r="L141" i="68" s="1"/>
  <c r="P77" i="68"/>
  <c r="P150" i="68"/>
  <c r="P151" i="68"/>
  <c r="L288" i="68"/>
  <c r="H288" i="68"/>
  <c r="D288" i="68"/>
  <c r="O284" i="68"/>
  <c r="K284" i="68"/>
  <c r="G284" i="68"/>
  <c r="L283" i="68"/>
  <c r="H283" i="68"/>
  <c r="D283" i="68"/>
  <c r="O288" i="68"/>
  <c r="K288" i="68"/>
  <c r="G288" i="68"/>
  <c r="N284" i="68"/>
  <c r="J284" i="68"/>
  <c r="F284" i="68"/>
  <c r="O283" i="68"/>
  <c r="K283" i="68"/>
  <c r="G283" i="68"/>
  <c r="N288" i="68"/>
  <c r="F288" i="68"/>
  <c r="I284" i="68"/>
  <c r="N283" i="68"/>
  <c r="F283" i="68"/>
  <c r="J288" i="68"/>
  <c r="M284" i="68"/>
  <c r="E284" i="68"/>
  <c r="J283" i="68"/>
  <c r="M288" i="68"/>
  <c r="M283" i="68"/>
  <c r="E288" i="68"/>
  <c r="H284" i="68"/>
  <c r="E283" i="68"/>
  <c r="L284" i="68"/>
  <c r="I288" i="68"/>
  <c r="I283" i="68"/>
  <c r="D284" i="68"/>
  <c r="G221" i="68"/>
  <c r="O221" i="68"/>
  <c r="E255" i="68"/>
  <c r="P261" i="68"/>
  <c r="P68" i="68"/>
  <c r="P149" i="68"/>
  <c r="F198" i="68"/>
  <c r="F221" i="68"/>
  <c r="J198" i="68"/>
  <c r="N198" i="68"/>
  <c r="N221" i="68"/>
  <c r="P188" i="68"/>
  <c r="P197" i="68"/>
  <c r="I254" i="68"/>
  <c r="I255" i="68" s="1"/>
  <c r="P241" i="68"/>
  <c r="P243" i="68"/>
  <c r="P251" i="68"/>
  <c r="P187" i="68"/>
  <c r="P225" i="68"/>
  <c r="P189" i="68"/>
  <c r="D268" i="68"/>
  <c r="P268" i="68" s="1"/>
  <c r="P233" i="68"/>
  <c r="H198" i="68"/>
  <c r="G254" i="68"/>
  <c r="G255" i="68" s="1"/>
  <c r="K254" i="68"/>
  <c r="K255" i="68" s="1"/>
  <c r="O254" i="68"/>
  <c r="O255" i="68" s="1"/>
  <c r="F254" i="68"/>
  <c r="F255" i="68" s="1"/>
  <c r="J254" i="68"/>
  <c r="J255" i="68" s="1"/>
  <c r="N254" i="68"/>
  <c r="N255" i="68" s="1"/>
  <c r="P245" i="68"/>
  <c r="P246" i="68"/>
  <c r="P250" i="68"/>
  <c r="P196" i="68"/>
  <c r="P242" i="68"/>
  <c r="K159" i="68" l="1"/>
  <c r="K163" i="68"/>
  <c r="K210" i="68" s="1"/>
  <c r="P152" i="68"/>
  <c r="M161" i="68"/>
  <c r="H166" i="68"/>
  <c r="L162" i="68"/>
  <c r="L179" i="68" s="1"/>
  <c r="J36" i="39" s="1"/>
  <c r="L160" i="68"/>
  <c r="L215" i="68" s="1"/>
  <c r="H158" i="68"/>
  <c r="H175" i="68" s="1"/>
  <c r="F69" i="39" s="1"/>
  <c r="E158" i="68"/>
  <c r="E175" i="68" s="1"/>
  <c r="C69" i="39" s="1"/>
  <c r="I161" i="68"/>
  <c r="I178" i="68" s="1"/>
  <c r="G23" i="39" s="1"/>
  <c r="M162" i="68"/>
  <c r="M209" i="68" s="1"/>
  <c r="L163" i="68"/>
  <c r="L180" i="68" s="1"/>
  <c r="J52" i="39" s="1"/>
  <c r="M166" i="68"/>
  <c r="M183" i="68" s="1"/>
  <c r="L161" i="68"/>
  <c r="L208" i="68" s="1"/>
  <c r="O167" i="68"/>
  <c r="O216" i="68" s="1"/>
  <c r="O158" i="68"/>
  <c r="O175" i="68" s="1"/>
  <c r="M69" i="39" s="1"/>
  <c r="L159" i="68"/>
  <c r="L213" i="68" s="1"/>
  <c r="P112" i="68"/>
  <c r="E166" i="68"/>
  <c r="E211" i="68" s="1"/>
  <c r="O160" i="68"/>
  <c r="O215" i="68" s="1"/>
  <c r="K166" i="68"/>
  <c r="K211" i="68" s="1"/>
  <c r="L166" i="68"/>
  <c r="L211" i="68" s="1"/>
  <c r="L167" i="68"/>
  <c r="L216" i="68" s="1"/>
  <c r="L129" i="68"/>
  <c r="H159" i="68"/>
  <c r="H176" i="68" s="1"/>
  <c r="F83" i="39" s="1"/>
  <c r="K158" i="68"/>
  <c r="K212" i="68" s="1"/>
  <c r="K160" i="68"/>
  <c r="K215" i="68" s="1"/>
  <c r="L158" i="68"/>
  <c r="L212" i="68" s="1"/>
  <c r="N163" i="68"/>
  <c r="N210" i="68" s="1"/>
  <c r="I162" i="68"/>
  <c r="I179" i="68" s="1"/>
  <c r="G36" i="39" s="1"/>
  <c r="H160" i="68"/>
  <c r="H215" i="68" s="1"/>
  <c r="H167" i="68"/>
  <c r="H216" i="68" s="1"/>
  <c r="P105" i="68"/>
  <c r="P120" i="68" s="1"/>
  <c r="K162" i="68"/>
  <c r="K209" i="68" s="1"/>
  <c r="O159" i="68"/>
  <c r="O213" i="68" s="1"/>
  <c r="N208" i="68"/>
  <c r="N178" i="68"/>
  <c r="L23" i="39" s="1"/>
  <c r="M211" i="68"/>
  <c r="E212" i="68"/>
  <c r="D141" i="68"/>
  <c r="P141" i="68" s="1"/>
  <c r="P125" i="68"/>
  <c r="O162" i="68"/>
  <c r="O163" i="68"/>
  <c r="O161" i="68"/>
  <c r="P135" i="68"/>
  <c r="J160" i="68"/>
  <c r="J159" i="68"/>
  <c r="J167" i="68"/>
  <c r="J158" i="68"/>
  <c r="J166" i="68"/>
  <c r="I129" i="68"/>
  <c r="I132" i="68"/>
  <c r="J161" i="68"/>
  <c r="J162" i="68"/>
  <c r="J163" i="68"/>
  <c r="P134" i="68"/>
  <c r="G160" i="68"/>
  <c r="G166" i="68"/>
  <c r="G159" i="68"/>
  <c r="G167" i="68"/>
  <c r="G158" i="68"/>
  <c r="O177" i="68"/>
  <c r="M106" i="39" s="1"/>
  <c r="G164" i="68"/>
  <c r="G156" i="68"/>
  <c r="G173" i="68" s="1"/>
  <c r="G155" i="68"/>
  <c r="G145" i="68"/>
  <c r="G146" i="68" s="1"/>
  <c r="G157" i="68"/>
  <c r="G174" i="68" s="1"/>
  <c r="E9" i="39" s="1"/>
  <c r="G165" i="68"/>
  <c r="M167" i="68"/>
  <c r="E159" i="68"/>
  <c r="J129" i="68"/>
  <c r="P124" i="68"/>
  <c r="D140" i="68"/>
  <c r="P140" i="68" s="1"/>
  <c r="I166" i="68"/>
  <c r="I158" i="68"/>
  <c r="I167" i="68"/>
  <c r="I160" i="68"/>
  <c r="I159" i="68"/>
  <c r="L210" i="68"/>
  <c r="H183" i="68"/>
  <c r="H211" i="68"/>
  <c r="P126" i="68"/>
  <c r="D142" i="68"/>
  <c r="P142" i="68" s="1"/>
  <c r="P198" i="68"/>
  <c r="P283" i="68"/>
  <c r="P113" i="68"/>
  <c r="P110" i="68"/>
  <c r="P144" i="68"/>
  <c r="H163" i="68"/>
  <c r="H161" i="68"/>
  <c r="H162" i="68"/>
  <c r="K129" i="68"/>
  <c r="K132" i="68"/>
  <c r="G163" i="68"/>
  <c r="G161" i="68"/>
  <c r="G162" i="68"/>
  <c r="P117" i="68"/>
  <c r="D133" i="68"/>
  <c r="P133" i="68" s="1"/>
  <c r="P103" i="68"/>
  <c r="F166" i="68"/>
  <c r="F159" i="68"/>
  <c r="F167" i="68"/>
  <c r="F160" i="68"/>
  <c r="F158" i="68"/>
  <c r="E129" i="68"/>
  <c r="E132" i="68"/>
  <c r="E162" i="68"/>
  <c r="E163" i="68"/>
  <c r="E161" i="68"/>
  <c r="K161" i="68"/>
  <c r="O166" i="68"/>
  <c r="G129" i="68"/>
  <c r="L176" i="68"/>
  <c r="J83" i="39" s="1"/>
  <c r="M159" i="68"/>
  <c r="E160" i="68"/>
  <c r="N162" i="68"/>
  <c r="J165" i="68"/>
  <c r="J157" i="68"/>
  <c r="J174" i="68" s="1"/>
  <c r="H9" i="39" s="1"/>
  <c r="J145" i="68"/>
  <c r="J146" i="68" s="1"/>
  <c r="J164" i="68"/>
  <c r="J155" i="68"/>
  <c r="J156" i="68"/>
  <c r="J173" i="68" s="1"/>
  <c r="L155" i="68"/>
  <c r="L145" i="68"/>
  <c r="L146" i="68" s="1"/>
  <c r="L164" i="68"/>
  <c r="L157" i="68"/>
  <c r="L174" i="68" s="1"/>
  <c r="J9" i="39" s="1"/>
  <c r="L165" i="68"/>
  <c r="L156" i="68"/>
  <c r="L173" i="68" s="1"/>
  <c r="I163" i="68"/>
  <c r="D143" i="68"/>
  <c r="P143" i="68" s="1"/>
  <c r="P127" i="68"/>
  <c r="P107" i="68"/>
  <c r="H212" i="68"/>
  <c r="P111" i="68"/>
  <c r="P221" i="68"/>
  <c r="P128" i="68"/>
  <c r="P108" i="68"/>
  <c r="D123" i="68"/>
  <c r="D116" i="68"/>
  <c r="P101" i="68"/>
  <c r="P102" i="68"/>
  <c r="P254" i="68"/>
  <c r="P255" i="68" s="1"/>
  <c r="N132" i="68"/>
  <c r="N129" i="68"/>
  <c r="P106" i="68"/>
  <c r="O212" i="68"/>
  <c r="K184" i="68"/>
  <c r="K216" i="68"/>
  <c r="O164" i="68"/>
  <c r="O156" i="68"/>
  <c r="O173" i="68" s="1"/>
  <c r="O155" i="68"/>
  <c r="O145" i="68"/>
  <c r="O146" i="68" s="1"/>
  <c r="O157" i="68"/>
  <c r="O174" i="68" s="1"/>
  <c r="M9" i="39" s="1"/>
  <c r="O165" i="68"/>
  <c r="M158" i="68"/>
  <c r="E167" i="68"/>
  <c r="F129" i="68"/>
  <c r="P104" i="68"/>
  <c r="P119" i="68" s="1"/>
  <c r="M178" i="68"/>
  <c r="K23" i="39" s="1"/>
  <c r="M208" i="68"/>
  <c r="D138" i="68"/>
  <c r="P122" i="68"/>
  <c r="H129" i="68"/>
  <c r="P288" i="68"/>
  <c r="F161" i="68"/>
  <c r="F162" i="68"/>
  <c r="F163" i="68"/>
  <c r="N167" i="68"/>
  <c r="N160" i="68"/>
  <c r="N158" i="68"/>
  <c r="N166" i="68"/>
  <c r="N159" i="68"/>
  <c r="M129" i="68"/>
  <c r="M132" i="68"/>
  <c r="D137" i="68"/>
  <c r="P137" i="68" s="1"/>
  <c r="P121" i="68"/>
  <c r="P136" i="68"/>
  <c r="P118" i="68"/>
  <c r="K176" i="68"/>
  <c r="I83" i="39" s="1"/>
  <c r="K213" i="68"/>
  <c r="O129" i="68"/>
  <c r="L175" i="68"/>
  <c r="J69" i="39" s="1"/>
  <c r="M160" i="68"/>
  <c r="F165" i="68"/>
  <c r="F157" i="68"/>
  <c r="F174" i="68" s="1"/>
  <c r="D9" i="39" s="1"/>
  <c r="F145" i="68"/>
  <c r="F146" i="68" s="1"/>
  <c r="F156" i="68"/>
  <c r="F173" i="68" s="1"/>
  <c r="F164" i="68"/>
  <c r="F155" i="68"/>
  <c r="P109" i="68"/>
  <c r="M210" i="68"/>
  <c r="M180" i="68"/>
  <c r="K52" i="39" s="1"/>
  <c r="H184" i="68"/>
  <c r="H155" i="68"/>
  <c r="H165" i="68"/>
  <c r="H156" i="68"/>
  <c r="H173" i="68" s="1"/>
  <c r="H164" i="68"/>
  <c r="H157" i="68"/>
  <c r="H174" i="68" s="1"/>
  <c r="F9" i="39" s="1"/>
  <c r="H145" i="68"/>
  <c r="H146" i="68" s="1"/>
  <c r="L209" i="68" l="1"/>
  <c r="K180" i="68"/>
  <c r="I52" i="39" s="1"/>
  <c r="H213" i="68"/>
  <c r="N180" i="68"/>
  <c r="L52" i="39" s="1"/>
  <c r="K183" i="68"/>
  <c r="M179" i="68"/>
  <c r="K36" i="39" s="1"/>
  <c r="L177" i="68"/>
  <c r="J106" i="39" s="1"/>
  <c r="I208" i="68"/>
  <c r="L178" i="68"/>
  <c r="J23" i="39" s="1"/>
  <c r="O184" i="68"/>
  <c r="O293" i="68" s="1"/>
  <c r="L184" i="68"/>
  <c r="I209" i="68"/>
  <c r="H177" i="68"/>
  <c r="F106" i="39" s="1"/>
  <c r="K177" i="68"/>
  <c r="I106" i="39" s="1"/>
  <c r="O176" i="68"/>
  <c r="M83" i="39" s="1"/>
  <c r="E183" i="68"/>
  <c r="E230" i="68" s="1"/>
  <c r="E265" i="68" s="1"/>
  <c r="L183" i="68"/>
  <c r="L230" i="68" s="1"/>
  <c r="L265" i="68" s="1"/>
  <c r="K175" i="68"/>
  <c r="I69" i="39" s="1"/>
  <c r="K179" i="68"/>
  <c r="H204" i="68"/>
  <c r="H181" i="68"/>
  <c r="H223" i="68" s="1"/>
  <c r="H259" i="68" s="1"/>
  <c r="H293" i="68"/>
  <c r="H235" i="68"/>
  <c r="H270" i="68" s="1"/>
  <c r="L227" i="68"/>
  <c r="L262" i="68" s="1"/>
  <c r="L286" i="68"/>
  <c r="L231" i="68"/>
  <c r="L266" i="68" s="1"/>
  <c r="K287" i="68"/>
  <c r="K232" i="68"/>
  <c r="K267" i="68" s="1"/>
  <c r="N211" i="68"/>
  <c r="N183" i="68"/>
  <c r="F210" i="68"/>
  <c r="F180" i="68"/>
  <c r="D52" i="39" s="1"/>
  <c r="L291" i="68"/>
  <c r="L228" i="68"/>
  <c r="L263" i="68" s="1"/>
  <c r="M212" i="68"/>
  <c r="M175" i="68"/>
  <c r="K69" i="39" s="1"/>
  <c r="O203" i="68"/>
  <c r="O168" i="68"/>
  <c r="O169" i="68" s="1"/>
  <c r="O172" i="68"/>
  <c r="K293" i="68"/>
  <c r="K235" i="68"/>
  <c r="K270" i="68" s="1"/>
  <c r="L205" i="68"/>
  <c r="L182" i="68"/>
  <c r="J16" i="39" s="1"/>
  <c r="L203" i="68"/>
  <c r="L172" i="68"/>
  <c r="L168" i="68"/>
  <c r="L169" i="68" s="1"/>
  <c r="E177" i="68"/>
  <c r="C106" i="39" s="1"/>
  <c r="E215" i="68"/>
  <c r="E210" i="68"/>
  <c r="E180" i="68"/>
  <c r="C52" i="39" s="1"/>
  <c r="F212" i="68"/>
  <c r="F175" i="68"/>
  <c r="D69" i="39" s="1"/>
  <c r="F183" i="68"/>
  <c r="F211" i="68"/>
  <c r="G209" i="68"/>
  <c r="G179" i="68"/>
  <c r="E36" i="39" s="1"/>
  <c r="I177" i="68"/>
  <c r="G106" i="39" s="1"/>
  <c r="I215" i="68"/>
  <c r="M184" i="68"/>
  <c r="M216" i="68"/>
  <c r="G181" i="68"/>
  <c r="G223" i="68" s="1"/>
  <c r="G259" i="68" s="1"/>
  <c r="G204" i="68"/>
  <c r="G184" i="68"/>
  <c r="G216" i="68"/>
  <c r="I145" i="68"/>
  <c r="I146" i="68" s="1"/>
  <c r="I165" i="68"/>
  <c r="I156" i="68"/>
  <c r="I173" i="68" s="1"/>
  <c r="I164" i="68"/>
  <c r="I155" i="68"/>
  <c r="I157" i="68"/>
  <c r="I174" i="68" s="1"/>
  <c r="G9" i="39" s="1"/>
  <c r="J216" i="68"/>
  <c r="J184" i="68"/>
  <c r="D167" i="68"/>
  <c r="E286" i="68"/>
  <c r="E231" i="68"/>
  <c r="E266" i="68" s="1"/>
  <c r="I291" i="68"/>
  <c r="I228" i="68"/>
  <c r="I263" i="68" s="1"/>
  <c r="N290" i="68"/>
  <c r="N227" i="68"/>
  <c r="N262" i="68" s="1"/>
  <c r="F203" i="68"/>
  <c r="F168" i="68"/>
  <c r="F169" i="68" s="1"/>
  <c r="F172" i="68"/>
  <c r="M165" i="68"/>
  <c r="M156" i="68"/>
  <c r="M173" i="68" s="1"/>
  <c r="M164" i="68"/>
  <c r="M157" i="68"/>
  <c r="M174" i="68" s="1"/>
  <c r="K9" i="39" s="1"/>
  <c r="M155" i="68"/>
  <c r="M145" i="68"/>
  <c r="M146" i="68" s="1"/>
  <c r="N212" i="68"/>
  <c r="N175" i="68"/>
  <c r="L69" i="39" s="1"/>
  <c r="F209" i="68"/>
  <c r="F179" i="68"/>
  <c r="D36" i="39" s="1"/>
  <c r="N229" i="68"/>
  <c r="N264" i="68" s="1"/>
  <c r="L293" i="68"/>
  <c r="L235" i="68"/>
  <c r="L270" i="68" s="1"/>
  <c r="O205" i="68"/>
  <c r="O182" i="68"/>
  <c r="M16" i="39" s="1"/>
  <c r="O286" i="68"/>
  <c r="O231" i="68"/>
  <c r="O266" i="68" s="1"/>
  <c r="N165" i="68"/>
  <c r="N157" i="68"/>
  <c r="N174" i="68" s="1"/>
  <c r="L9" i="39" s="1"/>
  <c r="N145" i="68"/>
  <c r="N146" i="68" s="1"/>
  <c r="N156" i="68"/>
  <c r="N173" i="68" s="1"/>
  <c r="N164" i="68"/>
  <c r="N155" i="68"/>
  <c r="P116" i="68"/>
  <c r="D132" i="68"/>
  <c r="D129" i="68"/>
  <c r="P129" i="68" s="1"/>
  <c r="H286" i="68"/>
  <c r="H231" i="68"/>
  <c r="H266" i="68" s="1"/>
  <c r="M213" i="68"/>
  <c r="M176" i="68"/>
  <c r="K83" i="39" s="1"/>
  <c r="O211" i="68"/>
  <c r="O183" i="68"/>
  <c r="E209" i="68"/>
  <c r="E179" i="68"/>
  <c r="C36" i="39" s="1"/>
  <c r="F177" i="68"/>
  <c r="D106" i="39" s="1"/>
  <c r="F215" i="68"/>
  <c r="G208" i="68"/>
  <c r="G178" i="68"/>
  <c r="E23" i="39" s="1"/>
  <c r="H179" i="68"/>
  <c r="F36" i="39" s="1"/>
  <c r="H209" i="68"/>
  <c r="M291" i="68"/>
  <c r="I216" i="68"/>
  <c r="I184" i="68"/>
  <c r="L289" i="68"/>
  <c r="L234" i="68"/>
  <c r="L269" i="68" s="1"/>
  <c r="K285" i="68"/>
  <c r="K230" i="68"/>
  <c r="K265" i="68" s="1"/>
  <c r="G176" i="68"/>
  <c r="E83" i="39" s="1"/>
  <c r="G213" i="68"/>
  <c r="J210" i="68"/>
  <c r="J180" i="68"/>
  <c r="H52" i="39" s="1"/>
  <c r="J176" i="68"/>
  <c r="H83" i="39" s="1"/>
  <c r="J213" i="68"/>
  <c r="D158" i="68"/>
  <c r="O208" i="68"/>
  <c r="O178" i="68"/>
  <c r="M23" i="39" s="1"/>
  <c r="O235" i="68"/>
  <c r="O270" i="68" s="1"/>
  <c r="H182" i="68"/>
  <c r="H224" i="68" s="1"/>
  <c r="H260" i="68" s="1"/>
  <c r="H205" i="68"/>
  <c r="M292" i="68"/>
  <c r="M229" i="68"/>
  <c r="M264" i="68" s="1"/>
  <c r="F204" i="68"/>
  <c r="F181" i="68"/>
  <c r="F223" i="68" s="1"/>
  <c r="F259" i="68" s="1"/>
  <c r="F205" i="68"/>
  <c r="F182" i="68"/>
  <c r="N177" i="68"/>
  <c r="L106" i="39" s="1"/>
  <c r="N215" i="68"/>
  <c r="F208" i="68"/>
  <c r="F178" i="68"/>
  <c r="D23" i="39" s="1"/>
  <c r="P138" i="68"/>
  <c r="M290" i="68"/>
  <c r="M227" i="68"/>
  <c r="M262" i="68" s="1"/>
  <c r="O282" i="68"/>
  <c r="O204" i="68"/>
  <c r="O181" i="68"/>
  <c r="O223" i="68" s="1"/>
  <c r="O259" i="68" s="1"/>
  <c r="D139" i="68"/>
  <c r="P139" i="68" s="1"/>
  <c r="P123" i="68"/>
  <c r="I210" i="68"/>
  <c r="I180" i="68"/>
  <c r="G52" i="39" s="1"/>
  <c r="L204" i="68"/>
  <c r="L181" i="68"/>
  <c r="L223" i="68" s="1"/>
  <c r="L259" i="68" s="1"/>
  <c r="J203" i="68"/>
  <c r="J172" i="68"/>
  <c r="J168" i="68"/>
  <c r="J169" i="68" s="1"/>
  <c r="J205" i="68"/>
  <c r="J182" i="68"/>
  <c r="K178" i="68"/>
  <c r="I23" i="39" s="1"/>
  <c r="K208" i="68"/>
  <c r="E164" i="68"/>
  <c r="E157" i="68"/>
  <c r="E174" i="68" s="1"/>
  <c r="C9" i="39" s="1"/>
  <c r="E155" i="68"/>
  <c r="E165" i="68"/>
  <c r="E156" i="68"/>
  <c r="E173" i="68" s="1"/>
  <c r="E145" i="68"/>
  <c r="E146" i="68" s="1"/>
  <c r="F216" i="68"/>
  <c r="F184" i="68"/>
  <c r="G180" i="68"/>
  <c r="E52" i="39" s="1"/>
  <c r="G210" i="68"/>
  <c r="H208" i="68"/>
  <c r="H178" i="68"/>
  <c r="F23" i="39" s="1"/>
  <c r="H230" i="68"/>
  <c r="H265" i="68" s="1"/>
  <c r="H285" i="68"/>
  <c r="I212" i="68"/>
  <c r="I175" i="68"/>
  <c r="G69" i="39" s="1"/>
  <c r="G203" i="68"/>
  <c r="G168" i="68"/>
  <c r="G169" i="68" s="1"/>
  <c r="G172" i="68"/>
  <c r="O287" i="68"/>
  <c r="O232" i="68"/>
  <c r="O267" i="68" s="1"/>
  <c r="G211" i="68"/>
  <c r="G183" i="68"/>
  <c r="J209" i="68"/>
  <c r="J179" i="68"/>
  <c r="H36" i="39" s="1"/>
  <c r="J211" i="68"/>
  <c r="J183" i="68"/>
  <c r="J177" i="68"/>
  <c r="H106" i="39" s="1"/>
  <c r="J215" i="68"/>
  <c r="D160" i="68"/>
  <c r="O180" i="68"/>
  <c r="M52" i="39" s="1"/>
  <c r="O210" i="68"/>
  <c r="K291" i="68"/>
  <c r="M285" i="68"/>
  <c r="M230" i="68"/>
  <c r="M265" i="68" s="1"/>
  <c r="E285" i="68"/>
  <c r="H203" i="68"/>
  <c r="H172" i="68"/>
  <c r="H168" i="68"/>
  <c r="H169" i="68" s="1"/>
  <c r="M215" i="68"/>
  <c r="M177" i="68"/>
  <c r="K106" i="39" s="1"/>
  <c r="N213" i="68"/>
  <c r="N176" i="68"/>
  <c r="L83" i="39" s="1"/>
  <c r="N216" i="68"/>
  <c r="N184" i="68"/>
  <c r="H287" i="68"/>
  <c r="H232" i="68"/>
  <c r="H267" i="68" s="1"/>
  <c r="E216" i="68"/>
  <c r="E184" i="68"/>
  <c r="J204" i="68"/>
  <c r="J181" i="68"/>
  <c r="J223" i="68" s="1"/>
  <c r="J259" i="68" s="1"/>
  <c r="N179" i="68"/>
  <c r="L36" i="39" s="1"/>
  <c r="N209" i="68"/>
  <c r="L287" i="68"/>
  <c r="L232" i="68"/>
  <c r="L267" i="68" s="1"/>
  <c r="E178" i="68"/>
  <c r="C23" i="39" s="1"/>
  <c r="E208" i="68"/>
  <c r="F213" i="68"/>
  <c r="F176" i="68"/>
  <c r="D83" i="39" s="1"/>
  <c r="K164" i="68"/>
  <c r="K156" i="68"/>
  <c r="K173" i="68" s="1"/>
  <c r="K157" i="68"/>
  <c r="K174" i="68" s="1"/>
  <c r="I9" i="39" s="1"/>
  <c r="K165" i="68"/>
  <c r="K155" i="68"/>
  <c r="K145" i="68"/>
  <c r="K146" i="68" s="1"/>
  <c r="H210" i="68"/>
  <c r="H180" i="68"/>
  <c r="F52" i="39" s="1"/>
  <c r="L292" i="68"/>
  <c r="L229" i="68"/>
  <c r="L264" i="68" s="1"/>
  <c r="I213" i="68"/>
  <c r="I176" i="68"/>
  <c r="G83" i="39" s="1"/>
  <c r="I183" i="68"/>
  <c r="I211" i="68"/>
  <c r="E213" i="68"/>
  <c r="E176" i="68"/>
  <c r="C83" i="39" s="1"/>
  <c r="G205" i="68"/>
  <c r="G182" i="68"/>
  <c r="G281" i="68"/>
  <c r="O289" i="68"/>
  <c r="O234" i="68"/>
  <c r="O269" i="68" s="1"/>
  <c r="G212" i="68"/>
  <c r="G175" i="68"/>
  <c r="E69" i="39" s="1"/>
  <c r="G215" i="68"/>
  <c r="G177" i="68"/>
  <c r="E106" i="39" s="1"/>
  <c r="J208" i="68"/>
  <c r="J178" i="68"/>
  <c r="H23" i="39" s="1"/>
  <c r="J212" i="68"/>
  <c r="J175" i="68"/>
  <c r="H69" i="39" s="1"/>
  <c r="D166" i="68"/>
  <c r="D159" i="68"/>
  <c r="O209" i="68"/>
  <c r="O179" i="68"/>
  <c r="M36" i="39" s="1"/>
  <c r="I290" i="68"/>
  <c r="I227" i="68"/>
  <c r="I262" i="68" s="1"/>
  <c r="K292" i="68"/>
  <c r="K229" i="68" l="1"/>
  <c r="K264" i="68" s="1"/>
  <c r="M228" i="68"/>
  <c r="M263" i="68" s="1"/>
  <c r="N292" i="68"/>
  <c r="L290" i="68"/>
  <c r="L282" i="68"/>
  <c r="L285" i="68"/>
  <c r="K289" i="68"/>
  <c r="O224" i="68"/>
  <c r="O260" i="68" s="1"/>
  <c r="K286" i="68"/>
  <c r="K231" i="68"/>
  <c r="K266" i="68" s="1"/>
  <c r="J282" i="68"/>
  <c r="H16" i="39"/>
  <c r="H234" i="68"/>
  <c r="H269" i="68" s="1"/>
  <c r="H275" i="68" s="1"/>
  <c r="O281" i="68"/>
  <c r="F224" i="68"/>
  <c r="F260" i="68" s="1"/>
  <c r="D16" i="39"/>
  <c r="H282" i="68"/>
  <c r="F16" i="39"/>
  <c r="G282" i="68"/>
  <c r="E16" i="39"/>
  <c r="H289" i="68"/>
  <c r="K234" i="68"/>
  <c r="K269" i="68" s="1"/>
  <c r="L224" i="68"/>
  <c r="L260" i="68" s="1"/>
  <c r="F282" i="68"/>
  <c r="H281" i="68"/>
  <c r="K228" i="68"/>
  <c r="K263" i="68" s="1"/>
  <c r="I36" i="39"/>
  <c r="D163" i="68"/>
  <c r="P163" i="68" s="1"/>
  <c r="L281" i="68"/>
  <c r="F281" i="68"/>
  <c r="D183" i="68"/>
  <c r="P166" i="68"/>
  <c r="D211" i="68"/>
  <c r="P211" i="68" s="1"/>
  <c r="E287" i="68"/>
  <c r="E232" i="68"/>
  <c r="E267" i="68" s="1"/>
  <c r="I287" i="68"/>
  <c r="I232" i="68"/>
  <c r="I267" i="68" s="1"/>
  <c r="H292" i="68"/>
  <c r="H229" i="68"/>
  <c r="H264" i="68" s="1"/>
  <c r="K205" i="68"/>
  <c r="K182" i="68"/>
  <c r="I16" i="39" s="1"/>
  <c r="F287" i="68"/>
  <c r="F232" i="68"/>
  <c r="F267" i="68" s="1"/>
  <c r="N232" i="68"/>
  <c r="N267" i="68" s="1"/>
  <c r="N287" i="68"/>
  <c r="J289" i="68"/>
  <c r="J234" i="68"/>
  <c r="J269" i="68" s="1"/>
  <c r="I286" i="68"/>
  <c r="I231" i="68"/>
  <c r="I266" i="68" s="1"/>
  <c r="H290" i="68"/>
  <c r="H227" i="68"/>
  <c r="H262" i="68" s="1"/>
  <c r="F293" i="68"/>
  <c r="F235" i="68"/>
  <c r="F270" i="68" s="1"/>
  <c r="E205" i="68"/>
  <c r="E182" i="68"/>
  <c r="J292" i="68"/>
  <c r="J229" i="68"/>
  <c r="J264" i="68" s="1"/>
  <c r="K275" i="68"/>
  <c r="I293" i="68"/>
  <c r="I235" i="68"/>
  <c r="I270" i="68" s="1"/>
  <c r="O285" i="68"/>
  <c r="O230" i="68"/>
  <c r="O265" i="68" s="1"/>
  <c r="O275" i="68" s="1"/>
  <c r="M287" i="68"/>
  <c r="M232" i="68"/>
  <c r="M267" i="68" s="1"/>
  <c r="J281" i="68"/>
  <c r="N203" i="68"/>
  <c r="N168" i="68"/>
  <c r="N169" i="68" s="1"/>
  <c r="N172" i="68"/>
  <c r="M172" i="68"/>
  <c r="M203" i="68"/>
  <c r="M168" i="68"/>
  <c r="M169" i="68" s="1"/>
  <c r="M205" i="68"/>
  <c r="M182" i="68"/>
  <c r="I205" i="68"/>
  <c r="I182" i="68"/>
  <c r="G291" i="68"/>
  <c r="G228" i="68"/>
  <c r="G263" i="68" s="1"/>
  <c r="F286" i="68"/>
  <c r="F231" i="68"/>
  <c r="F266" i="68" s="1"/>
  <c r="L217" i="68"/>
  <c r="L218" i="68" s="1"/>
  <c r="L275" i="68"/>
  <c r="N285" i="68"/>
  <c r="N230" i="68"/>
  <c r="N265" i="68" s="1"/>
  <c r="P159" i="68"/>
  <c r="D176" i="68"/>
  <c r="B83" i="39" s="1"/>
  <c r="D213" i="68"/>
  <c r="P213" i="68" s="1"/>
  <c r="J290" i="68"/>
  <c r="J227" i="68"/>
  <c r="J262" i="68" s="1"/>
  <c r="G286" i="68"/>
  <c r="G231" i="68"/>
  <c r="G266" i="68" s="1"/>
  <c r="N291" i="68"/>
  <c r="N228" i="68"/>
  <c r="N263" i="68" s="1"/>
  <c r="O292" i="68"/>
  <c r="O229" i="68"/>
  <c r="O264" i="68" s="1"/>
  <c r="J285" i="68"/>
  <c r="J230" i="68"/>
  <c r="J265" i="68" s="1"/>
  <c r="G285" i="68"/>
  <c r="G230" i="68"/>
  <c r="G265" i="68" s="1"/>
  <c r="G280" i="68"/>
  <c r="G222" i="68"/>
  <c r="G185" i="68"/>
  <c r="G199" i="68" s="1"/>
  <c r="G294" i="68" s="1"/>
  <c r="E172" i="68"/>
  <c r="E203" i="68"/>
  <c r="E168" i="68"/>
  <c r="E169" i="68" s="1"/>
  <c r="K290" i="68"/>
  <c r="K227" i="68"/>
  <c r="K262" i="68" s="1"/>
  <c r="J280" i="68"/>
  <c r="J185" i="68"/>
  <c r="J199" i="68" s="1"/>
  <c r="J294" i="68" s="1"/>
  <c r="J222" i="68"/>
  <c r="I292" i="68"/>
  <c r="I229" i="68"/>
  <c r="I264" i="68" s="1"/>
  <c r="D162" i="68"/>
  <c r="D212" i="68"/>
  <c r="P212" i="68" s="1"/>
  <c r="P158" i="68"/>
  <c r="D175" i="68"/>
  <c r="B69" i="39" s="1"/>
  <c r="H291" i="68"/>
  <c r="H228" i="68"/>
  <c r="H263" i="68" s="1"/>
  <c r="F289" i="68"/>
  <c r="F234" i="68"/>
  <c r="F269" i="68" s="1"/>
  <c r="N204" i="68"/>
  <c r="N181" i="68"/>
  <c r="N223" i="68" s="1"/>
  <c r="N259" i="68" s="1"/>
  <c r="N182" i="68"/>
  <c r="N205" i="68"/>
  <c r="N286" i="68"/>
  <c r="N231" i="68"/>
  <c r="N266" i="68" s="1"/>
  <c r="F217" i="68"/>
  <c r="F218" i="68" s="1"/>
  <c r="D216" i="68"/>
  <c r="P216" i="68" s="1"/>
  <c r="D184" i="68"/>
  <c r="P167" i="68"/>
  <c r="I172" i="68"/>
  <c r="I168" i="68"/>
  <c r="I169" i="68" s="1"/>
  <c r="I203" i="68"/>
  <c r="M293" i="68"/>
  <c r="M235" i="68"/>
  <c r="M270" i="68" s="1"/>
  <c r="E289" i="68"/>
  <c r="E234" i="68"/>
  <c r="E269" i="68" s="1"/>
  <c r="O280" i="68"/>
  <c r="O222" i="68"/>
  <c r="O185" i="68"/>
  <c r="O199" i="68" s="1"/>
  <c r="O294" i="68" s="1"/>
  <c r="E293" i="68"/>
  <c r="E235" i="68"/>
  <c r="E270" i="68" s="1"/>
  <c r="N293" i="68"/>
  <c r="N235" i="68"/>
  <c r="N270" i="68" s="1"/>
  <c r="M289" i="68"/>
  <c r="M234" i="68"/>
  <c r="M269" i="68" s="1"/>
  <c r="H185" i="68"/>
  <c r="H199" i="68" s="1"/>
  <c r="H294" i="68" s="1"/>
  <c r="H280" i="68"/>
  <c r="H222" i="68"/>
  <c r="D177" i="68"/>
  <c r="B106" i="39" s="1"/>
  <c r="D215" i="68"/>
  <c r="P215" i="68" s="1"/>
  <c r="P160" i="68"/>
  <c r="J217" i="68"/>
  <c r="J218" i="68" s="1"/>
  <c r="N289" i="68"/>
  <c r="N234" i="68"/>
  <c r="N269" i="68" s="1"/>
  <c r="G227" i="68"/>
  <c r="G262" i="68" s="1"/>
  <c r="G290" i="68"/>
  <c r="E291" i="68"/>
  <c r="E228" i="68"/>
  <c r="E263" i="68" s="1"/>
  <c r="J224" i="68"/>
  <c r="J260" i="68" s="1"/>
  <c r="D155" i="68"/>
  <c r="D145" i="68"/>
  <c r="P132" i="68"/>
  <c r="D157" i="68"/>
  <c r="D165" i="68"/>
  <c r="D156" i="68"/>
  <c r="D164" i="68"/>
  <c r="M204" i="68"/>
  <c r="M181" i="68"/>
  <c r="M223" i="68" s="1"/>
  <c r="M259" i="68" s="1"/>
  <c r="J293" i="68"/>
  <c r="J235" i="68"/>
  <c r="J270" i="68" s="1"/>
  <c r="I204" i="68"/>
  <c r="I181" i="68"/>
  <c r="I223" i="68" s="1"/>
  <c r="I259" i="68" s="1"/>
  <c r="G224" i="68"/>
  <c r="G260" i="68" s="1"/>
  <c r="E292" i="68"/>
  <c r="E229" i="68"/>
  <c r="E264" i="68" s="1"/>
  <c r="M286" i="68"/>
  <c r="M231" i="68"/>
  <c r="M266" i="68" s="1"/>
  <c r="F292" i="68"/>
  <c r="F229" i="68"/>
  <c r="F264" i="68" s="1"/>
  <c r="O291" i="68"/>
  <c r="O228" i="68"/>
  <c r="O263" i="68" s="1"/>
  <c r="J286" i="68"/>
  <c r="J231" i="68"/>
  <c r="J266" i="68" s="1"/>
  <c r="G289" i="68"/>
  <c r="G234" i="68"/>
  <c r="G269" i="68" s="1"/>
  <c r="I285" i="68"/>
  <c r="I230" i="68"/>
  <c r="I265" i="68" s="1"/>
  <c r="K203" i="68"/>
  <c r="K168" i="68"/>
  <c r="K169" i="68" s="1"/>
  <c r="K172" i="68"/>
  <c r="K181" i="68"/>
  <c r="K223" i="68" s="1"/>
  <c r="K259" i="68" s="1"/>
  <c r="K204" i="68"/>
  <c r="E290" i="68"/>
  <c r="E227" i="68"/>
  <c r="E262" i="68" s="1"/>
  <c r="H217" i="68"/>
  <c r="J228" i="68"/>
  <c r="J263" i="68" s="1"/>
  <c r="J291" i="68"/>
  <c r="G217" i="68"/>
  <c r="G218" i="68" s="1"/>
  <c r="G292" i="68"/>
  <c r="G229" i="68"/>
  <c r="G264" i="68" s="1"/>
  <c r="E181" i="68"/>
  <c r="E223" i="68" s="1"/>
  <c r="E259" i="68" s="1"/>
  <c r="E204" i="68"/>
  <c r="D161" i="68"/>
  <c r="F290" i="68"/>
  <c r="F227" i="68"/>
  <c r="F262" i="68" s="1"/>
  <c r="O290" i="68"/>
  <c r="O227" i="68"/>
  <c r="O262" i="68" s="1"/>
  <c r="J287" i="68"/>
  <c r="J232" i="68"/>
  <c r="J267" i="68" s="1"/>
  <c r="G287" i="68"/>
  <c r="G232" i="68"/>
  <c r="G267" i="68" s="1"/>
  <c r="F291" i="68"/>
  <c r="F228" i="68"/>
  <c r="F263" i="68" s="1"/>
  <c r="F280" i="68"/>
  <c r="F185" i="68"/>
  <c r="F199" i="68" s="1"/>
  <c r="F294" i="68" s="1"/>
  <c r="F222" i="68"/>
  <c r="G293" i="68"/>
  <c r="G235" i="68"/>
  <c r="G270" i="68" s="1"/>
  <c r="I289" i="68"/>
  <c r="I234" i="68"/>
  <c r="I269" i="68" s="1"/>
  <c r="F285" i="68"/>
  <c r="F230" i="68"/>
  <c r="F265" i="68" s="1"/>
  <c r="L280" i="68"/>
  <c r="L222" i="68"/>
  <c r="L185" i="68"/>
  <c r="L199" i="68" s="1"/>
  <c r="L294" i="68" s="1"/>
  <c r="O217" i="68"/>
  <c r="O218" i="68" s="1"/>
  <c r="K282" i="68" l="1"/>
  <c r="K224" i="68"/>
  <c r="K260" i="68" s="1"/>
  <c r="D210" i="68"/>
  <c r="P210" i="68" s="1"/>
  <c r="I282" i="68"/>
  <c r="G16" i="39"/>
  <c r="E282" i="68"/>
  <c r="C16" i="39"/>
  <c r="D180" i="68"/>
  <c r="B52" i="39" s="1"/>
  <c r="M282" i="68"/>
  <c r="K16" i="39"/>
  <c r="E275" i="68"/>
  <c r="I281" i="68"/>
  <c r="M281" i="68"/>
  <c r="N224" i="68"/>
  <c r="N260" i="68" s="1"/>
  <c r="L16" i="39"/>
  <c r="N282" i="68"/>
  <c r="E224" i="68"/>
  <c r="E260" i="68" s="1"/>
  <c r="F275" i="68"/>
  <c r="N281" i="68"/>
  <c r="M224" i="68"/>
  <c r="M260" i="68" s="1"/>
  <c r="I224" i="68"/>
  <c r="I260" i="68" s="1"/>
  <c r="E281" i="68"/>
  <c r="M275" i="68"/>
  <c r="P157" i="68"/>
  <c r="D174" i="68"/>
  <c r="B9" i="39" s="1"/>
  <c r="G236" i="68"/>
  <c r="G237" i="68" s="1"/>
  <c r="G258" i="68"/>
  <c r="J275" i="68"/>
  <c r="N217" i="68"/>
  <c r="N218" i="68" s="1"/>
  <c r="D285" i="68"/>
  <c r="P183" i="68"/>
  <c r="P285" i="68" s="1"/>
  <c r="D230" i="68"/>
  <c r="D204" i="68"/>
  <c r="P204" i="68" s="1"/>
  <c r="P164" i="68"/>
  <c r="D181" i="68"/>
  <c r="H236" i="68"/>
  <c r="H237" i="68" s="1"/>
  <c r="H258" i="68"/>
  <c r="D286" i="68"/>
  <c r="P286" i="68" s="1"/>
  <c r="P175" i="68"/>
  <c r="D231" i="68"/>
  <c r="K281" i="68"/>
  <c r="I217" i="68"/>
  <c r="I218" i="68" s="1"/>
  <c r="D293" i="68"/>
  <c r="P293" i="68" s="1"/>
  <c r="D235" i="68"/>
  <c r="D270" i="68" s="1"/>
  <c r="P270" i="68" s="1"/>
  <c r="P184" i="68"/>
  <c r="P235" i="68" s="1"/>
  <c r="E280" i="68"/>
  <c r="E222" i="68"/>
  <c r="E185" i="68"/>
  <c r="E199" i="68" s="1"/>
  <c r="E294" i="68" s="1"/>
  <c r="G275" i="68"/>
  <c r="M217" i="68"/>
  <c r="M218" i="68" s="1"/>
  <c r="N280" i="68"/>
  <c r="N185" i="68"/>
  <c r="N199" i="68" s="1"/>
  <c r="N294" i="68" s="1"/>
  <c r="N222" i="68"/>
  <c r="K280" i="68"/>
  <c r="K222" i="68"/>
  <c r="K185" i="68"/>
  <c r="K199" i="68" s="1"/>
  <c r="K294" i="68" s="1"/>
  <c r="O258" i="68"/>
  <c r="O236" i="68"/>
  <c r="O237" i="68" s="1"/>
  <c r="I280" i="68"/>
  <c r="I222" i="68"/>
  <c r="I185" i="68"/>
  <c r="I199" i="68" s="1"/>
  <c r="I294" i="68" s="1"/>
  <c r="D179" i="68"/>
  <c r="B36" i="39" s="1"/>
  <c r="D209" i="68"/>
  <c r="P209" i="68" s="1"/>
  <c r="P162" i="68"/>
  <c r="D208" i="68"/>
  <c r="P208" i="68" s="1"/>
  <c r="P161" i="68"/>
  <c r="D178" i="68"/>
  <c r="B23" i="39" s="1"/>
  <c r="E217" i="68"/>
  <c r="E218" i="68" s="1"/>
  <c r="D287" i="68"/>
  <c r="P287" i="68" s="1"/>
  <c r="D232" i="68"/>
  <c r="P176" i="68"/>
  <c r="L236" i="68"/>
  <c r="L237" i="68" s="1"/>
  <c r="L258" i="68"/>
  <c r="K217" i="68"/>
  <c r="K218" i="68" s="1"/>
  <c r="D173" i="68"/>
  <c r="P156" i="68"/>
  <c r="D146" i="68"/>
  <c r="P145" i="68"/>
  <c r="P146" i="68" s="1"/>
  <c r="F258" i="68"/>
  <c r="F236" i="68"/>
  <c r="F237" i="68" s="1"/>
  <c r="I275" i="68"/>
  <c r="D205" i="68"/>
  <c r="P205" i="68" s="1"/>
  <c r="D182" i="68"/>
  <c r="P165" i="68"/>
  <c r="P155" i="68"/>
  <c r="D203" i="68"/>
  <c r="D172" i="68"/>
  <c r="D168" i="68"/>
  <c r="D169" i="68" s="1"/>
  <c r="D234" i="68"/>
  <c r="D289" i="68"/>
  <c r="P289" i="68" s="1"/>
  <c r="P177" i="68"/>
  <c r="J258" i="68"/>
  <c r="J236" i="68"/>
  <c r="J237" i="68" s="1"/>
  <c r="N275" i="68"/>
  <c r="M280" i="68"/>
  <c r="M222" i="68"/>
  <c r="M185" i="68"/>
  <c r="M199" i="68" s="1"/>
  <c r="M294" i="68" s="1"/>
  <c r="D229" i="68" l="1"/>
  <c r="D292" i="68"/>
  <c r="P292" i="68" s="1"/>
  <c r="P180" i="68"/>
  <c r="P182" i="68"/>
  <c r="B16" i="39"/>
  <c r="M258" i="68"/>
  <c r="M236" i="68"/>
  <c r="M237" i="68" s="1"/>
  <c r="D280" i="68"/>
  <c r="P280" i="68" s="1"/>
  <c r="D222" i="68"/>
  <c r="D185" i="68"/>
  <c r="D199" i="68" s="1"/>
  <c r="D294" i="68" s="1"/>
  <c r="P294" i="68" s="1"/>
  <c r="P172" i="68"/>
  <c r="F274" i="68"/>
  <c r="F276" i="68" s="1"/>
  <c r="F271" i="68"/>
  <c r="F272" i="68" s="1"/>
  <c r="D281" i="68"/>
  <c r="P281" i="68" s="1"/>
  <c r="P173" i="68"/>
  <c r="D290" i="68"/>
  <c r="P290" i="68" s="1"/>
  <c r="D227" i="68"/>
  <c r="P178" i="68"/>
  <c r="E258" i="68"/>
  <c r="E236" i="68"/>
  <c r="E237" i="68" s="1"/>
  <c r="D264" i="68"/>
  <c r="P264" i="68" s="1"/>
  <c r="P229" i="68"/>
  <c r="D217" i="68"/>
  <c r="D218" i="68" s="1"/>
  <c r="P203" i="68"/>
  <c r="P217" i="68" s="1"/>
  <c r="P218" i="68" s="1"/>
  <c r="D267" i="68"/>
  <c r="P267" i="68" s="1"/>
  <c r="P232" i="68"/>
  <c r="D291" i="68"/>
  <c r="P291" i="68" s="1"/>
  <c r="P179" i="68"/>
  <c r="D228" i="68"/>
  <c r="J274" i="68"/>
  <c r="J276" i="68" s="1"/>
  <c r="J271" i="68"/>
  <c r="J272" i="68" s="1"/>
  <c r="K236" i="68"/>
  <c r="K237" i="68" s="1"/>
  <c r="K258" i="68"/>
  <c r="D223" i="68"/>
  <c r="P181" i="68"/>
  <c r="G274" i="68"/>
  <c r="G276" i="68" s="1"/>
  <c r="G271" i="68"/>
  <c r="G272" i="68" s="1"/>
  <c r="P168" i="68"/>
  <c r="P169" i="68" s="1"/>
  <c r="L271" i="68"/>
  <c r="L272" i="68" s="1"/>
  <c r="L274" i="68"/>
  <c r="L276" i="68" s="1"/>
  <c r="O274" i="68"/>
  <c r="O276" i="68" s="1"/>
  <c r="O271" i="68"/>
  <c r="O272" i="68" s="1"/>
  <c r="N258" i="68"/>
  <c r="N236" i="68"/>
  <c r="N237" i="68" s="1"/>
  <c r="H271" i="68"/>
  <c r="H272" i="68" s="1"/>
  <c r="H274" i="68"/>
  <c r="H276" i="68" s="1"/>
  <c r="D282" i="68"/>
  <c r="P282" i="68" s="1"/>
  <c r="D224" i="68"/>
  <c r="P174" i="68"/>
  <c r="P234" i="68"/>
  <c r="D269" i="68"/>
  <c r="P269" i="68" s="1"/>
  <c r="I236" i="68"/>
  <c r="I237" i="68" s="1"/>
  <c r="I258" i="68"/>
  <c r="D266" i="68"/>
  <c r="P266" i="68" s="1"/>
  <c r="P231" i="68"/>
  <c r="D265" i="68"/>
  <c r="P230" i="68"/>
  <c r="O277" i="68" l="1"/>
  <c r="I271" i="68"/>
  <c r="I272" i="68" s="1"/>
  <c r="I274" i="68"/>
  <c r="I276" i="68" s="1"/>
  <c r="K274" i="68"/>
  <c r="K276" i="68" s="1"/>
  <c r="K271" i="68"/>
  <c r="K272" i="68" s="1"/>
  <c r="D263" i="68"/>
  <c r="P263" i="68" s="1"/>
  <c r="P228" i="68"/>
  <c r="D262" i="68"/>
  <c r="P262" i="68" s="1"/>
  <c r="P227" i="68"/>
  <c r="P222" i="68"/>
  <c r="D258" i="68"/>
  <c r="D236" i="68"/>
  <c r="D237" i="68" s="1"/>
  <c r="D275" i="68"/>
  <c r="P275" i="68" s="1"/>
  <c r="P265" i="68"/>
  <c r="D260" i="68"/>
  <c r="P260" i="68" s="1"/>
  <c r="P224" i="68"/>
  <c r="L277" i="68"/>
  <c r="G277" i="68"/>
  <c r="F277" i="68"/>
  <c r="N274" i="68"/>
  <c r="N276" i="68" s="1"/>
  <c r="N271" i="68"/>
  <c r="N272" i="68" s="1"/>
  <c r="E271" i="68"/>
  <c r="E272" i="68" s="1"/>
  <c r="E274" i="68"/>
  <c r="E276" i="68" s="1"/>
  <c r="P185" i="68"/>
  <c r="P199" i="68" s="1"/>
  <c r="H277" i="68"/>
  <c r="D259" i="68"/>
  <c r="P259" i="68" s="1"/>
  <c r="P223" i="68"/>
  <c r="J277" i="68"/>
  <c r="M271" i="68"/>
  <c r="M272" i="68" s="1"/>
  <c r="M274" i="68"/>
  <c r="M276" i="68" s="1"/>
  <c r="E277" i="68" l="1"/>
  <c r="I277" i="68"/>
  <c r="N277" i="68"/>
  <c r="K277" i="68"/>
  <c r="D271" i="68"/>
  <c r="D272" i="68" s="1"/>
  <c r="P258" i="68"/>
  <c r="P271" i="68" s="1"/>
  <c r="D274" i="68"/>
  <c r="M277" i="68"/>
  <c r="P236" i="68"/>
  <c r="P237" i="68" s="1"/>
  <c r="P272" i="68" l="1"/>
  <c r="D276" i="68"/>
  <c r="D277" i="68" s="1"/>
  <c r="P274" i="68"/>
  <c r="P276" i="68" s="1"/>
  <c r="P277" i="68" s="1"/>
  <c r="N118" i="40" l="1"/>
  <c r="C118" i="40"/>
  <c r="D118" i="40"/>
  <c r="E118" i="40"/>
  <c r="F118" i="40"/>
  <c r="G118" i="40"/>
  <c r="H118" i="40"/>
  <c r="I118" i="40"/>
  <c r="J118" i="40"/>
  <c r="K118" i="40"/>
  <c r="L118" i="40"/>
  <c r="M118" i="40"/>
  <c r="B118" i="40"/>
  <c r="O30" i="37" l="1"/>
  <c r="D30" i="37"/>
  <c r="E30" i="37"/>
  <c r="F30" i="37"/>
  <c r="G30" i="37"/>
  <c r="H30" i="37"/>
  <c r="I30" i="37"/>
  <c r="J30" i="37"/>
  <c r="K30" i="37"/>
  <c r="L30" i="37"/>
  <c r="M30" i="37"/>
  <c r="N30" i="37"/>
  <c r="C30" i="37"/>
  <c r="D28" i="37"/>
  <c r="E28" i="37"/>
  <c r="F28" i="37"/>
  <c r="G28" i="37"/>
  <c r="H28" i="37"/>
  <c r="I28" i="37"/>
  <c r="J28" i="37"/>
  <c r="K28" i="37"/>
  <c r="L28" i="37"/>
  <c r="M28" i="37"/>
  <c r="N28" i="37"/>
  <c r="O28" i="37"/>
  <c r="C28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C21" i="37"/>
  <c r="D11" i="37"/>
  <c r="E11" i="37"/>
  <c r="F11" i="37"/>
  <c r="G11" i="37"/>
  <c r="H11" i="37"/>
  <c r="I11" i="37"/>
  <c r="J11" i="37"/>
  <c r="K11" i="37"/>
  <c r="L11" i="37"/>
  <c r="M11" i="37"/>
  <c r="N11" i="37"/>
  <c r="O11" i="37"/>
  <c r="C11" i="37"/>
  <c r="C7" i="22" l="1"/>
  <c r="D8" i="16"/>
  <c r="D8" i="48"/>
  <c r="C7" i="61"/>
  <c r="D7" i="53"/>
  <c r="D7" i="18"/>
  <c r="C7" i="21"/>
  <c r="C7" i="26"/>
  <c r="D7" i="11"/>
  <c r="C7" i="25"/>
  <c r="C7" i="24"/>
  <c r="T27" i="56" l="1"/>
  <c r="K27" i="56"/>
  <c r="S31" i="56"/>
  <c r="S29" i="56"/>
  <c r="T29" i="56" s="1"/>
  <c r="S18" i="56"/>
  <c r="T13" i="56"/>
  <c r="T12" i="56"/>
  <c r="P32" i="56"/>
  <c r="P31" i="56"/>
  <c r="P29" i="56"/>
  <c r="Q29" i="56" s="1"/>
  <c r="P27" i="56"/>
  <c r="Q27" i="56" s="1"/>
  <c r="P23" i="56"/>
  <c r="P21" i="56"/>
  <c r="P20" i="56"/>
  <c r="P19" i="56"/>
  <c r="P18" i="56"/>
  <c r="P17" i="56"/>
  <c r="P13" i="56"/>
  <c r="Q13" i="56" s="1"/>
  <c r="P12" i="56"/>
  <c r="Q12" i="56" s="1"/>
  <c r="P11" i="56"/>
  <c r="M32" i="56"/>
  <c r="M31" i="56"/>
  <c r="M29" i="56"/>
  <c r="N29" i="56" s="1"/>
  <c r="M27" i="56"/>
  <c r="N27" i="56" s="1"/>
  <c r="M24" i="56"/>
  <c r="M22" i="56"/>
  <c r="M23" i="56"/>
  <c r="M20" i="56"/>
  <c r="M18" i="56"/>
  <c r="M17" i="56"/>
  <c r="N13" i="56"/>
  <c r="M12" i="56"/>
  <c r="M11" i="56"/>
  <c r="N11" i="56" s="1"/>
  <c r="J32" i="56"/>
  <c r="J31" i="56"/>
  <c r="J29" i="56"/>
  <c r="K29" i="56" s="1"/>
  <c r="J24" i="56"/>
  <c r="J22" i="56"/>
  <c r="J23" i="56"/>
  <c r="J21" i="56"/>
  <c r="J19" i="56"/>
  <c r="J18" i="56"/>
  <c r="J17" i="56"/>
  <c r="J13" i="56"/>
  <c r="K13" i="56" s="1"/>
  <c r="K12" i="56"/>
  <c r="J11" i="56"/>
  <c r="G31" i="56"/>
  <c r="G29" i="56"/>
  <c r="G27" i="56"/>
  <c r="G24" i="56"/>
  <c r="G22" i="56"/>
  <c r="G23" i="56"/>
  <c r="G21" i="56"/>
  <c r="G20" i="56"/>
  <c r="G19" i="56"/>
  <c r="G18" i="56"/>
  <c r="G13" i="56"/>
  <c r="G12" i="56"/>
  <c r="J33" i="56" l="1"/>
  <c r="K33" i="56" s="1"/>
  <c r="G33" i="56"/>
  <c r="M33" i="56"/>
  <c r="N33" i="56" s="1"/>
  <c r="S33" i="56"/>
  <c r="T33" i="56" s="1"/>
  <c r="M14" i="56"/>
  <c r="P14" i="56"/>
  <c r="S14" i="56"/>
  <c r="J14" i="56"/>
  <c r="P33" i="56"/>
  <c r="Q33" i="56" s="1"/>
  <c r="J25" i="56"/>
  <c r="J40" i="56" s="1"/>
  <c r="M25" i="56"/>
  <c r="N25" i="56" s="1"/>
  <c r="P25" i="56"/>
  <c r="Q25" i="56" s="1"/>
  <c r="T11" i="56"/>
  <c r="T14" i="56" s="1"/>
  <c r="Q11" i="56"/>
  <c r="Q14" i="56" s="1"/>
  <c r="N12" i="56"/>
  <c r="N14" i="56" s="1"/>
  <c r="K11" i="56"/>
  <c r="K14" i="56" s="1"/>
  <c r="N34" i="56" l="1"/>
  <c r="N36" i="56" s="1"/>
  <c r="Q34" i="56"/>
  <c r="Q36" i="56" s="1"/>
  <c r="M34" i="56"/>
  <c r="M40" i="56"/>
  <c r="K25" i="56"/>
  <c r="K34" i="56" s="1"/>
  <c r="K36" i="56" s="1"/>
  <c r="J34" i="56"/>
  <c r="P40" i="56"/>
  <c r="P34" i="56"/>
  <c r="I40" i="66" l="1"/>
  <c r="I37" i="66"/>
  <c r="L22" i="65" l="1"/>
  <c r="K22" i="65"/>
  <c r="E39" i="65" l="1"/>
  <c r="D33" i="56" l="1"/>
  <c r="E33" i="56" s="1"/>
  <c r="H33" i="56"/>
  <c r="H29" i="56"/>
  <c r="E29" i="56"/>
  <c r="H27" i="56"/>
  <c r="E27" i="56"/>
  <c r="D25" i="56"/>
  <c r="D40" i="56" s="1"/>
  <c r="D14" i="56"/>
  <c r="H13" i="56"/>
  <c r="E13" i="56"/>
  <c r="H12" i="56"/>
  <c r="E12" i="56"/>
  <c r="H11" i="56"/>
  <c r="G14" i="56"/>
  <c r="E11" i="56"/>
  <c r="E14" i="56" l="1"/>
  <c r="H14" i="56"/>
  <c r="E25" i="56"/>
  <c r="E34" i="56" s="1"/>
  <c r="D34" i="56"/>
  <c r="E36" i="56" l="1"/>
  <c r="Q37" i="56" l="1"/>
  <c r="Q38" i="56" s="1"/>
  <c r="N37" i="56"/>
  <c r="N38" i="56" s="1"/>
  <c r="K37" i="56"/>
  <c r="K38" i="56" s="1"/>
  <c r="D92" i="53" l="1"/>
  <c r="G92" i="53" s="1"/>
  <c r="H29" i="53"/>
  <c r="G29" i="53"/>
  <c r="H92" i="53" l="1"/>
  <c r="B4" i="39"/>
  <c r="C4" i="40" l="1"/>
  <c r="D4" i="40" s="1"/>
  <c r="E4" i="40" s="1"/>
  <c r="F4" i="40" s="1"/>
  <c r="G4" i="40" s="1"/>
  <c r="H4" i="40" s="1"/>
  <c r="I4" i="40" s="1"/>
  <c r="J4" i="40" s="1"/>
  <c r="K4" i="40" s="1"/>
  <c r="L4" i="40" s="1"/>
  <c r="M4" i="40" s="1"/>
  <c r="O6" i="37" l="1"/>
  <c r="D118" i="53" s="1"/>
  <c r="O7" i="37"/>
  <c r="D119" i="53" s="1"/>
  <c r="O8" i="37"/>
  <c r="D120" i="53" s="1"/>
  <c r="O9" i="37"/>
  <c r="D121" i="53" s="1"/>
  <c r="O10" i="37"/>
  <c r="D122" i="53" s="1"/>
  <c r="O14" i="37"/>
  <c r="D125" i="53" s="1"/>
  <c r="O15" i="37"/>
  <c r="D126" i="53" s="1"/>
  <c r="O16" i="37"/>
  <c r="D127" i="53" s="1"/>
  <c r="O17" i="37"/>
  <c r="D128" i="53" s="1"/>
  <c r="O18" i="37"/>
  <c r="D129" i="53" s="1"/>
  <c r="O19" i="37"/>
  <c r="D130" i="53" s="1"/>
  <c r="O20" i="37"/>
  <c r="D131" i="53" s="1"/>
  <c r="O24" i="37"/>
  <c r="D134" i="53" s="1"/>
  <c r="O25" i="37"/>
  <c r="D135" i="53" s="1"/>
  <c r="O26" i="37"/>
  <c r="D136" i="53" s="1"/>
  <c r="O27" i="37"/>
  <c r="D137" i="53" s="1"/>
  <c r="O5" i="37"/>
  <c r="D3" i="37"/>
  <c r="E3" i="37" s="1"/>
  <c r="F3" i="37" s="1"/>
  <c r="G3" i="37" s="1"/>
  <c r="H3" i="37" s="1"/>
  <c r="I3" i="37" s="1"/>
  <c r="J3" i="37" s="1"/>
  <c r="K3" i="37" s="1"/>
  <c r="L3" i="37" s="1"/>
  <c r="M3" i="37" s="1"/>
  <c r="N3" i="37" s="1"/>
  <c r="M96" i="40"/>
  <c r="L96" i="40"/>
  <c r="K96" i="40"/>
  <c r="J96" i="40"/>
  <c r="I96" i="40"/>
  <c r="H96" i="40"/>
  <c r="G96" i="40"/>
  <c r="F96" i="40"/>
  <c r="E96" i="40"/>
  <c r="D96" i="40"/>
  <c r="C96" i="40"/>
  <c r="B96" i="40"/>
  <c r="N95" i="40"/>
  <c r="N94" i="40"/>
  <c r="N93" i="40"/>
  <c r="N92" i="40"/>
  <c r="N91" i="40"/>
  <c r="N90" i="40"/>
  <c r="M86" i="40"/>
  <c r="L86" i="40"/>
  <c r="K86" i="40"/>
  <c r="J86" i="40"/>
  <c r="I86" i="40"/>
  <c r="H86" i="40"/>
  <c r="G86" i="40"/>
  <c r="F86" i="40"/>
  <c r="E86" i="40"/>
  <c r="D86" i="40"/>
  <c r="C86" i="40"/>
  <c r="B86" i="40"/>
  <c r="N85" i="40"/>
  <c r="N84" i="40"/>
  <c r="N83" i="40"/>
  <c r="N82" i="40"/>
  <c r="N81" i="40"/>
  <c r="N80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N43" i="40"/>
  <c r="N42" i="40"/>
  <c r="N41" i="40"/>
  <c r="M37" i="40"/>
  <c r="L37" i="40"/>
  <c r="K37" i="40"/>
  <c r="J37" i="40"/>
  <c r="I37" i="40"/>
  <c r="H37" i="40"/>
  <c r="G37" i="40"/>
  <c r="F37" i="40"/>
  <c r="E37" i="40"/>
  <c r="D37" i="40"/>
  <c r="C37" i="40"/>
  <c r="B37" i="40"/>
  <c r="N36" i="40"/>
  <c r="N35" i="40"/>
  <c r="N34" i="40"/>
  <c r="M116" i="40"/>
  <c r="L116" i="40"/>
  <c r="K116" i="40"/>
  <c r="J116" i="40"/>
  <c r="I116" i="40"/>
  <c r="H116" i="40"/>
  <c r="G116" i="40"/>
  <c r="F116" i="40"/>
  <c r="E116" i="40"/>
  <c r="D116" i="40"/>
  <c r="C116" i="40"/>
  <c r="B116" i="40"/>
  <c r="N115" i="40"/>
  <c r="N114" i="40"/>
  <c r="N113" i="40"/>
  <c r="N112" i="40"/>
  <c r="N111" i="40"/>
  <c r="N110" i="40"/>
  <c r="M106" i="40"/>
  <c r="L106" i="40"/>
  <c r="K106" i="40"/>
  <c r="J106" i="40"/>
  <c r="I106" i="40"/>
  <c r="H106" i="40"/>
  <c r="G106" i="40"/>
  <c r="F106" i="40"/>
  <c r="E106" i="40"/>
  <c r="D106" i="40"/>
  <c r="C106" i="40"/>
  <c r="B106" i="40"/>
  <c r="N105" i="40"/>
  <c r="N104" i="40"/>
  <c r="N103" i="40"/>
  <c r="N102" i="40"/>
  <c r="N101" i="40"/>
  <c r="N100" i="40"/>
  <c r="M58" i="40"/>
  <c r="L58" i="40"/>
  <c r="K58" i="40"/>
  <c r="J58" i="40"/>
  <c r="I58" i="40"/>
  <c r="H58" i="40"/>
  <c r="G58" i="40"/>
  <c r="F58" i="40"/>
  <c r="E58" i="40"/>
  <c r="D58" i="40"/>
  <c r="C58" i="40"/>
  <c r="B58" i="40"/>
  <c r="N57" i="40"/>
  <c r="N56" i="40"/>
  <c r="N55" i="40"/>
  <c r="M51" i="40"/>
  <c r="L51" i="40"/>
  <c r="K51" i="40"/>
  <c r="J51" i="40"/>
  <c r="I51" i="40"/>
  <c r="H51" i="40"/>
  <c r="G51" i="40"/>
  <c r="F51" i="40"/>
  <c r="E51" i="40"/>
  <c r="D51" i="40"/>
  <c r="C51" i="40"/>
  <c r="B51" i="40"/>
  <c r="N50" i="40"/>
  <c r="N49" i="40"/>
  <c r="N48" i="40"/>
  <c r="M70" i="40"/>
  <c r="L70" i="40"/>
  <c r="K70" i="40"/>
  <c r="J70" i="40"/>
  <c r="I70" i="40"/>
  <c r="H70" i="40"/>
  <c r="G70" i="40"/>
  <c r="F70" i="40"/>
  <c r="E70" i="40"/>
  <c r="D70" i="40"/>
  <c r="C70" i="40"/>
  <c r="B70" i="40"/>
  <c r="N69" i="40"/>
  <c r="N68" i="40"/>
  <c r="M64" i="40"/>
  <c r="L64" i="40"/>
  <c r="K64" i="40"/>
  <c r="J64" i="40"/>
  <c r="I64" i="40"/>
  <c r="H64" i="40"/>
  <c r="G64" i="40"/>
  <c r="F64" i="40"/>
  <c r="E64" i="40"/>
  <c r="D64" i="40"/>
  <c r="C64" i="40"/>
  <c r="B64" i="40"/>
  <c r="N63" i="40"/>
  <c r="N62" i="40"/>
  <c r="M16" i="40"/>
  <c r="L16" i="40"/>
  <c r="K16" i="40"/>
  <c r="J16" i="40"/>
  <c r="I16" i="40"/>
  <c r="H16" i="40"/>
  <c r="G16" i="40"/>
  <c r="F16" i="40"/>
  <c r="E16" i="40"/>
  <c r="D16" i="40"/>
  <c r="C16" i="40"/>
  <c r="B16" i="40"/>
  <c r="N15" i="40"/>
  <c r="N14" i="40"/>
  <c r="N13" i="40"/>
  <c r="M9" i="40"/>
  <c r="L9" i="40"/>
  <c r="K9" i="40"/>
  <c r="J9" i="40"/>
  <c r="I9" i="40"/>
  <c r="H9" i="40"/>
  <c r="G9" i="40"/>
  <c r="F9" i="40"/>
  <c r="E9" i="40"/>
  <c r="D9" i="40"/>
  <c r="C9" i="40"/>
  <c r="B9" i="40"/>
  <c r="N8" i="40"/>
  <c r="N7" i="40"/>
  <c r="N6" i="40"/>
  <c r="M76" i="40"/>
  <c r="L76" i="40"/>
  <c r="K76" i="40"/>
  <c r="J76" i="40"/>
  <c r="I76" i="40"/>
  <c r="H76" i="40"/>
  <c r="G76" i="40"/>
  <c r="F76" i="40"/>
  <c r="E76" i="40"/>
  <c r="D76" i="40"/>
  <c r="C76" i="40"/>
  <c r="B76" i="40"/>
  <c r="N75" i="40"/>
  <c r="N74" i="40"/>
  <c r="M30" i="40"/>
  <c r="L30" i="40"/>
  <c r="K30" i="40"/>
  <c r="J30" i="40"/>
  <c r="I30" i="40"/>
  <c r="H30" i="40"/>
  <c r="G30" i="40"/>
  <c r="F30" i="40"/>
  <c r="E30" i="40"/>
  <c r="D30" i="40"/>
  <c r="C30" i="40"/>
  <c r="B30" i="40"/>
  <c r="N29" i="40"/>
  <c r="N28" i="40"/>
  <c r="N27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N22" i="40"/>
  <c r="N21" i="40"/>
  <c r="N20" i="40"/>
  <c r="M62" i="39"/>
  <c r="L62" i="39"/>
  <c r="K62" i="39"/>
  <c r="J62" i="39"/>
  <c r="I62" i="39"/>
  <c r="H62" i="39"/>
  <c r="G62" i="39"/>
  <c r="F62" i="39"/>
  <c r="E62" i="39"/>
  <c r="D62" i="39"/>
  <c r="C62" i="39"/>
  <c r="B62" i="39"/>
  <c r="M50" i="39"/>
  <c r="M151" i="39" s="1"/>
  <c r="L50" i="39"/>
  <c r="L151" i="39" s="1"/>
  <c r="K50" i="39"/>
  <c r="K151" i="39" s="1"/>
  <c r="J50" i="39"/>
  <c r="J151" i="39" s="1"/>
  <c r="I50" i="39"/>
  <c r="I151" i="39" s="1"/>
  <c r="H50" i="39"/>
  <c r="H151" i="39" s="1"/>
  <c r="G50" i="39"/>
  <c r="G151" i="39" s="1"/>
  <c r="F50" i="39"/>
  <c r="F151" i="39" s="1"/>
  <c r="E50" i="39"/>
  <c r="E151" i="39" s="1"/>
  <c r="D50" i="39"/>
  <c r="D151" i="39" s="1"/>
  <c r="C50" i="39"/>
  <c r="C151" i="39" s="1"/>
  <c r="B50" i="39"/>
  <c r="M49" i="39"/>
  <c r="M150" i="39" s="1"/>
  <c r="L49" i="39"/>
  <c r="L150" i="39" s="1"/>
  <c r="K49" i="39"/>
  <c r="K150" i="39" s="1"/>
  <c r="J49" i="39"/>
  <c r="J150" i="39" s="1"/>
  <c r="I49" i="39"/>
  <c r="I150" i="39" s="1"/>
  <c r="H49" i="39"/>
  <c r="H150" i="39" s="1"/>
  <c r="G49" i="39"/>
  <c r="G150" i="39" s="1"/>
  <c r="F49" i="39"/>
  <c r="F150" i="39" s="1"/>
  <c r="E49" i="39"/>
  <c r="E150" i="39" s="1"/>
  <c r="D49" i="39"/>
  <c r="D150" i="39" s="1"/>
  <c r="C49" i="39"/>
  <c r="C150" i="39" s="1"/>
  <c r="B49" i="39"/>
  <c r="M48" i="39"/>
  <c r="M149" i="39" s="1"/>
  <c r="L48" i="39"/>
  <c r="L149" i="39" s="1"/>
  <c r="K48" i="39"/>
  <c r="K149" i="39" s="1"/>
  <c r="J48" i="39"/>
  <c r="J149" i="39" s="1"/>
  <c r="I48" i="39"/>
  <c r="I149" i="39" s="1"/>
  <c r="H48" i="39"/>
  <c r="H149" i="39" s="1"/>
  <c r="G48" i="39"/>
  <c r="G149" i="39" s="1"/>
  <c r="F48" i="39"/>
  <c r="F149" i="39" s="1"/>
  <c r="E48" i="39"/>
  <c r="E149" i="39" s="1"/>
  <c r="D48" i="39"/>
  <c r="D149" i="39" s="1"/>
  <c r="C48" i="39"/>
  <c r="C149" i="39" s="1"/>
  <c r="B48" i="39"/>
  <c r="M47" i="39"/>
  <c r="M148" i="39" s="1"/>
  <c r="L47" i="39"/>
  <c r="L148" i="39" s="1"/>
  <c r="K47" i="39"/>
  <c r="K148" i="39" s="1"/>
  <c r="J47" i="39"/>
  <c r="J148" i="39" s="1"/>
  <c r="I47" i="39"/>
  <c r="I148" i="39" s="1"/>
  <c r="H47" i="39"/>
  <c r="H148" i="39" s="1"/>
  <c r="G47" i="39"/>
  <c r="G148" i="39" s="1"/>
  <c r="F47" i="39"/>
  <c r="F148" i="39" s="1"/>
  <c r="E47" i="39"/>
  <c r="E148" i="39" s="1"/>
  <c r="D47" i="39"/>
  <c r="D148" i="39" s="1"/>
  <c r="C47" i="39"/>
  <c r="C148" i="39" s="1"/>
  <c r="B47" i="39"/>
  <c r="M46" i="39"/>
  <c r="M147" i="39" s="1"/>
  <c r="L46" i="39"/>
  <c r="K46" i="39"/>
  <c r="K147" i="39" s="1"/>
  <c r="J46" i="39"/>
  <c r="J147" i="39" s="1"/>
  <c r="I46" i="39"/>
  <c r="I147" i="39" s="1"/>
  <c r="H46" i="39"/>
  <c r="H147" i="39" s="1"/>
  <c r="G46" i="39"/>
  <c r="G147" i="39" s="1"/>
  <c r="F46" i="39"/>
  <c r="F147" i="39" s="1"/>
  <c r="E46" i="39"/>
  <c r="E147" i="39" s="1"/>
  <c r="D46" i="39"/>
  <c r="D147" i="39" s="1"/>
  <c r="C46" i="39"/>
  <c r="C147" i="39" s="1"/>
  <c r="B46" i="39"/>
  <c r="M40" i="39"/>
  <c r="M41" i="39" s="1"/>
  <c r="L40" i="39"/>
  <c r="K40" i="39"/>
  <c r="K41" i="39" s="1"/>
  <c r="J40" i="39"/>
  <c r="J41" i="39" s="1"/>
  <c r="I40" i="39"/>
  <c r="I41" i="39" s="1"/>
  <c r="H40" i="39"/>
  <c r="G40" i="39"/>
  <c r="F40" i="39"/>
  <c r="E40" i="39"/>
  <c r="E41" i="39" s="1"/>
  <c r="D40" i="39"/>
  <c r="C40" i="39"/>
  <c r="C41" i="39" s="1"/>
  <c r="B40" i="39"/>
  <c r="N40" i="39" s="1"/>
  <c r="M34" i="39"/>
  <c r="M141" i="39" s="1"/>
  <c r="L34" i="39"/>
  <c r="L141" i="39" s="1"/>
  <c r="K34" i="39"/>
  <c r="K141" i="39" s="1"/>
  <c r="J34" i="39"/>
  <c r="J141" i="39" s="1"/>
  <c r="I34" i="39"/>
  <c r="I141" i="39" s="1"/>
  <c r="H34" i="39"/>
  <c r="H141" i="39" s="1"/>
  <c r="G34" i="39"/>
  <c r="F34" i="39"/>
  <c r="F141" i="39" s="1"/>
  <c r="E34" i="39"/>
  <c r="E141" i="39" s="1"/>
  <c r="D34" i="39"/>
  <c r="D141" i="39" s="1"/>
  <c r="C34" i="39"/>
  <c r="B34" i="39"/>
  <c r="M28" i="39"/>
  <c r="L28" i="39"/>
  <c r="K28" i="39"/>
  <c r="J28" i="39"/>
  <c r="I28" i="39"/>
  <c r="H28" i="39"/>
  <c r="G28" i="39"/>
  <c r="F28" i="39"/>
  <c r="E28" i="39"/>
  <c r="D28" i="39"/>
  <c r="C28" i="39"/>
  <c r="B28" i="39"/>
  <c r="M27" i="39"/>
  <c r="L27" i="39"/>
  <c r="L29" i="39" s="1"/>
  <c r="K27" i="39"/>
  <c r="J27" i="39"/>
  <c r="J29" i="39" s="1"/>
  <c r="I27" i="39"/>
  <c r="H27" i="39"/>
  <c r="H29" i="39" s="1"/>
  <c r="G27" i="39"/>
  <c r="G29" i="39" s="1"/>
  <c r="F27" i="39"/>
  <c r="E27" i="39"/>
  <c r="D27" i="39"/>
  <c r="D29" i="39" s="1"/>
  <c r="C27" i="39"/>
  <c r="B27" i="39"/>
  <c r="M21" i="39"/>
  <c r="M135" i="39" s="1"/>
  <c r="L21" i="39"/>
  <c r="L135" i="39" s="1"/>
  <c r="K21" i="39"/>
  <c r="K135" i="39" s="1"/>
  <c r="J21" i="39"/>
  <c r="J135" i="39" s="1"/>
  <c r="I21" i="39"/>
  <c r="H21" i="39"/>
  <c r="H135" i="39" s="1"/>
  <c r="G21" i="39"/>
  <c r="G135" i="39" s="1"/>
  <c r="F21" i="39"/>
  <c r="F135" i="39" s="1"/>
  <c r="E21" i="39"/>
  <c r="D21" i="39"/>
  <c r="D135" i="39" s="1"/>
  <c r="C21" i="39"/>
  <c r="C135" i="39" s="1"/>
  <c r="B21" i="39"/>
  <c r="M20" i="39"/>
  <c r="L20" i="39"/>
  <c r="L134" i="39" s="1"/>
  <c r="K20" i="39"/>
  <c r="K134" i="39" s="1"/>
  <c r="J20" i="39"/>
  <c r="I20" i="39"/>
  <c r="H20" i="39"/>
  <c r="H134" i="39" s="1"/>
  <c r="G20" i="39"/>
  <c r="G134" i="39" s="1"/>
  <c r="F20" i="39"/>
  <c r="E20" i="39"/>
  <c r="D20" i="39"/>
  <c r="D134" i="39" s="1"/>
  <c r="C20" i="39"/>
  <c r="C134" i="39" s="1"/>
  <c r="B20" i="39"/>
  <c r="N20" i="39" s="1"/>
  <c r="M14" i="39"/>
  <c r="L14" i="39"/>
  <c r="K14" i="39"/>
  <c r="J14" i="39"/>
  <c r="I14" i="39"/>
  <c r="H14" i="39"/>
  <c r="G14" i="39"/>
  <c r="F14" i="39"/>
  <c r="E14" i="39"/>
  <c r="D14" i="39"/>
  <c r="C14" i="39"/>
  <c r="B14" i="39"/>
  <c r="N14" i="39" s="1"/>
  <c r="M13" i="39"/>
  <c r="L13" i="39"/>
  <c r="K13" i="39"/>
  <c r="J13" i="39"/>
  <c r="I13" i="39"/>
  <c r="H13" i="39"/>
  <c r="G13" i="39"/>
  <c r="F13" i="39"/>
  <c r="E13" i="39"/>
  <c r="D13" i="39"/>
  <c r="C13" i="39"/>
  <c r="B13" i="39"/>
  <c r="N13" i="39" s="1"/>
  <c r="M7" i="39"/>
  <c r="L7" i="39"/>
  <c r="L128" i="39" s="1"/>
  <c r="K7" i="39"/>
  <c r="K128" i="39" s="1"/>
  <c r="J7" i="39"/>
  <c r="J128" i="39" s="1"/>
  <c r="I7" i="39"/>
  <c r="H7" i="39"/>
  <c r="H128" i="39" s="1"/>
  <c r="G7" i="39"/>
  <c r="G128" i="39" s="1"/>
  <c r="F7" i="39"/>
  <c r="E7" i="39"/>
  <c r="D7" i="39"/>
  <c r="D128" i="39" s="1"/>
  <c r="C7" i="39"/>
  <c r="C128" i="39" s="1"/>
  <c r="B7" i="39"/>
  <c r="N7" i="39" s="1"/>
  <c r="M6" i="39"/>
  <c r="L6" i="39"/>
  <c r="K6" i="39"/>
  <c r="J6" i="39"/>
  <c r="I6" i="39"/>
  <c r="H6" i="39"/>
  <c r="G6" i="39"/>
  <c r="F6" i="39"/>
  <c r="E6" i="39"/>
  <c r="D6" i="39"/>
  <c r="C6" i="39"/>
  <c r="B6" i="39"/>
  <c r="N6" i="39" s="1"/>
  <c r="L147" i="39"/>
  <c r="M114" i="39"/>
  <c r="L114" i="39"/>
  <c r="K114" i="39"/>
  <c r="J114" i="39"/>
  <c r="I114" i="39"/>
  <c r="H114" i="39"/>
  <c r="G114" i="39"/>
  <c r="F114" i="39"/>
  <c r="E114" i="39"/>
  <c r="D114" i="39"/>
  <c r="C114" i="39"/>
  <c r="B114" i="39"/>
  <c r="M113" i="39"/>
  <c r="L113" i="39"/>
  <c r="K113" i="39"/>
  <c r="J113" i="39"/>
  <c r="I113" i="39"/>
  <c r="H113" i="39"/>
  <c r="G113" i="39"/>
  <c r="F113" i="39"/>
  <c r="E113" i="39"/>
  <c r="D113" i="39"/>
  <c r="C113" i="39"/>
  <c r="B113" i="39"/>
  <c r="M112" i="39"/>
  <c r="L112" i="39"/>
  <c r="K112" i="39"/>
  <c r="J112" i="39"/>
  <c r="I112" i="39"/>
  <c r="H112" i="39"/>
  <c r="G112" i="39"/>
  <c r="F112" i="39"/>
  <c r="E112" i="39"/>
  <c r="D112" i="39"/>
  <c r="C112" i="39"/>
  <c r="B112" i="39"/>
  <c r="M111" i="39"/>
  <c r="L111" i="39"/>
  <c r="K111" i="39"/>
  <c r="J111" i="39"/>
  <c r="I111" i="39"/>
  <c r="H111" i="39"/>
  <c r="G111" i="39"/>
  <c r="F111" i="39"/>
  <c r="E111" i="39"/>
  <c r="D111" i="39"/>
  <c r="C111" i="39"/>
  <c r="B111" i="39"/>
  <c r="M110" i="39"/>
  <c r="L110" i="39"/>
  <c r="K110" i="39"/>
  <c r="J110" i="39"/>
  <c r="I110" i="39"/>
  <c r="H110" i="39"/>
  <c r="G110" i="39"/>
  <c r="F110" i="39"/>
  <c r="E110" i="39"/>
  <c r="D110" i="39"/>
  <c r="C110" i="39"/>
  <c r="B110" i="39"/>
  <c r="M104" i="39"/>
  <c r="L104" i="39"/>
  <c r="K104" i="39"/>
  <c r="J104" i="39"/>
  <c r="I104" i="39"/>
  <c r="H104" i="39"/>
  <c r="G104" i="39"/>
  <c r="F104" i="39"/>
  <c r="E104" i="39"/>
  <c r="D104" i="39"/>
  <c r="C104" i="39"/>
  <c r="B104" i="39"/>
  <c r="M103" i="39"/>
  <c r="L103" i="39"/>
  <c r="K103" i="39"/>
  <c r="J103" i="39"/>
  <c r="I103" i="39"/>
  <c r="H103" i="39"/>
  <c r="G103" i="39"/>
  <c r="F103" i="39"/>
  <c r="E103" i="39"/>
  <c r="D103" i="39"/>
  <c r="C103" i="39"/>
  <c r="B103" i="39"/>
  <c r="M102" i="39"/>
  <c r="L102" i="39"/>
  <c r="K102" i="39"/>
  <c r="J102" i="39"/>
  <c r="I102" i="39"/>
  <c r="H102" i="39"/>
  <c r="G102" i="39"/>
  <c r="F102" i="39"/>
  <c r="E102" i="39"/>
  <c r="D102" i="39"/>
  <c r="C102" i="39"/>
  <c r="B102" i="39"/>
  <c r="M101" i="39"/>
  <c r="L101" i="39"/>
  <c r="K101" i="39"/>
  <c r="J101" i="39"/>
  <c r="I101" i="39"/>
  <c r="H101" i="39"/>
  <c r="G101" i="39"/>
  <c r="F101" i="39"/>
  <c r="E101" i="39"/>
  <c r="D101" i="39"/>
  <c r="C101" i="39"/>
  <c r="B101" i="39"/>
  <c r="M100" i="39"/>
  <c r="L100" i="39"/>
  <c r="K100" i="39"/>
  <c r="K177" i="39" s="1"/>
  <c r="J100" i="39"/>
  <c r="I100" i="39"/>
  <c r="H100" i="39"/>
  <c r="G100" i="39"/>
  <c r="F100" i="39"/>
  <c r="E100" i="39"/>
  <c r="D100" i="39"/>
  <c r="C100" i="39"/>
  <c r="B100" i="39"/>
  <c r="M94" i="39"/>
  <c r="M171" i="39" s="1"/>
  <c r="L94" i="39"/>
  <c r="L95" i="39" s="1"/>
  <c r="L172" i="39" s="1"/>
  <c r="K94" i="39"/>
  <c r="K95" i="39" s="1"/>
  <c r="K172" i="39" s="1"/>
  <c r="J94" i="39"/>
  <c r="J171" i="39" s="1"/>
  <c r="I94" i="39"/>
  <c r="I171" i="39" s="1"/>
  <c r="H94" i="39"/>
  <c r="H95" i="39" s="1"/>
  <c r="H172" i="39" s="1"/>
  <c r="G94" i="39"/>
  <c r="G95" i="39" s="1"/>
  <c r="G172" i="39" s="1"/>
  <c r="F94" i="39"/>
  <c r="F171" i="39" s="1"/>
  <c r="E94" i="39"/>
  <c r="E171" i="39" s="1"/>
  <c r="D94" i="39"/>
  <c r="D95" i="39" s="1"/>
  <c r="D172" i="39" s="1"/>
  <c r="C94" i="39"/>
  <c r="C95" i="39" s="1"/>
  <c r="C172" i="39" s="1"/>
  <c r="B94" i="39"/>
  <c r="M88" i="39"/>
  <c r="L88" i="39"/>
  <c r="K88" i="39"/>
  <c r="J88" i="39"/>
  <c r="I88" i="39"/>
  <c r="H88" i="39"/>
  <c r="G88" i="39"/>
  <c r="F88" i="39"/>
  <c r="E88" i="39"/>
  <c r="D88" i="39"/>
  <c r="C88" i="39"/>
  <c r="B88" i="39"/>
  <c r="M87" i="39"/>
  <c r="L87" i="39"/>
  <c r="K87" i="39"/>
  <c r="J87" i="39"/>
  <c r="I87" i="39"/>
  <c r="H87" i="39"/>
  <c r="G87" i="39"/>
  <c r="F87" i="39"/>
  <c r="E87" i="39"/>
  <c r="D87" i="39"/>
  <c r="C87" i="39"/>
  <c r="B87" i="39"/>
  <c r="M81" i="39"/>
  <c r="L81" i="39"/>
  <c r="K81" i="39"/>
  <c r="J81" i="39"/>
  <c r="I81" i="39"/>
  <c r="H81" i="39"/>
  <c r="G81" i="39"/>
  <c r="F81" i="39"/>
  <c r="E81" i="39"/>
  <c r="D81" i="39"/>
  <c r="C81" i="39"/>
  <c r="B81" i="39"/>
  <c r="M80" i="39"/>
  <c r="L80" i="39"/>
  <c r="K80" i="39"/>
  <c r="J80" i="39"/>
  <c r="I80" i="39"/>
  <c r="H80" i="39"/>
  <c r="G80" i="39"/>
  <c r="F80" i="39"/>
  <c r="E80" i="39"/>
  <c r="D80" i="39"/>
  <c r="C80" i="39"/>
  <c r="B80" i="39"/>
  <c r="M74" i="39"/>
  <c r="L74" i="39"/>
  <c r="K74" i="39"/>
  <c r="J74" i="39"/>
  <c r="I74" i="39"/>
  <c r="H74" i="39"/>
  <c r="G74" i="39"/>
  <c r="F74" i="39"/>
  <c r="E74" i="39"/>
  <c r="D74" i="39"/>
  <c r="C74" i="39"/>
  <c r="B74" i="39"/>
  <c r="M73" i="39"/>
  <c r="L73" i="39"/>
  <c r="K73" i="39"/>
  <c r="J73" i="39"/>
  <c r="I73" i="39"/>
  <c r="H73" i="39"/>
  <c r="G73" i="39"/>
  <c r="F73" i="39"/>
  <c r="E73" i="39"/>
  <c r="D73" i="39"/>
  <c r="C73" i="39"/>
  <c r="B73" i="39"/>
  <c r="M67" i="39"/>
  <c r="L67" i="39"/>
  <c r="K67" i="39"/>
  <c r="J67" i="39"/>
  <c r="I67" i="39"/>
  <c r="H67" i="39"/>
  <c r="G67" i="39"/>
  <c r="F67" i="39"/>
  <c r="E67" i="39"/>
  <c r="D67" i="39"/>
  <c r="C67" i="39"/>
  <c r="B67" i="39"/>
  <c r="M66" i="39"/>
  <c r="L66" i="39"/>
  <c r="K66" i="39"/>
  <c r="K157" i="39" s="1"/>
  <c r="J66" i="39"/>
  <c r="I66" i="39"/>
  <c r="H66" i="39"/>
  <c r="G66" i="39"/>
  <c r="G157" i="39" s="1"/>
  <c r="F66" i="39"/>
  <c r="E66" i="39"/>
  <c r="D66" i="39"/>
  <c r="C66" i="39"/>
  <c r="C157" i="39" s="1"/>
  <c r="B66" i="39"/>
  <c r="M4" i="39"/>
  <c r="M125" i="39" s="1"/>
  <c r="L4" i="39"/>
  <c r="L125" i="39" s="1"/>
  <c r="K4" i="39"/>
  <c r="K125" i="39" s="1"/>
  <c r="J4" i="39"/>
  <c r="J125" i="39" s="1"/>
  <c r="I4" i="39"/>
  <c r="I125" i="39" s="1"/>
  <c r="H4" i="39"/>
  <c r="H125" i="39" s="1"/>
  <c r="G4" i="39"/>
  <c r="G125" i="39" s="1"/>
  <c r="F4" i="39"/>
  <c r="F125" i="39" s="1"/>
  <c r="E4" i="39"/>
  <c r="E125" i="39" s="1"/>
  <c r="D4" i="39"/>
  <c r="D125" i="39" s="1"/>
  <c r="C4" i="39"/>
  <c r="C125" i="39" s="1"/>
  <c r="B125" i="39"/>
  <c r="N28" i="39" l="1"/>
  <c r="B135" i="39"/>
  <c r="N21" i="39"/>
  <c r="B149" i="39"/>
  <c r="N149" i="39" s="1"/>
  <c r="N48" i="39"/>
  <c r="B118" i="39"/>
  <c r="B119" i="39" s="1"/>
  <c r="F118" i="39"/>
  <c r="F119" i="39" s="1"/>
  <c r="C118" i="39"/>
  <c r="C119" i="39" s="1"/>
  <c r="G118" i="39"/>
  <c r="G119" i="39" s="1"/>
  <c r="K118" i="39"/>
  <c r="K119" i="39" s="1"/>
  <c r="B141" i="39"/>
  <c r="N34" i="39"/>
  <c r="B147" i="39"/>
  <c r="N46" i="39"/>
  <c r="B148" i="39"/>
  <c r="N148" i="39" s="1"/>
  <c r="N47" i="39"/>
  <c r="B150" i="39"/>
  <c r="N150" i="39" s="1"/>
  <c r="N49" i="39"/>
  <c r="N66" i="39"/>
  <c r="N67" i="39"/>
  <c r="N73" i="39"/>
  <c r="N74" i="39"/>
  <c r="N80" i="39"/>
  <c r="N81" i="39"/>
  <c r="N87" i="39"/>
  <c r="N88" i="39"/>
  <c r="B171" i="39"/>
  <c r="N94" i="39"/>
  <c r="N100" i="39"/>
  <c r="B178" i="39"/>
  <c r="N101" i="39"/>
  <c r="N102" i="39"/>
  <c r="N103" i="39"/>
  <c r="N104" i="39"/>
  <c r="N110" i="39"/>
  <c r="N111" i="39"/>
  <c r="N112" i="39"/>
  <c r="N113" i="39"/>
  <c r="N114" i="39"/>
  <c r="D118" i="39"/>
  <c r="D119" i="39" s="1"/>
  <c r="H118" i="39"/>
  <c r="H119" i="39" s="1"/>
  <c r="L118" i="39"/>
  <c r="L119" i="39" s="1"/>
  <c r="B29" i="39"/>
  <c r="N27" i="39"/>
  <c r="B151" i="39"/>
  <c r="N50" i="39"/>
  <c r="J118" i="39"/>
  <c r="J119" i="39" s="1"/>
  <c r="E118" i="39"/>
  <c r="E119" i="39" s="1"/>
  <c r="I118" i="39"/>
  <c r="I119" i="39" s="1"/>
  <c r="M118" i="39"/>
  <c r="M119" i="39" s="1"/>
  <c r="G134" i="53"/>
  <c r="H134" i="53"/>
  <c r="G137" i="53"/>
  <c r="H137" i="53"/>
  <c r="G135" i="53"/>
  <c r="H135" i="53"/>
  <c r="G136" i="53"/>
  <c r="H136" i="53"/>
  <c r="G129" i="53"/>
  <c r="H129" i="53"/>
  <c r="G128" i="53"/>
  <c r="H128" i="53"/>
  <c r="H125" i="53"/>
  <c r="G125" i="53"/>
  <c r="G131" i="53"/>
  <c r="H131" i="53"/>
  <c r="H127" i="53"/>
  <c r="G127" i="53"/>
  <c r="G130" i="53"/>
  <c r="H130" i="53"/>
  <c r="G126" i="53"/>
  <c r="H126" i="53"/>
  <c r="D117" i="18"/>
  <c r="D117" i="53"/>
  <c r="G122" i="53"/>
  <c r="H122" i="53"/>
  <c r="G118" i="53"/>
  <c r="H118" i="53"/>
  <c r="H121" i="53"/>
  <c r="G121" i="53"/>
  <c r="G119" i="53"/>
  <c r="H119" i="53"/>
  <c r="G120" i="53"/>
  <c r="H120" i="53"/>
  <c r="N51" i="40"/>
  <c r="I127" i="39"/>
  <c r="D178" i="39"/>
  <c r="H178" i="39"/>
  <c r="L178" i="39"/>
  <c r="D179" i="39"/>
  <c r="H179" i="39"/>
  <c r="L179" i="39"/>
  <c r="D181" i="39"/>
  <c r="H181" i="39"/>
  <c r="L181" i="39"/>
  <c r="E127" i="39"/>
  <c r="M127" i="39"/>
  <c r="F29" i="39"/>
  <c r="J178" i="39"/>
  <c r="C179" i="39"/>
  <c r="N64" i="40"/>
  <c r="L127" i="39"/>
  <c r="N86" i="40"/>
  <c r="N96" i="40"/>
  <c r="H171" i="39"/>
  <c r="N116" i="40"/>
  <c r="B164" i="39"/>
  <c r="F164" i="39"/>
  <c r="J164" i="39"/>
  <c r="L164" i="39"/>
  <c r="C181" i="39"/>
  <c r="G181" i="39"/>
  <c r="K181" i="39"/>
  <c r="N58" i="40"/>
  <c r="N44" i="40"/>
  <c r="N37" i="40"/>
  <c r="E164" i="39"/>
  <c r="I164" i="39"/>
  <c r="M164" i="39"/>
  <c r="B127" i="39"/>
  <c r="B177" i="39"/>
  <c r="F177" i="39"/>
  <c r="J177" i="39"/>
  <c r="G171" i="39"/>
  <c r="C165" i="39"/>
  <c r="G165" i="39"/>
  <c r="K165" i="39"/>
  <c r="C127" i="39"/>
  <c r="K127" i="39"/>
  <c r="F178" i="39"/>
  <c r="B179" i="39"/>
  <c r="F179" i="39"/>
  <c r="J179" i="39"/>
  <c r="B180" i="39"/>
  <c r="F180" i="39"/>
  <c r="J180" i="39"/>
  <c r="M75" i="39"/>
  <c r="K171" i="39"/>
  <c r="I165" i="39"/>
  <c r="G177" i="39"/>
  <c r="G178" i="39"/>
  <c r="G179" i="39"/>
  <c r="G180" i="39"/>
  <c r="D115" i="39"/>
  <c r="H115" i="39"/>
  <c r="L115" i="39"/>
  <c r="I115" i="39"/>
  <c r="E180" i="39"/>
  <c r="F158" i="39"/>
  <c r="J158" i="39"/>
  <c r="F75" i="39"/>
  <c r="D177" i="39"/>
  <c r="C178" i="39"/>
  <c r="K178" i="39"/>
  <c r="K179" i="39"/>
  <c r="C180" i="39"/>
  <c r="K180" i="39"/>
  <c r="G127" i="39"/>
  <c r="D157" i="39"/>
  <c r="L157" i="39"/>
  <c r="E181" i="39"/>
  <c r="I181" i="39"/>
  <c r="M181" i="39"/>
  <c r="C177" i="39"/>
  <c r="B41" i="39"/>
  <c r="C158" i="39"/>
  <c r="G158" i="39"/>
  <c r="K158" i="39"/>
  <c r="C171" i="39"/>
  <c r="B165" i="39"/>
  <c r="F165" i="39"/>
  <c r="J165" i="39"/>
  <c r="D164" i="39"/>
  <c r="H164" i="39"/>
  <c r="E165" i="39"/>
  <c r="M89" i="39"/>
  <c r="C29" i="39"/>
  <c r="K29" i="39"/>
  <c r="N76" i="40"/>
  <c r="C75" i="39"/>
  <c r="G75" i="39"/>
  <c r="K75" i="39"/>
  <c r="B157" i="39"/>
  <c r="F157" i="39"/>
  <c r="J157" i="39"/>
  <c r="E75" i="39"/>
  <c r="D165" i="39"/>
  <c r="H165" i="39"/>
  <c r="L165" i="39"/>
  <c r="B89" i="39"/>
  <c r="J89" i="39"/>
  <c r="E177" i="39"/>
  <c r="I177" i="39"/>
  <c r="M177" i="39"/>
  <c r="I89" i="39"/>
  <c r="E89" i="39"/>
  <c r="I75" i="39"/>
  <c r="D171" i="39"/>
  <c r="B158" i="39"/>
  <c r="M165" i="39"/>
  <c r="H157" i="39"/>
  <c r="L171" i="39"/>
  <c r="E157" i="39"/>
  <c r="I157" i="39"/>
  <c r="M157" i="39"/>
  <c r="D158" i="39"/>
  <c r="H158" i="39"/>
  <c r="L158" i="39"/>
  <c r="H177" i="39"/>
  <c r="C164" i="39"/>
  <c r="G164" i="39"/>
  <c r="K164" i="39"/>
  <c r="L177" i="39"/>
  <c r="E178" i="39"/>
  <c r="I178" i="39"/>
  <c r="M178" i="39"/>
  <c r="E179" i="39"/>
  <c r="I179" i="39"/>
  <c r="M179" i="39"/>
  <c r="I180" i="39"/>
  <c r="M180" i="39"/>
  <c r="B181" i="39"/>
  <c r="F181" i="39"/>
  <c r="J181" i="39"/>
  <c r="F95" i="39"/>
  <c r="F172" i="39" s="1"/>
  <c r="B128" i="39"/>
  <c r="F128" i="39"/>
  <c r="H41" i="39"/>
  <c r="E158" i="39"/>
  <c r="I158" i="39"/>
  <c r="M158" i="39"/>
  <c r="B75" i="39"/>
  <c r="J75" i="39"/>
  <c r="F89" i="39"/>
  <c r="D180" i="39"/>
  <c r="H180" i="39"/>
  <c r="L180" i="39"/>
  <c r="B115" i="39"/>
  <c r="F115" i="39"/>
  <c r="J115" i="39"/>
  <c r="N147" i="39"/>
  <c r="D127" i="39"/>
  <c r="H127" i="39"/>
  <c r="F41" i="39"/>
  <c r="I29" i="39"/>
  <c r="I134" i="39"/>
  <c r="G89" i="39"/>
  <c r="I95" i="39"/>
  <c r="I172" i="39" s="1"/>
  <c r="I173" i="39" s="1"/>
  <c r="I50" i="13" s="1"/>
  <c r="D75" i="39"/>
  <c r="H75" i="39"/>
  <c r="L75" i="39"/>
  <c r="D89" i="39"/>
  <c r="H89" i="39"/>
  <c r="L89" i="39"/>
  <c r="B95" i="39"/>
  <c r="J95" i="39"/>
  <c r="J172" i="39" s="1"/>
  <c r="N151" i="39"/>
  <c r="E29" i="39"/>
  <c r="E134" i="39"/>
  <c r="M29" i="39"/>
  <c r="M134" i="39"/>
  <c r="C89" i="39"/>
  <c r="K89" i="39"/>
  <c r="E95" i="39"/>
  <c r="E172" i="39" s="1"/>
  <c r="M95" i="39"/>
  <c r="M172" i="39" s="1"/>
  <c r="E115" i="39"/>
  <c r="M115" i="39"/>
  <c r="C141" i="39"/>
  <c r="G141" i="39"/>
  <c r="G41" i="39"/>
  <c r="N70" i="40"/>
  <c r="F127" i="39"/>
  <c r="J127" i="39"/>
  <c r="E135" i="39"/>
  <c r="I135" i="39"/>
  <c r="N30" i="40"/>
  <c r="N16" i="40"/>
  <c r="N106" i="40"/>
  <c r="D41" i="39"/>
  <c r="L41" i="39"/>
  <c r="C115" i="39"/>
  <c r="G115" i="39"/>
  <c r="K115" i="39"/>
  <c r="E128" i="39"/>
  <c r="I128" i="39"/>
  <c r="M128" i="39"/>
  <c r="B134" i="39"/>
  <c r="F134" i="39"/>
  <c r="J134" i="39"/>
  <c r="N23" i="40"/>
  <c r="N9" i="40"/>
  <c r="E173" i="39" l="1"/>
  <c r="E50" i="13" s="1"/>
  <c r="N41" i="39"/>
  <c r="N42" i="39" s="1"/>
  <c r="H173" i="39"/>
  <c r="H51" i="13" s="1"/>
  <c r="F173" i="39"/>
  <c r="F50" i="13" s="1"/>
  <c r="I51" i="13"/>
  <c r="N75" i="39"/>
  <c r="N76" i="39" s="1"/>
  <c r="L173" i="39"/>
  <c r="L51" i="13" s="1"/>
  <c r="D173" i="39"/>
  <c r="D51" i="13" s="1"/>
  <c r="N89" i="39"/>
  <c r="N90" i="39" s="1"/>
  <c r="K173" i="39"/>
  <c r="K51" i="13" s="1"/>
  <c r="B172" i="39"/>
  <c r="B173" i="39" s="1"/>
  <c r="B50" i="13" s="1"/>
  <c r="N95" i="39"/>
  <c r="N96" i="39" s="1"/>
  <c r="C173" i="39"/>
  <c r="C51" i="13" s="1"/>
  <c r="N115" i="39"/>
  <c r="N116" i="39" s="1"/>
  <c r="G173" i="39"/>
  <c r="G51" i="13" s="1"/>
  <c r="N29" i="39"/>
  <c r="N30" i="39" s="1"/>
  <c r="J173" i="39"/>
  <c r="J50" i="13" s="1"/>
  <c r="M173" i="39"/>
  <c r="M50" i="13" s="1"/>
  <c r="C23" i="61"/>
  <c r="C23" i="21"/>
  <c r="G23" i="21" s="1"/>
  <c r="C23" i="26"/>
  <c r="C23" i="22"/>
  <c r="D25" i="65"/>
  <c r="H117" i="53"/>
  <c r="G117" i="53"/>
  <c r="N171" i="39"/>
  <c r="N141" i="39"/>
  <c r="N177" i="39"/>
  <c r="N181" i="39"/>
  <c r="N157" i="39"/>
  <c r="N178" i="39"/>
  <c r="N128" i="39"/>
  <c r="N135" i="39"/>
  <c r="N127" i="39"/>
  <c r="N180" i="39"/>
  <c r="N158" i="39"/>
  <c r="N179" i="39"/>
  <c r="N164" i="39"/>
  <c r="N165" i="39"/>
  <c r="J15" i="39"/>
  <c r="K15" i="39"/>
  <c r="N134" i="39"/>
  <c r="C15" i="39"/>
  <c r="G15" i="39"/>
  <c r="M51" i="13" l="1"/>
  <c r="E51" i="13"/>
  <c r="K50" i="13"/>
  <c r="L50" i="13"/>
  <c r="G50" i="13"/>
  <c r="N172" i="39"/>
  <c r="N173" i="39" s="1"/>
  <c r="N51" i="13" s="1"/>
  <c r="H50" i="13"/>
  <c r="C50" i="13"/>
  <c r="D50" i="13"/>
  <c r="B51" i="13"/>
  <c r="J51" i="13"/>
  <c r="F51" i="13"/>
  <c r="H29" i="67"/>
  <c r="H43" i="67" s="1"/>
  <c r="D29" i="67"/>
  <c r="D43" i="67" s="1"/>
  <c r="L40" i="66"/>
  <c r="F23" i="61"/>
  <c r="G23" i="61"/>
  <c r="L25" i="65"/>
  <c r="L15" i="39"/>
  <c r="L35" i="39"/>
  <c r="L142" i="39" s="1"/>
  <c r="L143" i="39" s="1"/>
  <c r="L20" i="13" s="1"/>
  <c r="I22" i="39"/>
  <c r="I136" i="39" s="1"/>
  <c r="I137" i="39" s="1"/>
  <c r="J8" i="39"/>
  <c r="J129" i="39" s="1"/>
  <c r="J130" i="39" s="1"/>
  <c r="H15" i="39"/>
  <c r="I15" i="39"/>
  <c r="E68" i="39"/>
  <c r="E159" i="39" s="1"/>
  <c r="E160" i="39" s="1"/>
  <c r="G8" i="39"/>
  <c r="G129" i="39" s="1"/>
  <c r="G130" i="39" s="1"/>
  <c r="M15" i="39"/>
  <c r="K8" i="39"/>
  <c r="K129" i="39" s="1"/>
  <c r="K130" i="39" s="1"/>
  <c r="C8" i="39"/>
  <c r="C129" i="39" s="1"/>
  <c r="C130" i="39" s="1"/>
  <c r="F35" i="39"/>
  <c r="F142" i="39" s="1"/>
  <c r="F143" i="39" s="1"/>
  <c r="F20" i="13" s="1"/>
  <c r="E15" i="39"/>
  <c r="M82" i="39"/>
  <c r="M166" i="39" s="1"/>
  <c r="M167" i="39" s="1"/>
  <c r="F15" i="39"/>
  <c r="N50" i="13" l="1"/>
  <c r="O40" i="66"/>
  <c r="M25" i="65"/>
  <c r="C8" i="13"/>
  <c r="I15" i="13"/>
  <c r="K8" i="13"/>
  <c r="F21" i="13"/>
  <c r="L21" i="13"/>
  <c r="I13" i="13"/>
  <c r="I14" i="13"/>
  <c r="J7" i="13"/>
  <c r="J6" i="13"/>
  <c r="C7" i="13"/>
  <c r="C6" i="13"/>
  <c r="K7" i="13"/>
  <c r="K6" i="13"/>
  <c r="G8" i="13"/>
  <c r="J8" i="13"/>
  <c r="G7" i="13"/>
  <c r="G6" i="13"/>
  <c r="M44" i="13"/>
  <c r="M43" i="13"/>
  <c r="M45" i="13"/>
  <c r="E38" i="13"/>
  <c r="E36" i="13"/>
  <c r="E37" i="13"/>
  <c r="D51" i="39"/>
  <c r="D152" i="39" s="1"/>
  <c r="D153" i="39" s="1"/>
  <c r="C35" i="39"/>
  <c r="C142" i="39" s="1"/>
  <c r="I35" i="39"/>
  <c r="I142" i="39" s="1"/>
  <c r="I143" i="39" s="1"/>
  <c r="I20" i="13" s="1"/>
  <c r="D22" i="39"/>
  <c r="D136" i="39" s="1"/>
  <c r="D137" i="39" s="1"/>
  <c r="E35" i="39"/>
  <c r="E142" i="39" s="1"/>
  <c r="E143" i="39" s="1"/>
  <c r="E20" i="13" s="1"/>
  <c r="F105" i="39"/>
  <c r="F182" i="39" s="1"/>
  <c r="F183" i="39" s="1"/>
  <c r="H35" i="39"/>
  <c r="H142" i="39" s="1"/>
  <c r="H143" i="39" s="1"/>
  <c r="H20" i="13" s="1"/>
  <c r="H8" i="39"/>
  <c r="H129" i="39" s="1"/>
  <c r="E51" i="39"/>
  <c r="E152" i="39" s="1"/>
  <c r="E153" i="39" s="1"/>
  <c r="L68" i="39"/>
  <c r="L159" i="39" s="1"/>
  <c r="L160" i="39" s="1"/>
  <c r="H51" i="39"/>
  <c r="H152" i="39" s="1"/>
  <c r="H153" i="39" s="1"/>
  <c r="M8" i="39"/>
  <c r="M129" i="39" s="1"/>
  <c r="M130" i="39" s="1"/>
  <c r="F51" i="39"/>
  <c r="F152" i="39" s="1"/>
  <c r="F153" i="39" s="1"/>
  <c r="D82" i="39"/>
  <c r="D166" i="39" s="1"/>
  <c r="D167" i="39" s="1"/>
  <c r="F8" i="39"/>
  <c r="F129" i="39" s="1"/>
  <c r="F130" i="39" s="1"/>
  <c r="H22" i="39"/>
  <c r="H136" i="39" s="1"/>
  <c r="H137" i="39" s="1"/>
  <c r="M68" i="39"/>
  <c r="M159" i="39" s="1"/>
  <c r="M160" i="39" s="1"/>
  <c r="M22" i="39"/>
  <c r="M136" i="39" s="1"/>
  <c r="M137" i="39" s="1"/>
  <c r="L22" i="39"/>
  <c r="L136" i="39" s="1"/>
  <c r="L137" i="39" s="1"/>
  <c r="G82" i="39"/>
  <c r="G166" i="39" s="1"/>
  <c r="J51" i="39"/>
  <c r="J152" i="39" s="1"/>
  <c r="J153" i="39" s="1"/>
  <c r="M35" i="39"/>
  <c r="M142" i="39" s="1"/>
  <c r="M143" i="39" s="1"/>
  <c r="M20" i="13" s="1"/>
  <c r="H105" i="39"/>
  <c r="H182" i="39" s="1"/>
  <c r="H183" i="39" s="1"/>
  <c r="L105" i="39"/>
  <c r="L182" i="39" s="1"/>
  <c r="L183" i="39" s="1"/>
  <c r="J68" i="39"/>
  <c r="J159" i="39" s="1"/>
  <c r="J160" i="39" s="1"/>
  <c r="H68" i="39"/>
  <c r="H159" i="39" s="1"/>
  <c r="H160" i="39" s="1"/>
  <c r="I105" i="39"/>
  <c r="I182" i="39" s="1"/>
  <c r="I183" i="39" s="1"/>
  <c r="J105" i="39"/>
  <c r="J182" i="39" s="1"/>
  <c r="J183" i="39" s="1"/>
  <c r="C51" i="39"/>
  <c r="C152" i="39" s="1"/>
  <c r="C153" i="39" s="1"/>
  <c r="I82" i="39"/>
  <c r="I166" i="39" s="1"/>
  <c r="I167" i="39" s="1"/>
  <c r="F82" i="39"/>
  <c r="F166" i="39" s="1"/>
  <c r="F167" i="39" s="1"/>
  <c r="E22" i="39"/>
  <c r="E136" i="39" s="1"/>
  <c r="E137" i="39" s="1"/>
  <c r="D68" i="39"/>
  <c r="D159" i="39" s="1"/>
  <c r="D160" i="39" s="1"/>
  <c r="G105" i="39"/>
  <c r="G182" i="39" s="1"/>
  <c r="G183" i="39" s="1"/>
  <c r="D105" i="39"/>
  <c r="D182" i="39" s="1"/>
  <c r="D183" i="39" s="1"/>
  <c r="J35" i="39"/>
  <c r="J142" i="39" s="1"/>
  <c r="J143" i="39" s="1"/>
  <c r="J20" i="13" s="1"/>
  <c r="I68" i="39"/>
  <c r="I159" i="39" s="1"/>
  <c r="I160" i="39" s="1"/>
  <c r="E8" i="39"/>
  <c r="E129" i="39" s="1"/>
  <c r="E130" i="39" s="1"/>
  <c r="H82" i="39"/>
  <c r="H166" i="39" s="1"/>
  <c r="H167" i="39" s="1"/>
  <c r="G68" i="39"/>
  <c r="G159" i="39" s="1"/>
  <c r="G160" i="39" s="1"/>
  <c r="I8" i="39"/>
  <c r="I129" i="39" s="1"/>
  <c r="I130" i="39" s="1"/>
  <c r="L51" i="39"/>
  <c r="L152" i="39" s="1"/>
  <c r="L153" i="39" s="1"/>
  <c r="M51" i="39"/>
  <c r="M152" i="39" s="1"/>
  <c r="M153" i="39" s="1"/>
  <c r="L82" i="39"/>
  <c r="L166" i="39" s="1"/>
  <c r="L167" i="39" s="1"/>
  <c r="K51" i="39"/>
  <c r="K152" i="39" s="1"/>
  <c r="K153" i="39" s="1"/>
  <c r="M105" i="39"/>
  <c r="M182" i="39" s="1"/>
  <c r="M183" i="39" s="1"/>
  <c r="C22" i="39"/>
  <c r="C136" i="39" s="1"/>
  <c r="C137" i="39" s="1"/>
  <c r="F68" i="39"/>
  <c r="F159" i="39" s="1"/>
  <c r="F160" i="39" s="1"/>
  <c r="D15" i="39"/>
  <c r="L8" i="39"/>
  <c r="L129" i="39" s="1"/>
  <c r="L130" i="39" s="1"/>
  <c r="G35" i="39"/>
  <c r="G142" i="39" s="1"/>
  <c r="G143" i="39" s="1"/>
  <c r="G20" i="13" s="1"/>
  <c r="G51" i="39"/>
  <c r="G152" i="39" s="1"/>
  <c r="G153" i="39" s="1"/>
  <c r="J82" i="39"/>
  <c r="J166" i="39" s="1"/>
  <c r="J167" i="39" s="1"/>
  <c r="E82" i="39"/>
  <c r="E166" i="39" s="1"/>
  <c r="E167" i="39" s="1"/>
  <c r="K22" i="39"/>
  <c r="K136" i="39" s="1"/>
  <c r="K137" i="39" s="1"/>
  <c r="E105" i="39"/>
  <c r="E182" i="39" s="1"/>
  <c r="E183" i="39" s="1"/>
  <c r="G22" i="39"/>
  <c r="G136" i="39" s="1"/>
  <c r="G137" i="39" s="1"/>
  <c r="F22" i="39"/>
  <c r="F136" i="39" s="1"/>
  <c r="F137" i="39" s="1"/>
  <c r="I51" i="39"/>
  <c r="I152" i="39" s="1"/>
  <c r="I153" i="39" s="1"/>
  <c r="K35" i="39"/>
  <c r="K142" i="39" s="1"/>
  <c r="K143" i="39" s="1"/>
  <c r="K20" i="13" s="1"/>
  <c r="J22" i="39"/>
  <c r="J136" i="39" s="1"/>
  <c r="J137" i="39" s="1"/>
  <c r="J185" i="39" l="1"/>
  <c r="J186" i="39" s="1"/>
  <c r="E185" i="39"/>
  <c r="E186" i="39" s="1"/>
  <c r="G167" i="39"/>
  <c r="G45" i="13" s="1"/>
  <c r="H130" i="39"/>
  <c r="H185" i="39" s="1"/>
  <c r="H186" i="39" s="1"/>
  <c r="I185" i="39"/>
  <c r="I186" i="39" s="1"/>
  <c r="F185" i="39"/>
  <c r="F186" i="39" s="1"/>
  <c r="C143" i="39"/>
  <c r="C20" i="13" s="1"/>
  <c r="L185" i="39"/>
  <c r="L186" i="39" s="1"/>
  <c r="M185" i="39"/>
  <c r="M186" i="39" s="1"/>
  <c r="I31" i="13"/>
  <c r="E61" i="13"/>
  <c r="G31" i="13"/>
  <c r="F45" i="13"/>
  <c r="F38" i="13"/>
  <c r="G38" i="13"/>
  <c r="I45" i="13"/>
  <c r="C15" i="13"/>
  <c r="M8" i="13"/>
  <c r="F61" i="13"/>
  <c r="J15" i="13"/>
  <c r="G15" i="13"/>
  <c r="K15" i="13"/>
  <c r="I8" i="13"/>
  <c r="J38" i="13"/>
  <c r="F8" i="13"/>
  <c r="F31" i="13"/>
  <c r="D26" i="13"/>
  <c r="D30" i="13"/>
  <c r="D29" i="13"/>
  <c r="D27" i="13"/>
  <c r="D28" i="13"/>
  <c r="K31" i="13"/>
  <c r="C27" i="13"/>
  <c r="C28" i="13"/>
  <c r="C30" i="13"/>
  <c r="C29" i="13"/>
  <c r="C26" i="13"/>
  <c r="J26" i="13"/>
  <c r="J30" i="13"/>
  <c r="J28" i="13"/>
  <c r="J27" i="13"/>
  <c r="J29" i="13"/>
  <c r="F26" i="13"/>
  <c r="F28" i="13"/>
  <c r="F29" i="13"/>
  <c r="F27" i="13"/>
  <c r="F30" i="13"/>
  <c r="H29" i="13"/>
  <c r="H28" i="13"/>
  <c r="H27" i="13"/>
  <c r="H26" i="13"/>
  <c r="H30" i="13"/>
  <c r="E27" i="13"/>
  <c r="E30" i="13"/>
  <c r="E28" i="13"/>
  <c r="E26" i="13"/>
  <c r="E29" i="13"/>
  <c r="L26" i="13"/>
  <c r="L28" i="13"/>
  <c r="L27" i="13"/>
  <c r="L30" i="13"/>
  <c r="L29" i="13"/>
  <c r="K30" i="13"/>
  <c r="K29" i="13"/>
  <c r="K28" i="13"/>
  <c r="K27" i="13"/>
  <c r="K26" i="13"/>
  <c r="M26" i="13"/>
  <c r="M29" i="13"/>
  <c r="M27" i="13"/>
  <c r="M30" i="13"/>
  <c r="M28" i="13"/>
  <c r="L31" i="13"/>
  <c r="D31" i="13"/>
  <c r="M31" i="13"/>
  <c r="I29" i="13"/>
  <c r="I28" i="13"/>
  <c r="I26" i="13"/>
  <c r="I30" i="13"/>
  <c r="I27" i="13"/>
  <c r="G29" i="13"/>
  <c r="G26" i="13"/>
  <c r="G27" i="13"/>
  <c r="G28" i="13"/>
  <c r="G30" i="13"/>
  <c r="C31" i="13"/>
  <c r="J31" i="13"/>
  <c r="H31" i="13"/>
  <c r="E31" i="13"/>
  <c r="H21" i="13"/>
  <c r="E21" i="13"/>
  <c r="M21" i="13"/>
  <c r="I21" i="13"/>
  <c r="K21" i="13"/>
  <c r="G21" i="13"/>
  <c r="J21" i="13"/>
  <c r="F14" i="13"/>
  <c r="F13" i="13"/>
  <c r="K14" i="13"/>
  <c r="K13" i="13"/>
  <c r="L15" i="13"/>
  <c r="M14" i="13"/>
  <c r="M13" i="13"/>
  <c r="L13" i="13"/>
  <c r="L14" i="13"/>
  <c r="H13" i="13"/>
  <c r="H14" i="13"/>
  <c r="D14" i="13"/>
  <c r="D13" i="13"/>
  <c r="J14" i="13"/>
  <c r="J13" i="13"/>
  <c r="H15" i="13"/>
  <c r="D15" i="13"/>
  <c r="G13" i="13"/>
  <c r="G14" i="13"/>
  <c r="E13" i="13"/>
  <c r="E14" i="13"/>
  <c r="F15" i="13"/>
  <c r="C13" i="13"/>
  <c r="C14" i="13"/>
  <c r="E15" i="13"/>
  <c r="M15" i="13"/>
  <c r="E6" i="13"/>
  <c r="E7" i="13"/>
  <c r="F6" i="13"/>
  <c r="F7" i="13"/>
  <c r="L8" i="13"/>
  <c r="E8" i="13"/>
  <c r="L7" i="13"/>
  <c r="L6" i="13"/>
  <c r="I6" i="13"/>
  <c r="I7" i="13"/>
  <c r="M6" i="13"/>
  <c r="M7" i="13"/>
  <c r="D61" i="13"/>
  <c r="I61" i="13"/>
  <c r="J56" i="13"/>
  <c r="J58" i="13"/>
  <c r="J57" i="13"/>
  <c r="J60" i="13"/>
  <c r="J59" i="13"/>
  <c r="L58" i="13"/>
  <c r="L57" i="13"/>
  <c r="L60" i="13"/>
  <c r="L59" i="13"/>
  <c r="L56" i="13"/>
  <c r="J61" i="13"/>
  <c r="L61" i="13"/>
  <c r="G61" i="13"/>
  <c r="M57" i="13"/>
  <c r="M60" i="13"/>
  <c r="M58" i="13"/>
  <c r="M56" i="13"/>
  <c r="M59" i="13"/>
  <c r="H58" i="13"/>
  <c r="H60" i="13"/>
  <c r="H57" i="13"/>
  <c r="H59" i="13"/>
  <c r="H56" i="13"/>
  <c r="G59" i="13"/>
  <c r="G57" i="13"/>
  <c r="G58" i="13"/>
  <c r="G56" i="13"/>
  <c r="G60" i="13"/>
  <c r="I60" i="13"/>
  <c r="I57" i="13"/>
  <c r="I58" i="13"/>
  <c r="I56" i="13"/>
  <c r="I59" i="13"/>
  <c r="H61" i="13"/>
  <c r="E58" i="13"/>
  <c r="E59" i="13"/>
  <c r="E56" i="13"/>
  <c r="E57" i="13"/>
  <c r="E60" i="13"/>
  <c r="M61" i="13"/>
  <c r="D60" i="13"/>
  <c r="D58" i="13"/>
  <c r="D57" i="13"/>
  <c r="D56" i="13"/>
  <c r="D59" i="13"/>
  <c r="F56" i="13"/>
  <c r="F60" i="13"/>
  <c r="F59" i="13"/>
  <c r="F57" i="13"/>
  <c r="F58" i="13"/>
  <c r="L43" i="13"/>
  <c r="L44" i="13"/>
  <c r="E43" i="13"/>
  <c r="E44" i="13"/>
  <c r="H45" i="13"/>
  <c r="D45" i="13"/>
  <c r="I43" i="13"/>
  <c r="I44" i="13"/>
  <c r="J44" i="13"/>
  <c r="J43" i="13"/>
  <c r="H43" i="13"/>
  <c r="H44" i="13"/>
  <c r="D44" i="13"/>
  <c r="D43" i="13"/>
  <c r="L45" i="13"/>
  <c r="E45" i="13"/>
  <c r="J45" i="13"/>
  <c r="F43" i="13"/>
  <c r="F44" i="13"/>
  <c r="I36" i="13"/>
  <c r="I37" i="13"/>
  <c r="G36" i="13"/>
  <c r="G37" i="13"/>
  <c r="J36" i="13"/>
  <c r="J37" i="13"/>
  <c r="M37" i="13"/>
  <c r="M36" i="13"/>
  <c r="D37" i="13"/>
  <c r="D36" i="13"/>
  <c r="H36" i="13"/>
  <c r="H37" i="13"/>
  <c r="I38" i="13"/>
  <c r="D38" i="13"/>
  <c r="H38" i="13"/>
  <c r="L38" i="13"/>
  <c r="F37" i="13"/>
  <c r="F36" i="13"/>
  <c r="M38" i="13"/>
  <c r="L37" i="13"/>
  <c r="L36" i="13"/>
  <c r="C105" i="39"/>
  <c r="C182" i="39" s="1"/>
  <c r="C183" i="39" s="1"/>
  <c r="C82" i="39"/>
  <c r="C166" i="39" s="1"/>
  <c r="C167" i="39" s="1"/>
  <c r="K68" i="39"/>
  <c r="K159" i="39" s="1"/>
  <c r="K160" i="39" s="1"/>
  <c r="D8" i="39"/>
  <c r="D129" i="39" s="1"/>
  <c r="D130" i="39" s="1"/>
  <c r="C68" i="39"/>
  <c r="C159" i="39" s="1"/>
  <c r="C160" i="39" s="1"/>
  <c r="K105" i="39"/>
  <c r="K182" i="39" s="1"/>
  <c r="K183" i="39" s="1"/>
  <c r="K82" i="39"/>
  <c r="K166" i="39" s="1"/>
  <c r="K167" i="39" s="1"/>
  <c r="D35" i="39"/>
  <c r="D142" i="39" s="1"/>
  <c r="D143" i="39" s="1"/>
  <c r="D20" i="13" s="1"/>
  <c r="G185" i="39" l="1"/>
  <c r="G186" i="39" s="1"/>
  <c r="K185" i="39"/>
  <c r="K186" i="39" s="1"/>
  <c r="G43" i="13"/>
  <c r="D185" i="39"/>
  <c r="D186" i="39" s="1"/>
  <c r="H6" i="13"/>
  <c r="C21" i="13"/>
  <c r="H8" i="13"/>
  <c r="H7" i="13"/>
  <c r="C185" i="39"/>
  <c r="C186" i="39" s="1"/>
  <c r="G44" i="13"/>
  <c r="K45" i="13"/>
  <c r="C38" i="13"/>
  <c r="K38" i="13"/>
  <c r="D21" i="13"/>
  <c r="D7" i="13"/>
  <c r="D6" i="13"/>
  <c r="D8" i="13"/>
  <c r="C61" i="13"/>
  <c r="K56" i="13"/>
  <c r="K59" i="13"/>
  <c r="K60" i="13"/>
  <c r="K58" i="13"/>
  <c r="K57" i="13"/>
  <c r="K61" i="13"/>
  <c r="C59" i="13"/>
  <c r="C60" i="13"/>
  <c r="C57" i="13"/>
  <c r="C56" i="13"/>
  <c r="C58" i="13"/>
  <c r="C43" i="13"/>
  <c r="C44" i="13"/>
  <c r="C45" i="13"/>
  <c r="K43" i="13"/>
  <c r="K44" i="13"/>
  <c r="K36" i="13"/>
  <c r="K37" i="13"/>
  <c r="C36" i="13"/>
  <c r="C37" i="13"/>
  <c r="B15" i="39"/>
  <c r="N15" i="39" s="1"/>
  <c r="N16" i="39" s="1"/>
  <c r="B51" i="39"/>
  <c r="B22" i="39"/>
  <c r="B35" i="39"/>
  <c r="B82" i="39"/>
  <c r="B68" i="39"/>
  <c r="B105" i="39"/>
  <c r="B159" i="39" l="1"/>
  <c r="B160" i="39" s="1"/>
  <c r="B37" i="13" s="1"/>
  <c r="N68" i="39"/>
  <c r="N69" i="39" s="1"/>
  <c r="B152" i="39"/>
  <c r="B153" i="39" s="1"/>
  <c r="B26" i="13" s="1"/>
  <c r="N51" i="39"/>
  <c r="N52" i="39" s="1"/>
  <c r="B166" i="39"/>
  <c r="B167" i="39" s="1"/>
  <c r="B44" i="13" s="1"/>
  <c r="N82" i="39"/>
  <c r="N83" i="39" s="1"/>
  <c r="B142" i="39"/>
  <c r="B143" i="39" s="1"/>
  <c r="B20" i="13" s="1"/>
  <c r="N35" i="39"/>
  <c r="N36" i="39" s="1"/>
  <c r="B182" i="39"/>
  <c r="B183" i="39" s="1"/>
  <c r="B58" i="13" s="1"/>
  <c r="N105" i="39"/>
  <c r="N106" i="39" s="1"/>
  <c r="B136" i="39"/>
  <c r="B137" i="39" s="1"/>
  <c r="B14" i="13" s="1"/>
  <c r="N22" i="39"/>
  <c r="N23" i="39" s="1"/>
  <c r="B8" i="39"/>
  <c r="B60" i="13" l="1"/>
  <c r="N152" i="39"/>
  <c r="N153" i="39" s="1"/>
  <c r="N27" i="13" s="1"/>
  <c r="B15" i="13"/>
  <c r="B13" i="13"/>
  <c r="N136" i="39"/>
  <c r="N137" i="39" s="1"/>
  <c r="N142" i="39"/>
  <c r="N143" i="39" s="1"/>
  <c r="N20" i="13" s="1"/>
  <c r="B28" i="13"/>
  <c r="B30" i="13"/>
  <c r="N182" i="39"/>
  <c r="N183" i="39" s="1"/>
  <c r="N60" i="13" s="1"/>
  <c r="B36" i="13"/>
  <c r="B29" i="13"/>
  <c r="B27" i="13"/>
  <c r="B45" i="13"/>
  <c r="B38" i="13"/>
  <c r="B43" i="13"/>
  <c r="B56" i="13"/>
  <c r="B129" i="39"/>
  <c r="B130" i="39" s="1"/>
  <c r="B185" i="39" s="1"/>
  <c r="B186" i="39" s="1"/>
  <c r="N8" i="39"/>
  <c r="N166" i="39"/>
  <c r="N167" i="39" s="1"/>
  <c r="N44" i="13" s="1"/>
  <c r="N159" i="39"/>
  <c r="N160" i="39" s="1"/>
  <c r="N37" i="13" s="1"/>
  <c r="B59" i="13"/>
  <c r="B31" i="13"/>
  <c r="B21" i="13"/>
  <c r="B61" i="13"/>
  <c r="B57" i="13"/>
  <c r="N31" i="13"/>
  <c r="N26" i="13"/>
  <c r="N29" i="13"/>
  <c r="N13" i="13"/>
  <c r="N14" i="13"/>
  <c r="N30" i="13" l="1"/>
  <c r="N28" i="13"/>
  <c r="N56" i="13"/>
  <c r="N57" i="13"/>
  <c r="N59" i="13"/>
  <c r="N15" i="13"/>
  <c r="N21" i="13"/>
  <c r="N9" i="39"/>
  <c r="N118" i="39" s="1"/>
  <c r="N119" i="39" s="1"/>
  <c r="B8" i="13"/>
  <c r="B6" i="13"/>
  <c r="N58" i="13"/>
  <c r="N61" i="13"/>
  <c r="N45" i="13"/>
  <c r="N43" i="13"/>
  <c r="N36" i="13"/>
  <c r="N38" i="13"/>
  <c r="N129" i="39"/>
  <c r="N130" i="39" s="1"/>
  <c r="N185" i="39" s="1"/>
  <c r="B7" i="13"/>
  <c r="N186" i="39" l="1"/>
  <c r="N8" i="13"/>
  <c r="N6" i="13"/>
  <c r="N7" i="13"/>
  <c r="C3" i="15"/>
  <c r="D3" i="15" s="1"/>
  <c r="E3" i="15" s="1"/>
  <c r="F3" i="15" s="1"/>
  <c r="G3" i="15" s="1"/>
  <c r="H3" i="15" s="1"/>
  <c r="I3" i="15" s="1"/>
  <c r="J3" i="15" s="1"/>
  <c r="K3" i="15" s="1"/>
  <c r="L3" i="15" s="1"/>
  <c r="M3" i="15" s="1"/>
  <c r="C35" i="15"/>
  <c r="D35" i="15"/>
  <c r="E35" i="15"/>
  <c r="F35" i="15"/>
  <c r="G35" i="15"/>
  <c r="H35" i="15"/>
  <c r="I35" i="15"/>
  <c r="J35" i="15"/>
  <c r="K35" i="15"/>
  <c r="L35" i="15"/>
  <c r="M35" i="15"/>
  <c r="B35" i="15"/>
  <c r="N22" i="15"/>
  <c r="C17" i="15"/>
  <c r="D17" i="15"/>
  <c r="E17" i="15"/>
  <c r="F17" i="15"/>
  <c r="G17" i="15"/>
  <c r="H17" i="15"/>
  <c r="I17" i="15"/>
  <c r="J17" i="15"/>
  <c r="K17" i="15"/>
  <c r="L17" i="15"/>
  <c r="M17" i="15"/>
  <c r="B17" i="15"/>
  <c r="N52" i="13" l="1"/>
  <c r="C62" i="13"/>
  <c r="D62" i="13"/>
  <c r="E62" i="13"/>
  <c r="F62" i="13"/>
  <c r="G62" i="13"/>
  <c r="H62" i="13"/>
  <c r="I62" i="13"/>
  <c r="J62" i="13"/>
  <c r="K62" i="13"/>
  <c r="L62" i="13"/>
  <c r="M62" i="13"/>
  <c r="N62" i="13"/>
  <c r="B62" i="13"/>
  <c r="E7" i="10" l="1"/>
  <c r="F7" i="10" s="1"/>
  <c r="G7" i="10" s="1"/>
  <c r="H7" i="10" s="1"/>
  <c r="I7" i="10" s="1"/>
  <c r="J7" i="10" s="1"/>
  <c r="K7" i="10" s="1"/>
  <c r="L7" i="10" s="1"/>
  <c r="M7" i="10" s="1"/>
  <c r="N7" i="10" s="1"/>
  <c r="O7" i="10" s="1"/>
  <c r="C4" i="13" l="1"/>
  <c r="D4" i="13" s="1"/>
  <c r="E4" i="13" s="1"/>
  <c r="F4" i="13" s="1"/>
  <c r="G4" i="13" s="1"/>
  <c r="H4" i="13" s="1"/>
  <c r="I4" i="13" s="1"/>
  <c r="J4" i="13" s="1"/>
  <c r="K4" i="13" s="1"/>
  <c r="L4" i="13" s="1"/>
  <c r="M4" i="13" s="1"/>
  <c r="N34" i="15"/>
  <c r="D104" i="53" s="1"/>
  <c r="N33" i="15"/>
  <c r="D91" i="53" s="1"/>
  <c r="N32" i="15"/>
  <c r="D82" i="53" s="1"/>
  <c r="N31" i="15"/>
  <c r="D73" i="53" s="1"/>
  <c r="N30" i="15"/>
  <c r="D64" i="53" s="1"/>
  <c r="N29" i="15"/>
  <c r="D54" i="53" s="1"/>
  <c r="N26" i="15"/>
  <c r="D25" i="53" s="1"/>
  <c r="N28" i="15"/>
  <c r="N27" i="15"/>
  <c r="N25" i="15"/>
  <c r="D20" i="53" s="1"/>
  <c r="N24" i="15"/>
  <c r="D13" i="53" s="1"/>
  <c r="N23" i="15"/>
  <c r="D9" i="53" s="1"/>
  <c r="M21" i="15"/>
  <c r="L21" i="15"/>
  <c r="K21" i="15"/>
  <c r="J21" i="15"/>
  <c r="I21" i="15"/>
  <c r="H21" i="15"/>
  <c r="G21" i="15"/>
  <c r="F21" i="15"/>
  <c r="E21" i="15"/>
  <c r="D21" i="15"/>
  <c r="C21" i="15"/>
  <c r="B21" i="15"/>
  <c r="N16" i="15"/>
  <c r="D105" i="53" s="1"/>
  <c r="N15" i="15"/>
  <c r="N14" i="15"/>
  <c r="N13" i="15"/>
  <c r="N12" i="15"/>
  <c r="D65" i="53" s="1"/>
  <c r="N11" i="15"/>
  <c r="N8" i="15"/>
  <c r="N9" i="15"/>
  <c r="N7" i="15"/>
  <c r="N6" i="15"/>
  <c r="N5" i="15"/>
  <c r="N4" i="15"/>
  <c r="H104" i="53" l="1"/>
  <c r="G104" i="53"/>
  <c r="H91" i="53"/>
  <c r="G91" i="53"/>
  <c r="G82" i="53"/>
  <c r="H82" i="53"/>
  <c r="G73" i="53"/>
  <c r="H73" i="53"/>
  <c r="G64" i="53"/>
  <c r="H64" i="53"/>
  <c r="H54" i="53"/>
  <c r="G54" i="53"/>
  <c r="D44" i="53"/>
  <c r="D45" i="53"/>
  <c r="D32" i="53"/>
  <c r="D33" i="53"/>
  <c r="G25" i="53"/>
  <c r="H25" i="53"/>
  <c r="H20" i="53"/>
  <c r="G20" i="53"/>
  <c r="H9" i="53"/>
  <c r="G9" i="53"/>
  <c r="G13" i="53"/>
  <c r="H13" i="53"/>
  <c r="H105" i="53"/>
  <c r="G105" i="53"/>
  <c r="D49" i="48"/>
  <c r="D83" i="53"/>
  <c r="D41" i="48"/>
  <c r="D74" i="53"/>
  <c r="G65" i="53"/>
  <c r="H65" i="53"/>
  <c r="D55" i="53"/>
  <c r="D23" i="48"/>
  <c r="H23" i="48" s="1"/>
  <c r="D34" i="53"/>
  <c r="D33" i="18"/>
  <c r="D32" i="18"/>
  <c r="D45" i="18"/>
  <c r="D44" i="18"/>
  <c r="H49" i="48"/>
  <c r="G49" i="48"/>
  <c r="G41" i="48"/>
  <c r="H41" i="48"/>
  <c r="N35" i="15"/>
  <c r="N10" i="15"/>
  <c r="D46" i="53" s="1"/>
  <c r="G45" i="53" l="1"/>
  <c r="H45" i="53"/>
  <c r="G44" i="53"/>
  <c r="H44" i="53"/>
  <c r="G32" i="53"/>
  <c r="H32" i="53"/>
  <c r="D144" i="53"/>
  <c r="D149" i="53"/>
  <c r="G33" i="53"/>
  <c r="H33" i="53"/>
  <c r="G83" i="53"/>
  <c r="H83" i="53"/>
  <c r="H74" i="53"/>
  <c r="G74" i="53"/>
  <c r="H55" i="53"/>
  <c r="G55" i="53"/>
  <c r="G46" i="53"/>
  <c r="H46" i="53"/>
  <c r="G23" i="48"/>
  <c r="G34" i="53"/>
  <c r="D143" i="53"/>
  <c r="H34" i="53"/>
  <c r="D148" i="53"/>
  <c r="N17" i="15"/>
  <c r="D31" i="48"/>
  <c r="D58" i="48" s="1"/>
  <c r="H31" i="48" l="1"/>
  <c r="G31" i="48"/>
  <c r="P10" i="10" l="1"/>
  <c r="D11" i="65" l="1"/>
  <c r="C9" i="61"/>
  <c r="D17" i="53"/>
  <c r="D10" i="16"/>
  <c r="C9" i="25"/>
  <c r="D17" i="18"/>
  <c r="C9" i="26"/>
  <c r="C9" i="24"/>
  <c r="C9" i="21"/>
  <c r="C9" i="22"/>
  <c r="G9" i="61" l="1"/>
  <c r="F9" i="61"/>
  <c r="H12" i="67"/>
  <c r="D12" i="67"/>
  <c r="G17" i="53"/>
  <c r="H17" i="53"/>
  <c r="G9" i="26"/>
  <c r="F9" i="26"/>
  <c r="G9" i="25"/>
  <c r="F9" i="25"/>
  <c r="G9" i="24"/>
  <c r="F9" i="24"/>
  <c r="G9" i="22"/>
  <c r="F9" i="22"/>
  <c r="H88" i="16"/>
  <c r="H86" i="16"/>
  <c r="H58" i="16"/>
  <c r="H48" i="16"/>
  <c r="H35" i="16"/>
  <c r="H31" i="16"/>
  <c r="H24" i="16"/>
  <c r="H45" i="18"/>
  <c r="H29" i="18"/>
  <c r="H33" i="18"/>
  <c r="F9" i="21"/>
  <c r="L11" i="65" l="1"/>
  <c r="M11" i="65"/>
  <c r="O11" i="65"/>
  <c r="J11" i="65"/>
  <c r="H11" i="65"/>
  <c r="G11" i="65"/>
  <c r="H9" i="24"/>
  <c r="H9" i="26"/>
  <c r="H9" i="25"/>
  <c r="G9" i="21"/>
  <c r="H9" i="22"/>
  <c r="G17" i="18"/>
  <c r="G45" i="18"/>
  <c r="G33" i="18"/>
  <c r="G29" i="18"/>
  <c r="K11" i="65" l="1"/>
  <c r="P11" i="65" s="1"/>
  <c r="E12" i="67" s="1"/>
  <c r="F12" i="67" s="1"/>
  <c r="H9" i="21"/>
  <c r="H17" i="18"/>
  <c r="D105" i="18"/>
  <c r="D92" i="18"/>
  <c r="D83" i="18"/>
  <c r="D74" i="18"/>
  <c r="D65" i="18"/>
  <c r="D55" i="18"/>
  <c r="D46" i="18"/>
  <c r="D34" i="18"/>
  <c r="D104" i="18"/>
  <c r="D91" i="18"/>
  <c r="D82" i="18"/>
  <c r="D73" i="18"/>
  <c r="D64" i="18"/>
  <c r="D54" i="18"/>
  <c r="D25" i="18"/>
  <c r="D20" i="18"/>
  <c r="D13" i="18"/>
  <c r="D9" i="18"/>
  <c r="D144" i="18" l="1"/>
  <c r="H9" i="18"/>
  <c r="H34" i="18"/>
  <c r="D143" i="18"/>
  <c r="D12" i="66"/>
  <c r="S12" i="66" s="1"/>
  <c r="G9" i="18"/>
  <c r="G32" i="18"/>
  <c r="H32" i="18"/>
  <c r="G73" i="18"/>
  <c r="H73" i="18"/>
  <c r="G13" i="18"/>
  <c r="H13" i="18"/>
  <c r="G44" i="18"/>
  <c r="H44" i="18"/>
  <c r="G82" i="18"/>
  <c r="H82" i="18"/>
  <c r="G20" i="18"/>
  <c r="H20" i="18"/>
  <c r="G54" i="18"/>
  <c r="H54" i="18"/>
  <c r="G91" i="18"/>
  <c r="H91" i="18"/>
  <c r="G25" i="18"/>
  <c r="H25" i="18"/>
  <c r="G64" i="18"/>
  <c r="H64" i="18"/>
  <c r="G104" i="18"/>
  <c r="H104" i="18"/>
  <c r="G46" i="18"/>
  <c r="H46" i="18"/>
  <c r="G83" i="18"/>
  <c r="H83" i="18"/>
  <c r="G55" i="18"/>
  <c r="H55" i="18"/>
  <c r="G92" i="18"/>
  <c r="H92" i="18"/>
  <c r="G65" i="18"/>
  <c r="H65" i="18"/>
  <c r="G105" i="18"/>
  <c r="H105" i="18"/>
  <c r="G74" i="18"/>
  <c r="H74" i="18"/>
  <c r="G34" i="18"/>
  <c r="D148" i="18"/>
  <c r="D149" i="18"/>
  <c r="J12" i="66" l="1"/>
  <c r="P12" i="66"/>
  <c r="M12" i="66"/>
  <c r="G48" i="16"/>
  <c r="D47" i="16"/>
  <c r="H47" i="16" s="1"/>
  <c r="G35" i="16"/>
  <c r="D34" i="16"/>
  <c r="H34" i="16" s="1"/>
  <c r="G24" i="16"/>
  <c r="D23" i="16"/>
  <c r="H23" i="16" s="1"/>
  <c r="D13" i="16"/>
  <c r="H13" i="16" s="1"/>
  <c r="H10" i="16"/>
  <c r="G23" i="16" l="1"/>
  <c r="G10" i="16"/>
  <c r="G34" i="16"/>
  <c r="G47" i="16"/>
  <c r="G13" i="16"/>
  <c r="D120" i="18" l="1"/>
  <c r="D64" i="16"/>
  <c r="D127" i="18"/>
  <c r="D72" i="16"/>
  <c r="D131" i="18"/>
  <c r="D76" i="16"/>
  <c r="D136" i="18"/>
  <c r="D82" i="16"/>
  <c r="D121" i="18"/>
  <c r="D65" i="16"/>
  <c r="D128" i="18"/>
  <c r="D73" i="16"/>
  <c r="D137" i="18"/>
  <c r="D83" i="16"/>
  <c r="D118" i="18"/>
  <c r="D62" i="16"/>
  <c r="D122" i="18"/>
  <c r="D66" i="16"/>
  <c r="D125" i="18"/>
  <c r="D70" i="16"/>
  <c r="D129" i="18"/>
  <c r="D74" i="16"/>
  <c r="D134" i="18"/>
  <c r="D80" i="16"/>
  <c r="D119" i="18"/>
  <c r="D63" i="16"/>
  <c r="D126" i="18"/>
  <c r="D71" i="16"/>
  <c r="D130" i="18"/>
  <c r="D75" i="16"/>
  <c r="D135" i="18"/>
  <c r="D81" i="16"/>
  <c r="F23" i="21"/>
  <c r="F23" i="26"/>
  <c r="D61" i="16"/>
  <c r="H22" i="13"/>
  <c r="D22" i="13"/>
  <c r="L52" i="13"/>
  <c r="K52" i="13"/>
  <c r="J52" i="13"/>
  <c r="I52" i="13"/>
  <c r="F52" i="13"/>
  <c r="D52" i="13"/>
  <c r="C52" i="13"/>
  <c r="L46" i="13"/>
  <c r="I46" i="13"/>
  <c r="H46" i="13"/>
  <c r="G46" i="13"/>
  <c r="D46" i="13"/>
  <c r="J25" i="65" l="1"/>
  <c r="F23" i="22"/>
  <c r="G23" i="22"/>
  <c r="D32" i="13"/>
  <c r="H52" i="13"/>
  <c r="F39" i="13"/>
  <c r="M52" i="13"/>
  <c r="F9" i="13"/>
  <c r="G119" i="18"/>
  <c r="H119" i="18"/>
  <c r="G131" i="18"/>
  <c r="H131" i="18"/>
  <c r="H71" i="16"/>
  <c r="G71" i="16"/>
  <c r="H82" i="16"/>
  <c r="G82" i="16"/>
  <c r="G135" i="18"/>
  <c r="H135" i="18"/>
  <c r="G126" i="18"/>
  <c r="H126" i="18"/>
  <c r="G134" i="18"/>
  <c r="H134" i="18"/>
  <c r="G125" i="18"/>
  <c r="H125" i="18"/>
  <c r="G118" i="18"/>
  <c r="H118" i="18"/>
  <c r="G128" i="18"/>
  <c r="H128" i="18"/>
  <c r="G136" i="18"/>
  <c r="H136" i="18"/>
  <c r="G127" i="18"/>
  <c r="H127" i="18"/>
  <c r="G130" i="18"/>
  <c r="H130" i="18"/>
  <c r="G129" i="18"/>
  <c r="H129" i="18"/>
  <c r="G122" i="18"/>
  <c r="H122" i="18"/>
  <c r="G137" i="18"/>
  <c r="H137" i="18"/>
  <c r="G121" i="18"/>
  <c r="H121" i="18"/>
  <c r="G120" i="18"/>
  <c r="H120" i="18"/>
  <c r="H81" i="16"/>
  <c r="G81" i="16"/>
  <c r="H80" i="16"/>
  <c r="G80" i="16"/>
  <c r="H70" i="16"/>
  <c r="G70" i="16"/>
  <c r="H62" i="16"/>
  <c r="G62" i="16"/>
  <c r="H73" i="16"/>
  <c r="G73" i="16"/>
  <c r="H72" i="16"/>
  <c r="G72" i="16"/>
  <c r="H75" i="16"/>
  <c r="G75" i="16"/>
  <c r="H63" i="16"/>
  <c r="G63" i="16"/>
  <c r="H74" i="16"/>
  <c r="G74" i="16"/>
  <c r="H66" i="16"/>
  <c r="G66" i="16"/>
  <c r="H83" i="16"/>
  <c r="G83" i="16"/>
  <c r="H65" i="16"/>
  <c r="G65" i="16"/>
  <c r="H76" i="16"/>
  <c r="G76" i="16"/>
  <c r="H64" i="16"/>
  <c r="G64" i="16"/>
  <c r="H23" i="26"/>
  <c r="G117" i="18"/>
  <c r="H117" i="18"/>
  <c r="H61" i="16"/>
  <c r="G61" i="16"/>
  <c r="H23" i="21"/>
  <c r="J39" i="13"/>
  <c r="J9" i="13"/>
  <c r="H39" i="13"/>
  <c r="E39" i="13"/>
  <c r="K9" i="13"/>
  <c r="D16" i="13"/>
  <c r="H16" i="13"/>
  <c r="L16" i="13"/>
  <c r="E16" i="13"/>
  <c r="G22" i="13"/>
  <c r="I39" i="13"/>
  <c r="M39" i="13"/>
  <c r="E46" i="13"/>
  <c r="M46" i="13"/>
  <c r="C9" i="13"/>
  <c r="G9" i="13"/>
  <c r="L22" i="13"/>
  <c r="D39" i="13"/>
  <c r="L39" i="13"/>
  <c r="C39" i="13"/>
  <c r="G39" i="13"/>
  <c r="K39" i="13"/>
  <c r="D9" i="13"/>
  <c r="H9" i="13"/>
  <c r="L9" i="13"/>
  <c r="E9" i="13"/>
  <c r="I9" i="13"/>
  <c r="M9" i="13"/>
  <c r="I16" i="13"/>
  <c r="M16" i="13"/>
  <c r="F16" i="13"/>
  <c r="J16" i="13"/>
  <c r="E22" i="13"/>
  <c r="I22" i="13"/>
  <c r="M22" i="13"/>
  <c r="C32" i="13"/>
  <c r="G32" i="13"/>
  <c r="B9" i="13"/>
  <c r="K25" i="65" l="1"/>
  <c r="P25" i="65" s="1"/>
  <c r="P39" i="65" s="1"/>
  <c r="H67" i="16"/>
  <c r="G84" i="16"/>
  <c r="H32" i="13"/>
  <c r="B16" i="13"/>
  <c r="C22" i="13"/>
  <c r="J22" i="13"/>
  <c r="E52" i="13"/>
  <c r="J46" i="13"/>
  <c r="G52" i="13"/>
  <c r="N16" i="13"/>
  <c r="F22" i="13"/>
  <c r="K46" i="13"/>
  <c r="F46" i="13"/>
  <c r="M32" i="13"/>
  <c r="K22" i="13"/>
  <c r="K16" i="13"/>
  <c r="C46" i="13"/>
  <c r="H84" i="16"/>
  <c r="G67" i="16"/>
  <c r="G77" i="16"/>
  <c r="H77" i="16"/>
  <c r="J32" i="13"/>
  <c r="I32" i="13"/>
  <c r="B32" i="13"/>
  <c r="B52" i="13"/>
  <c r="G16" i="13"/>
  <c r="F32" i="13"/>
  <c r="N39" i="13"/>
  <c r="B46" i="13"/>
  <c r="E32" i="13"/>
  <c r="N46" i="13"/>
  <c r="L32" i="13"/>
  <c r="C16" i="13"/>
  <c r="N22" i="13"/>
  <c r="B22" i="13"/>
  <c r="B39" i="13"/>
  <c r="K32" i="13"/>
  <c r="D26" i="66" l="1"/>
  <c r="E29" i="67"/>
  <c r="E43" i="67" s="1"/>
  <c r="F43" i="67" s="1"/>
  <c r="G86" i="16"/>
  <c r="N32" i="13"/>
  <c r="N9" i="13"/>
  <c r="S26" i="66" l="1"/>
  <c r="P26" i="66"/>
  <c r="M26" i="66"/>
  <c r="D40" i="66"/>
  <c r="J26" i="66"/>
  <c r="F29" i="67"/>
  <c r="O40" i="10"/>
  <c r="N40" i="10"/>
  <c r="M40" i="10"/>
  <c r="L40" i="10"/>
  <c r="K40" i="10"/>
  <c r="J40" i="10"/>
  <c r="I40" i="10"/>
  <c r="H40" i="10"/>
  <c r="G40" i="10"/>
  <c r="F40" i="10"/>
  <c r="E40" i="10"/>
  <c r="D40" i="10"/>
  <c r="O29" i="10"/>
  <c r="N29" i="10"/>
  <c r="M29" i="10"/>
  <c r="L29" i="10"/>
  <c r="K29" i="10"/>
  <c r="J29" i="10"/>
  <c r="I29" i="10"/>
  <c r="H29" i="10"/>
  <c r="G29" i="10"/>
  <c r="D2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N37" i="10"/>
  <c r="L37" i="10"/>
  <c r="J37" i="10"/>
  <c r="H37" i="10"/>
  <c r="F37" i="10"/>
  <c r="D37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P40" i="66" l="1"/>
  <c r="S40" i="66"/>
  <c r="M40" i="66"/>
  <c r="J40" i="66"/>
  <c r="H25" i="10"/>
  <c r="H34" i="10"/>
  <c r="E23" i="10"/>
  <c r="E34" i="10"/>
  <c r="M23" i="10"/>
  <c r="M34" i="10"/>
  <c r="E26" i="10"/>
  <c r="E37" i="10"/>
  <c r="M26" i="10"/>
  <c r="M37" i="10"/>
  <c r="F25" i="10"/>
  <c r="F34" i="10"/>
  <c r="J25" i="10"/>
  <c r="J34" i="10"/>
  <c r="N25" i="10"/>
  <c r="N34" i="10"/>
  <c r="D25" i="10"/>
  <c r="D34" i="10"/>
  <c r="L25" i="10"/>
  <c r="L34" i="10"/>
  <c r="I23" i="10"/>
  <c r="I34" i="10"/>
  <c r="I26" i="10"/>
  <c r="I37" i="10"/>
  <c r="G25" i="10"/>
  <c r="G34" i="10"/>
  <c r="K25" i="10"/>
  <c r="K34" i="10"/>
  <c r="O25" i="10"/>
  <c r="O34" i="10"/>
  <c r="G26" i="10"/>
  <c r="G37" i="10"/>
  <c r="K26" i="10"/>
  <c r="K37" i="10"/>
  <c r="O26" i="10"/>
  <c r="O37" i="10"/>
  <c r="F29" i="10"/>
  <c r="E29" i="10"/>
  <c r="D23" i="10"/>
  <c r="H23" i="10"/>
  <c r="L23" i="10"/>
  <c r="P12" i="10"/>
  <c r="P13" i="10"/>
  <c r="P14" i="10"/>
  <c r="P15" i="10"/>
  <c r="H26" i="10"/>
  <c r="L26" i="10"/>
  <c r="L27" i="10" s="1"/>
  <c r="L30" i="10" s="1"/>
  <c r="P16" i="10"/>
  <c r="P18" i="10"/>
  <c r="P19" i="10"/>
  <c r="P20" i="10"/>
  <c r="P21" i="10"/>
  <c r="P22" i="10"/>
  <c r="F23" i="10"/>
  <c r="J23" i="10"/>
  <c r="N23" i="10"/>
  <c r="F26" i="10"/>
  <c r="J26" i="10"/>
  <c r="N26" i="10"/>
  <c r="N27" i="10" s="1"/>
  <c r="N30" i="10" s="1"/>
  <c r="P17" i="10"/>
  <c r="E25" i="10"/>
  <c r="I25" i="10"/>
  <c r="M25" i="10"/>
  <c r="D26" i="10"/>
  <c r="P9" i="10"/>
  <c r="G23" i="10"/>
  <c r="K23" i="10"/>
  <c r="O23" i="10"/>
  <c r="P11" i="10"/>
  <c r="D22" i="65" l="1"/>
  <c r="D36" i="65" s="1"/>
  <c r="C20" i="61"/>
  <c r="D18" i="65"/>
  <c r="C16" i="61"/>
  <c r="D21" i="65"/>
  <c r="C19" i="61"/>
  <c r="D20" i="65"/>
  <c r="C18" i="61"/>
  <c r="D19" i="65"/>
  <c r="C17" i="61"/>
  <c r="D17" i="65"/>
  <c r="C15" i="61"/>
  <c r="D16" i="65"/>
  <c r="D35" i="65" s="1"/>
  <c r="C14" i="61"/>
  <c r="D15" i="65"/>
  <c r="C13" i="61"/>
  <c r="D14" i="65"/>
  <c r="C12" i="61"/>
  <c r="D13" i="65"/>
  <c r="C11" i="61"/>
  <c r="D12" i="65"/>
  <c r="C10" i="61"/>
  <c r="D10" i="65"/>
  <c r="D30" i="65" s="1"/>
  <c r="C8" i="61"/>
  <c r="D18" i="48"/>
  <c r="G18" i="48" s="1"/>
  <c r="D26" i="53"/>
  <c r="D111" i="53"/>
  <c r="D112" i="53"/>
  <c r="D113" i="53"/>
  <c r="D109" i="53"/>
  <c r="D114" i="53"/>
  <c r="D110" i="53"/>
  <c r="D61" i="53"/>
  <c r="D60" i="53"/>
  <c r="D56" i="53"/>
  <c r="D59" i="53"/>
  <c r="D87" i="53"/>
  <c r="D88" i="53"/>
  <c r="D39" i="53"/>
  <c r="D37" i="53"/>
  <c r="D41" i="53"/>
  <c r="D38" i="53"/>
  <c r="I27" i="10"/>
  <c r="I30" i="10" s="1"/>
  <c r="I31" i="10" s="1"/>
  <c r="D69" i="53"/>
  <c r="D68" i="53"/>
  <c r="D70" i="53"/>
  <c r="D22" i="53"/>
  <c r="D21" i="53"/>
  <c r="D98" i="53"/>
  <c r="D101" i="53"/>
  <c r="D99" i="53"/>
  <c r="D93" i="53"/>
  <c r="D100" i="53"/>
  <c r="D96" i="53"/>
  <c r="D97" i="53"/>
  <c r="D14" i="18"/>
  <c r="G14" i="18" s="1"/>
  <c r="D14" i="53"/>
  <c r="D10" i="53"/>
  <c r="P40" i="10"/>
  <c r="D139" i="53"/>
  <c r="D50" i="53"/>
  <c r="D51" i="53"/>
  <c r="D49" i="53"/>
  <c r="D75" i="53"/>
  <c r="D78" i="53"/>
  <c r="D79" i="53"/>
  <c r="D35" i="48"/>
  <c r="D34" i="48"/>
  <c r="D32" i="48"/>
  <c r="D52" i="48"/>
  <c r="D51" i="48"/>
  <c r="D45" i="48"/>
  <c r="D44" i="48"/>
  <c r="D42" i="48"/>
  <c r="D22" i="18"/>
  <c r="D21" i="18"/>
  <c r="D14" i="48"/>
  <c r="D13" i="48"/>
  <c r="D41" i="18"/>
  <c r="D27" i="48"/>
  <c r="D26" i="48"/>
  <c r="D24" i="48"/>
  <c r="D10" i="48"/>
  <c r="D41" i="10"/>
  <c r="M27" i="10"/>
  <c r="M30" i="10" s="1"/>
  <c r="G41" i="10"/>
  <c r="K27" i="10"/>
  <c r="K30" i="10" s="1"/>
  <c r="K31" i="10" s="1"/>
  <c r="J27" i="10"/>
  <c r="J30" i="10" s="1"/>
  <c r="J31" i="10" s="1"/>
  <c r="H27" i="10"/>
  <c r="H30" i="10" s="1"/>
  <c r="H31" i="10" s="1"/>
  <c r="E41" i="10"/>
  <c r="P35" i="10"/>
  <c r="M31" i="10"/>
  <c r="P29" i="10"/>
  <c r="D8" i="11"/>
  <c r="C8" i="26"/>
  <c r="C8" i="21"/>
  <c r="C8" i="24"/>
  <c r="C8" i="25"/>
  <c r="F8" i="25" s="1"/>
  <c r="P34" i="10"/>
  <c r="E27" i="10"/>
  <c r="E30" i="10" s="1"/>
  <c r="E31" i="10" s="1"/>
  <c r="O41" i="10"/>
  <c r="K41" i="10"/>
  <c r="P39" i="10"/>
  <c r="P37" i="10"/>
  <c r="P36" i="10"/>
  <c r="F27" i="10"/>
  <c r="F30" i="10" s="1"/>
  <c r="F31" i="10" s="1"/>
  <c r="P38" i="10"/>
  <c r="O27" i="10"/>
  <c r="O30" i="10" s="1"/>
  <c r="O31" i="10" s="1"/>
  <c r="G27" i="10"/>
  <c r="G30" i="10" s="1"/>
  <c r="G31" i="10" s="1"/>
  <c r="I41" i="10"/>
  <c r="M41" i="10"/>
  <c r="F41" i="10"/>
  <c r="N41" i="10"/>
  <c r="L41" i="10"/>
  <c r="J41" i="10"/>
  <c r="H41" i="10"/>
  <c r="C8" i="22"/>
  <c r="P26" i="10"/>
  <c r="L31" i="10"/>
  <c r="N31" i="10"/>
  <c r="C15" i="26"/>
  <c r="C15" i="22"/>
  <c r="C15" i="21"/>
  <c r="D26" i="18"/>
  <c r="D11" i="11"/>
  <c r="C19" i="26"/>
  <c r="C19" i="22"/>
  <c r="G19" i="22" s="1"/>
  <c r="C19" i="21"/>
  <c r="D111" i="18"/>
  <c r="D114" i="18"/>
  <c r="D110" i="18"/>
  <c r="D113" i="18"/>
  <c r="D109" i="18"/>
  <c r="D112" i="18"/>
  <c r="D52" i="16"/>
  <c r="D55" i="16"/>
  <c r="D51" i="16"/>
  <c r="D54" i="16"/>
  <c r="D50" i="16"/>
  <c r="D53" i="16"/>
  <c r="D44" i="11"/>
  <c r="D43" i="11"/>
  <c r="D46" i="11"/>
  <c r="D42" i="11"/>
  <c r="D45" i="11"/>
  <c r="D41" i="11"/>
  <c r="C13" i="21"/>
  <c r="C13" i="26"/>
  <c r="C13" i="25"/>
  <c r="F13" i="25" s="1"/>
  <c r="C13" i="24"/>
  <c r="C13" i="22"/>
  <c r="D79" i="18"/>
  <c r="D78" i="18"/>
  <c r="D75" i="18"/>
  <c r="D22" i="11"/>
  <c r="C18" i="21"/>
  <c r="C18" i="26"/>
  <c r="C18" i="22"/>
  <c r="D88" i="18"/>
  <c r="D87" i="18"/>
  <c r="D23" i="11"/>
  <c r="C14" i="21"/>
  <c r="C14" i="26"/>
  <c r="C14" i="25"/>
  <c r="C14" i="24"/>
  <c r="C14" i="22"/>
  <c r="D100" i="18"/>
  <c r="D96" i="18"/>
  <c r="D99" i="18"/>
  <c r="D93" i="18"/>
  <c r="D97" i="18"/>
  <c r="D98" i="18"/>
  <c r="D101" i="18"/>
  <c r="D40" i="16"/>
  <c r="D43" i="16"/>
  <c r="D39" i="16"/>
  <c r="D36" i="16"/>
  <c r="D42" i="16"/>
  <c r="D38" i="16"/>
  <c r="D41" i="16"/>
  <c r="D30" i="11"/>
  <c r="D26" i="11"/>
  <c r="D29" i="11"/>
  <c r="D28" i="11"/>
  <c r="D31" i="11"/>
  <c r="D27" i="11"/>
  <c r="C12" i="26"/>
  <c r="C12" i="25"/>
  <c r="C12" i="21"/>
  <c r="C12" i="24"/>
  <c r="F12" i="24" s="1"/>
  <c r="C12" i="22"/>
  <c r="D59" i="18"/>
  <c r="D56" i="18"/>
  <c r="D61" i="18"/>
  <c r="D60" i="18"/>
  <c r="D18" i="16"/>
  <c r="D17" i="16"/>
  <c r="D19" i="16"/>
  <c r="D15" i="16"/>
  <c r="D19" i="11"/>
  <c r="D18" i="11"/>
  <c r="D17" i="11"/>
  <c r="C17" i="26"/>
  <c r="C17" i="22"/>
  <c r="C17" i="21"/>
  <c r="D69" i="18"/>
  <c r="D68" i="18"/>
  <c r="D70" i="18"/>
  <c r="D26" i="16"/>
  <c r="D28" i="16"/>
  <c r="D27" i="16"/>
  <c r="D37" i="11"/>
  <c r="D36" i="11"/>
  <c r="D35" i="11"/>
  <c r="C11" i="24"/>
  <c r="C11" i="22"/>
  <c r="C11" i="21"/>
  <c r="C11" i="26"/>
  <c r="C11" i="25"/>
  <c r="D39" i="18"/>
  <c r="D38" i="18"/>
  <c r="D37" i="18"/>
  <c r="D13" i="11"/>
  <c r="D10" i="18"/>
  <c r="C20" i="26"/>
  <c r="C20" i="21"/>
  <c r="F20" i="21" s="1"/>
  <c r="C20" i="22"/>
  <c r="D139" i="18"/>
  <c r="C16" i="26"/>
  <c r="C16" i="22"/>
  <c r="C16" i="21"/>
  <c r="D49" i="18"/>
  <c r="D51" i="18"/>
  <c r="D50" i="18"/>
  <c r="D14" i="11"/>
  <c r="C10" i="25"/>
  <c r="C10" i="21"/>
  <c r="G10" i="21" s="1"/>
  <c r="C10" i="26"/>
  <c r="C10" i="24"/>
  <c r="C10" i="22"/>
  <c r="D10" i="11"/>
  <c r="P23" i="10"/>
  <c r="D27" i="10"/>
  <c r="D30" i="10" s="1"/>
  <c r="D31" i="10" s="1"/>
  <c r="P25" i="10"/>
  <c r="D33" i="65" l="1"/>
  <c r="D34" i="65"/>
  <c r="D32" i="65"/>
  <c r="D31" i="65"/>
  <c r="H18" i="48"/>
  <c r="G18" i="61"/>
  <c r="F18" i="61"/>
  <c r="F16" i="61"/>
  <c r="G16" i="61"/>
  <c r="H19" i="67"/>
  <c r="D19" i="67"/>
  <c r="H21" i="67"/>
  <c r="D21" i="67"/>
  <c r="F17" i="61"/>
  <c r="G17" i="61"/>
  <c r="H20" i="67"/>
  <c r="D20" i="67"/>
  <c r="G19" i="61"/>
  <c r="F19" i="61"/>
  <c r="D22" i="67"/>
  <c r="H22" i="67"/>
  <c r="G20" i="61"/>
  <c r="F20" i="61"/>
  <c r="H23" i="67"/>
  <c r="H40" i="67" s="1"/>
  <c r="D23" i="67"/>
  <c r="D40" i="67" s="1"/>
  <c r="E36" i="65"/>
  <c r="G15" i="61"/>
  <c r="F15" i="61"/>
  <c r="H18" i="67"/>
  <c r="D18" i="67"/>
  <c r="F13" i="61"/>
  <c r="G13" i="61"/>
  <c r="H16" i="67"/>
  <c r="H38" i="67" s="1"/>
  <c r="D16" i="67"/>
  <c r="D38" i="67" s="1"/>
  <c r="E34" i="65"/>
  <c r="G14" i="61"/>
  <c r="F14" i="61"/>
  <c r="H17" i="67"/>
  <c r="D17" i="67"/>
  <c r="G14" i="65"/>
  <c r="F12" i="61"/>
  <c r="G12" i="61"/>
  <c r="D15" i="67"/>
  <c r="H15" i="67"/>
  <c r="E33" i="65"/>
  <c r="F11" i="61"/>
  <c r="G11" i="61"/>
  <c r="H14" i="67"/>
  <c r="D14" i="67"/>
  <c r="D36" i="67" s="1"/>
  <c r="D142" i="18"/>
  <c r="F10" i="61"/>
  <c r="G10" i="61"/>
  <c r="H13" i="67"/>
  <c r="D13" i="67"/>
  <c r="H14" i="18"/>
  <c r="D147" i="18"/>
  <c r="D142" i="53"/>
  <c r="H10" i="48"/>
  <c r="D57" i="48"/>
  <c r="F8" i="61"/>
  <c r="C21" i="61"/>
  <c r="G8" i="61"/>
  <c r="D23" i="65"/>
  <c r="H11" i="67"/>
  <c r="D11" i="67"/>
  <c r="J22" i="65"/>
  <c r="H10" i="65"/>
  <c r="H15" i="65"/>
  <c r="G79" i="53"/>
  <c r="H79" i="53"/>
  <c r="G96" i="53"/>
  <c r="H96" i="53"/>
  <c r="G101" i="53"/>
  <c r="H101" i="53"/>
  <c r="G22" i="53"/>
  <c r="H22" i="53"/>
  <c r="G69" i="53"/>
  <c r="H69" i="53"/>
  <c r="G41" i="53"/>
  <c r="H41" i="53"/>
  <c r="G88" i="53"/>
  <c r="H88" i="53"/>
  <c r="H56" i="53"/>
  <c r="G56" i="53"/>
  <c r="G110" i="53"/>
  <c r="H110" i="53"/>
  <c r="H112" i="53"/>
  <c r="G112" i="53"/>
  <c r="H78" i="53"/>
  <c r="G78" i="53"/>
  <c r="G51" i="53"/>
  <c r="H51" i="53"/>
  <c r="H14" i="53"/>
  <c r="G14" i="53"/>
  <c r="G100" i="53"/>
  <c r="H100" i="53"/>
  <c r="H98" i="53"/>
  <c r="G98" i="53"/>
  <c r="H87" i="53"/>
  <c r="G87" i="53"/>
  <c r="G60" i="53"/>
  <c r="H60" i="53"/>
  <c r="G114" i="53"/>
  <c r="H114" i="53"/>
  <c r="H111" i="53"/>
  <c r="G111" i="53"/>
  <c r="D147" i="53"/>
  <c r="D19" i="48"/>
  <c r="G19" i="48" s="1"/>
  <c r="G20" i="48" s="1"/>
  <c r="G75" i="53"/>
  <c r="H75" i="53"/>
  <c r="H50" i="53"/>
  <c r="G50" i="53"/>
  <c r="H93" i="53"/>
  <c r="G93" i="53"/>
  <c r="H70" i="53"/>
  <c r="G70" i="53"/>
  <c r="G39" i="53"/>
  <c r="H39" i="53"/>
  <c r="G61" i="53"/>
  <c r="H61" i="53"/>
  <c r="G109" i="53"/>
  <c r="H109" i="53"/>
  <c r="H10" i="53"/>
  <c r="G10" i="53"/>
  <c r="G97" i="53"/>
  <c r="H97" i="53"/>
  <c r="H99" i="53"/>
  <c r="G99" i="53"/>
  <c r="H21" i="53"/>
  <c r="G21" i="53"/>
  <c r="G68" i="53"/>
  <c r="H68" i="53"/>
  <c r="G38" i="53"/>
  <c r="H38" i="53"/>
  <c r="Q13" i="70" s="1"/>
  <c r="G59" i="53"/>
  <c r="H59" i="53"/>
  <c r="G113" i="53"/>
  <c r="H113" i="53"/>
  <c r="H26" i="53"/>
  <c r="G26" i="53"/>
  <c r="G10" i="48"/>
  <c r="H32" i="48"/>
  <c r="G32" i="48"/>
  <c r="H19" i="48"/>
  <c r="H20" i="48" s="1"/>
  <c r="G34" i="48"/>
  <c r="H34" i="48"/>
  <c r="H51" i="48"/>
  <c r="G51" i="48"/>
  <c r="H35" i="48"/>
  <c r="G35" i="48"/>
  <c r="H52" i="48"/>
  <c r="G52" i="48"/>
  <c r="H44" i="48"/>
  <c r="G44" i="48"/>
  <c r="H42" i="48"/>
  <c r="G42" i="48"/>
  <c r="H45" i="48"/>
  <c r="G45" i="48"/>
  <c r="G26" i="48"/>
  <c r="H26" i="48"/>
  <c r="H14" i="48"/>
  <c r="G14" i="48"/>
  <c r="H24" i="48"/>
  <c r="G24" i="48"/>
  <c r="H13" i="48"/>
  <c r="G13" i="48"/>
  <c r="G15" i="48" s="1"/>
  <c r="H27" i="48"/>
  <c r="G27" i="48"/>
  <c r="H41" i="18"/>
  <c r="G41" i="18"/>
  <c r="G22" i="18"/>
  <c r="H22" i="18"/>
  <c r="P41" i="10"/>
  <c r="P27" i="10"/>
  <c r="P30" i="10" s="1"/>
  <c r="P31" i="10" s="1"/>
  <c r="F10" i="26"/>
  <c r="G10" i="26"/>
  <c r="G16" i="22"/>
  <c r="F16" i="22"/>
  <c r="H13" i="11"/>
  <c r="G13" i="11"/>
  <c r="F11" i="25"/>
  <c r="G11" i="25"/>
  <c r="H26" i="16"/>
  <c r="G26" i="16"/>
  <c r="F17" i="21"/>
  <c r="G17" i="21"/>
  <c r="H20" i="11"/>
  <c r="G20" i="11"/>
  <c r="D20" i="11"/>
  <c r="H19" i="16"/>
  <c r="G19" i="16"/>
  <c r="G61" i="18"/>
  <c r="H61" i="18"/>
  <c r="G12" i="26"/>
  <c r="F12" i="26"/>
  <c r="H38" i="16"/>
  <c r="G38" i="16"/>
  <c r="H43" i="16"/>
  <c r="G43" i="16"/>
  <c r="G97" i="18"/>
  <c r="H97" i="18"/>
  <c r="G100" i="18"/>
  <c r="H100" i="18"/>
  <c r="G14" i="25"/>
  <c r="F14" i="25"/>
  <c r="F18" i="22"/>
  <c r="G18" i="22"/>
  <c r="G78" i="18"/>
  <c r="H78" i="18"/>
  <c r="G13" i="24"/>
  <c r="F13" i="24"/>
  <c r="H50" i="16"/>
  <c r="G50" i="16"/>
  <c r="H52" i="16"/>
  <c r="G52" i="16"/>
  <c r="G110" i="18"/>
  <c r="H110" i="18"/>
  <c r="F19" i="22"/>
  <c r="F15" i="26"/>
  <c r="G15" i="26"/>
  <c r="F10" i="22"/>
  <c r="G10" i="22"/>
  <c r="F10" i="21"/>
  <c r="G16" i="26"/>
  <c r="F16" i="26"/>
  <c r="G20" i="22"/>
  <c r="F20" i="22"/>
  <c r="H10" i="18"/>
  <c r="G10" i="18"/>
  <c r="C21" i="22"/>
  <c r="G8" i="22"/>
  <c r="F8" i="22"/>
  <c r="F11" i="26"/>
  <c r="G11" i="26"/>
  <c r="F11" i="24"/>
  <c r="G11" i="24"/>
  <c r="G70" i="18"/>
  <c r="H70" i="18"/>
  <c r="F17" i="22"/>
  <c r="G17" i="22"/>
  <c r="H17" i="16"/>
  <c r="G17" i="16"/>
  <c r="G56" i="18"/>
  <c r="H56" i="18"/>
  <c r="G12" i="24"/>
  <c r="G32" i="11"/>
  <c r="H32" i="11"/>
  <c r="D32" i="11"/>
  <c r="H42" i="16"/>
  <c r="G42" i="16"/>
  <c r="H40" i="16"/>
  <c r="G40" i="16"/>
  <c r="G93" i="18"/>
  <c r="H93" i="18"/>
  <c r="F14" i="22"/>
  <c r="G14" i="22"/>
  <c r="F14" i="26"/>
  <c r="G14" i="26"/>
  <c r="H23" i="11"/>
  <c r="G23" i="11"/>
  <c r="F18" i="26"/>
  <c r="G18" i="26"/>
  <c r="G79" i="18"/>
  <c r="H79" i="18"/>
  <c r="G13" i="25"/>
  <c r="H47" i="11"/>
  <c r="G47" i="11"/>
  <c r="D47" i="11"/>
  <c r="H54" i="16"/>
  <c r="G54" i="16"/>
  <c r="G112" i="18"/>
  <c r="H112" i="18"/>
  <c r="G114" i="18"/>
  <c r="H114" i="18"/>
  <c r="F19" i="26"/>
  <c r="G19" i="26"/>
  <c r="H26" i="18"/>
  <c r="G26" i="18"/>
  <c r="G21" i="18"/>
  <c r="H21" i="18"/>
  <c r="G51" i="18"/>
  <c r="H51" i="18"/>
  <c r="F8" i="21"/>
  <c r="C21" i="21"/>
  <c r="G8" i="21"/>
  <c r="F10" i="25"/>
  <c r="G10" i="25"/>
  <c r="G14" i="11"/>
  <c r="H14" i="11"/>
  <c r="G20" i="21"/>
  <c r="G8" i="24"/>
  <c r="C15" i="24"/>
  <c r="F8" i="24"/>
  <c r="G38" i="18"/>
  <c r="H38" i="18"/>
  <c r="G11" i="21"/>
  <c r="F11" i="21"/>
  <c r="H27" i="16"/>
  <c r="G27" i="16"/>
  <c r="G68" i="18"/>
  <c r="H68" i="18"/>
  <c r="F17" i="26"/>
  <c r="G17" i="26"/>
  <c r="H18" i="16"/>
  <c r="G18" i="16"/>
  <c r="G59" i="18"/>
  <c r="H59" i="18"/>
  <c r="F12" i="21"/>
  <c r="G12" i="21"/>
  <c r="H36" i="16"/>
  <c r="G36" i="16"/>
  <c r="G101" i="18"/>
  <c r="H101" i="18"/>
  <c r="G99" i="18"/>
  <c r="H99" i="18"/>
  <c r="G14" i="21"/>
  <c r="F14" i="21"/>
  <c r="G87" i="18"/>
  <c r="H87" i="18"/>
  <c r="F18" i="21"/>
  <c r="G18" i="21"/>
  <c r="H22" i="11"/>
  <c r="G22" i="11"/>
  <c r="F13" i="22"/>
  <c r="G13" i="22"/>
  <c r="F13" i="26"/>
  <c r="G13" i="26"/>
  <c r="H51" i="16"/>
  <c r="G51" i="16"/>
  <c r="G109" i="18"/>
  <c r="H109" i="18"/>
  <c r="G111" i="18"/>
  <c r="H111" i="18"/>
  <c r="F15" i="21"/>
  <c r="G15" i="21"/>
  <c r="H10" i="11"/>
  <c r="G10" i="11"/>
  <c r="F10" i="24"/>
  <c r="G10" i="24"/>
  <c r="G50" i="18"/>
  <c r="H50" i="18"/>
  <c r="F16" i="21"/>
  <c r="G16" i="21"/>
  <c r="F20" i="26"/>
  <c r="G20" i="26"/>
  <c r="H8" i="11"/>
  <c r="G8" i="11"/>
  <c r="G8" i="25"/>
  <c r="C15" i="25"/>
  <c r="G8" i="26"/>
  <c r="F8" i="26"/>
  <c r="C21" i="26"/>
  <c r="G39" i="18"/>
  <c r="H39" i="18"/>
  <c r="G11" i="22"/>
  <c r="F11" i="22"/>
  <c r="H38" i="11"/>
  <c r="G38" i="11"/>
  <c r="D38" i="11"/>
  <c r="H28" i="16"/>
  <c r="G28" i="16"/>
  <c r="G69" i="18"/>
  <c r="H69" i="18"/>
  <c r="H15" i="16"/>
  <c r="G15" i="16"/>
  <c r="G60" i="18"/>
  <c r="H60" i="18"/>
  <c r="G12" i="22"/>
  <c r="F12" i="22"/>
  <c r="G12" i="25"/>
  <c r="F12" i="25"/>
  <c r="H41" i="16"/>
  <c r="G41" i="16"/>
  <c r="H39" i="16"/>
  <c r="G39" i="16"/>
  <c r="G98" i="18"/>
  <c r="H98" i="18"/>
  <c r="G96" i="18"/>
  <c r="H96" i="18"/>
  <c r="F14" i="24"/>
  <c r="G14" i="24"/>
  <c r="G88" i="18"/>
  <c r="H88" i="18"/>
  <c r="G75" i="18"/>
  <c r="H75" i="18"/>
  <c r="G13" i="21"/>
  <c r="F13" i="21"/>
  <c r="H53" i="16"/>
  <c r="G53" i="16"/>
  <c r="H55" i="16"/>
  <c r="G55" i="16"/>
  <c r="G113" i="18"/>
  <c r="H113" i="18"/>
  <c r="F19" i="21"/>
  <c r="G19" i="21"/>
  <c r="H11" i="11"/>
  <c r="G11" i="11"/>
  <c r="G15" i="22"/>
  <c r="F15" i="22"/>
  <c r="Q14" i="70" l="1"/>
  <c r="Q19" i="70"/>
  <c r="L20" i="66" s="1"/>
  <c r="Q16" i="69"/>
  <c r="I17" i="66" s="1"/>
  <c r="Q13" i="69"/>
  <c r="I14" i="66" s="1"/>
  <c r="Q15" i="70"/>
  <c r="Q34" i="70" s="1"/>
  <c r="I14" i="71"/>
  <c r="I14" i="70"/>
  <c r="I14" i="69"/>
  <c r="L15" i="66"/>
  <c r="Q33" i="70"/>
  <c r="L18" i="65"/>
  <c r="L18" i="70"/>
  <c r="L18" i="71"/>
  <c r="L18" i="69"/>
  <c r="Q16" i="70"/>
  <c r="L14" i="69"/>
  <c r="L14" i="71"/>
  <c r="L14" i="65"/>
  <c r="L14" i="70"/>
  <c r="L19" i="71"/>
  <c r="L19" i="69"/>
  <c r="L19" i="70"/>
  <c r="Q18" i="70"/>
  <c r="Q32" i="70" s="1"/>
  <c r="L16" i="70"/>
  <c r="L16" i="71"/>
  <c r="L16" i="69"/>
  <c r="K19" i="71"/>
  <c r="K19" i="70"/>
  <c r="K19" i="69"/>
  <c r="Q14" i="69"/>
  <c r="I21" i="70"/>
  <c r="I21" i="69"/>
  <c r="I21" i="71"/>
  <c r="K16" i="71"/>
  <c r="K16" i="70"/>
  <c r="K16" i="69"/>
  <c r="I19" i="70"/>
  <c r="I19" i="69"/>
  <c r="I19" i="71"/>
  <c r="K21" i="71"/>
  <c r="K21" i="70"/>
  <c r="K21" i="69"/>
  <c r="K14" i="70"/>
  <c r="K14" i="69"/>
  <c r="K14" i="71"/>
  <c r="K13" i="71"/>
  <c r="K13" i="70"/>
  <c r="K13" i="69"/>
  <c r="K13" i="65"/>
  <c r="I16" i="69"/>
  <c r="I16" i="71"/>
  <c r="I16" i="70"/>
  <c r="L14" i="66"/>
  <c r="Q21" i="70"/>
  <c r="L15" i="71"/>
  <c r="L15" i="70"/>
  <c r="L15" i="69"/>
  <c r="K18" i="65"/>
  <c r="K18" i="71"/>
  <c r="K18" i="70"/>
  <c r="K18" i="69"/>
  <c r="K15" i="70"/>
  <c r="K15" i="71"/>
  <c r="K15" i="69"/>
  <c r="Q21" i="69"/>
  <c r="Q18" i="69"/>
  <c r="I19" i="66" s="1"/>
  <c r="Q19" i="69"/>
  <c r="Q15" i="69"/>
  <c r="L13" i="69"/>
  <c r="L13" i="70"/>
  <c r="L13" i="71"/>
  <c r="L13" i="65"/>
  <c r="L21" i="69"/>
  <c r="L21" i="71"/>
  <c r="L21" i="70"/>
  <c r="H15" i="48"/>
  <c r="H36" i="67"/>
  <c r="D39" i="67"/>
  <c r="D37" i="65"/>
  <c r="D40" i="65" s="1"/>
  <c r="E31" i="65"/>
  <c r="H35" i="67"/>
  <c r="D37" i="67"/>
  <c r="H39" i="67"/>
  <c r="K19" i="65"/>
  <c r="O21" i="65"/>
  <c r="O20" i="65"/>
  <c r="O18" i="65"/>
  <c r="L19" i="65"/>
  <c r="O37" i="66"/>
  <c r="I20" i="65"/>
  <c r="M20" i="65"/>
  <c r="O22" i="65"/>
  <c r="L20" i="65"/>
  <c r="E32" i="65"/>
  <c r="H37" i="67"/>
  <c r="M22" i="65"/>
  <c r="P22" i="65" s="1"/>
  <c r="M21" i="65"/>
  <c r="M18" i="65"/>
  <c r="I18" i="65"/>
  <c r="I19" i="65"/>
  <c r="K21" i="65"/>
  <c r="K20" i="65"/>
  <c r="I21" i="65"/>
  <c r="O19" i="65"/>
  <c r="L21" i="65"/>
  <c r="E35" i="65"/>
  <c r="M19" i="65"/>
  <c r="I17" i="65"/>
  <c r="D35" i="67"/>
  <c r="O17" i="65"/>
  <c r="K17" i="65"/>
  <c r="L17" i="65"/>
  <c r="M17" i="65"/>
  <c r="I15" i="65"/>
  <c r="M16" i="65"/>
  <c r="L15" i="65"/>
  <c r="K15" i="65"/>
  <c r="O15" i="65"/>
  <c r="K16" i="65"/>
  <c r="D49" i="11"/>
  <c r="L16" i="65"/>
  <c r="O16" i="65"/>
  <c r="O36" i="66"/>
  <c r="O35" i="66"/>
  <c r="I16" i="65"/>
  <c r="M15" i="65"/>
  <c r="K14" i="65"/>
  <c r="I14" i="65"/>
  <c r="O14" i="65"/>
  <c r="M14" i="65"/>
  <c r="O34" i="66"/>
  <c r="O13" i="65"/>
  <c r="I13" i="65"/>
  <c r="O33" i="66"/>
  <c r="M13" i="65"/>
  <c r="O12" i="65"/>
  <c r="I12" i="65"/>
  <c r="M12" i="65"/>
  <c r="O32" i="66"/>
  <c r="D24" i="67"/>
  <c r="D34" i="67"/>
  <c r="H24" i="67"/>
  <c r="H34" i="67"/>
  <c r="I10" i="65"/>
  <c r="K10" i="65"/>
  <c r="E30" i="65"/>
  <c r="E23" i="65"/>
  <c r="E26" i="65" s="1"/>
  <c r="G21" i="61"/>
  <c r="O10" i="65"/>
  <c r="L10" i="65"/>
  <c r="F21" i="61"/>
  <c r="F24" i="61" s="1"/>
  <c r="M10" i="65"/>
  <c r="N17" i="65"/>
  <c r="N10" i="65"/>
  <c r="N12" i="65"/>
  <c r="J15" i="65"/>
  <c r="J17" i="65"/>
  <c r="J10" i="65"/>
  <c r="J16" i="65"/>
  <c r="J13" i="65"/>
  <c r="J12" i="65"/>
  <c r="J19" i="65"/>
  <c r="J21" i="65"/>
  <c r="J18" i="65"/>
  <c r="J20" i="65"/>
  <c r="J14" i="65"/>
  <c r="H14" i="65"/>
  <c r="H16" i="65"/>
  <c r="H13" i="65"/>
  <c r="I32" i="66"/>
  <c r="H12" i="65"/>
  <c r="G16" i="65"/>
  <c r="G12" i="65"/>
  <c r="G13" i="65"/>
  <c r="G10" i="65"/>
  <c r="G15" i="65"/>
  <c r="L32" i="66"/>
  <c r="H36" i="48"/>
  <c r="H14" i="24"/>
  <c r="H12" i="24"/>
  <c r="H13" i="24"/>
  <c r="H10" i="24"/>
  <c r="H8" i="24"/>
  <c r="H11" i="24"/>
  <c r="G46" i="48"/>
  <c r="H46" i="48"/>
  <c r="G53" i="48"/>
  <c r="H53" i="48"/>
  <c r="G36" i="48"/>
  <c r="G28" i="48"/>
  <c r="H28" i="48"/>
  <c r="H49" i="11"/>
  <c r="I8" i="11"/>
  <c r="I22" i="11"/>
  <c r="H13" i="25"/>
  <c r="I23" i="11"/>
  <c r="H20" i="22"/>
  <c r="H10" i="21"/>
  <c r="I13" i="11"/>
  <c r="H16" i="22"/>
  <c r="H20" i="26"/>
  <c r="I10" i="11"/>
  <c r="H14" i="21"/>
  <c r="I47" i="11"/>
  <c r="H11" i="26"/>
  <c r="H16" i="26"/>
  <c r="H18" i="22"/>
  <c r="I20" i="11"/>
  <c r="H19" i="26"/>
  <c r="I32" i="11"/>
  <c r="H17" i="22"/>
  <c r="H44" i="16"/>
  <c r="H19" i="21"/>
  <c r="G20" i="16"/>
  <c r="I38" i="11"/>
  <c r="H15" i="26"/>
  <c r="H11" i="22"/>
  <c r="H19" i="22"/>
  <c r="G15" i="24"/>
  <c r="F21" i="22"/>
  <c r="F24" i="22" s="1"/>
  <c r="I11" i="11"/>
  <c r="H12" i="25"/>
  <c r="G15" i="25"/>
  <c r="H8" i="25"/>
  <c r="H16" i="21"/>
  <c r="H13" i="22"/>
  <c r="H18" i="21"/>
  <c r="G44" i="16"/>
  <c r="H17" i="26"/>
  <c r="H11" i="21"/>
  <c r="H10" i="25"/>
  <c r="F21" i="21"/>
  <c r="F24" i="21" s="1"/>
  <c r="H14" i="22"/>
  <c r="G21" i="22"/>
  <c r="H8" i="22"/>
  <c r="G56" i="16"/>
  <c r="H12" i="26"/>
  <c r="G29" i="16"/>
  <c r="H11" i="25"/>
  <c r="F21" i="26"/>
  <c r="F24" i="26" s="1"/>
  <c r="F15" i="25"/>
  <c r="F15" i="24"/>
  <c r="H56" i="16"/>
  <c r="H29" i="16"/>
  <c r="H15" i="22"/>
  <c r="H13" i="21"/>
  <c r="H12" i="22"/>
  <c r="H20" i="16"/>
  <c r="G21" i="26"/>
  <c r="H8" i="26"/>
  <c r="G49" i="11"/>
  <c r="H15" i="21"/>
  <c r="H13" i="26"/>
  <c r="H12" i="21"/>
  <c r="H20" i="21"/>
  <c r="I14" i="11"/>
  <c r="H8" i="21"/>
  <c r="G21" i="21"/>
  <c r="H18" i="26"/>
  <c r="H14" i="26"/>
  <c r="H10" i="22"/>
  <c r="H14" i="25"/>
  <c r="H17" i="21"/>
  <c r="H10" i="26"/>
  <c r="Q35" i="69" l="1"/>
  <c r="R14" i="66"/>
  <c r="P19" i="69"/>
  <c r="I33" i="66"/>
  <c r="L16" i="66"/>
  <c r="L35" i="66" s="1"/>
  <c r="Q32" i="69"/>
  <c r="P19" i="71"/>
  <c r="R19" i="71" s="1"/>
  <c r="Q23" i="69"/>
  <c r="Q26" i="69" s="1"/>
  <c r="P16" i="69"/>
  <c r="R16" i="69" s="1"/>
  <c r="P21" i="71"/>
  <c r="R21" i="71" s="1"/>
  <c r="N13" i="70"/>
  <c r="P13" i="70" s="1"/>
  <c r="N13" i="69"/>
  <c r="N13" i="71"/>
  <c r="P13" i="71" s="1"/>
  <c r="K23" i="71"/>
  <c r="K26" i="71" s="1"/>
  <c r="N18" i="70"/>
  <c r="P18" i="70" s="1"/>
  <c r="R18" i="70" s="1"/>
  <c r="N18" i="71"/>
  <c r="P18" i="71" s="1"/>
  <c r="N18" i="69"/>
  <c r="P18" i="69" s="1"/>
  <c r="R18" i="69" s="1"/>
  <c r="L23" i="71"/>
  <c r="L26" i="71" s="1"/>
  <c r="I20" i="66"/>
  <c r="R20" i="66" s="1"/>
  <c r="R19" i="69"/>
  <c r="L22" i="66"/>
  <c r="P19" i="70"/>
  <c r="R19" i="70" s="1"/>
  <c r="P14" i="69"/>
  <c r="I23" i="69"/>
  <c r="I26" i="69" s="1"/>
  <c r="L23" i="70"/>
  <c r="L26" i="70" s="1"/>
  <c r="P16" i="70"/>
  <c r="K23" i="69"/>
  <c r="K26" i="69" s="1"/>
  <c r="P21" i="69"/>
  <c r="R21" i="69" s="1"/>
  <c r="I23" i="70"/>
  <c r="I26" i="70" s="1"/>
  <c r="P14" i="70"/>
  <c r="I16" i="66"/>
  <c r="Q34" i="69"/>
  <c r="I15" i="66"/>
  <c r="R15" i="66" s="1"/>
  <c r="Q33" i="69"/>
  <c r="N15" i="71"/>
  <c r="P15" i="71" s="1"/>
  <c r="N15" i="70"/>
  <c r="P15" i="70" s="1"/>
  <c r="N15" i="69"/>
  <c r="P15" i="69" s="1"/>
  <c r="L23" i="69"/>
  <c r="L26" i="69" s="1"/>
  <c r="I22" i="66"/>
  <c r="Q23" i="70"/>
  <c r="P16" i="71"/>
  <c r="K23" i="70"/>
  <c r="K26" i="70" s="1"/>
  <c r="P21" i="70"/>
  <c r="R21" i="70" s="1"/>
  <c r="L19" i="66"/>
  <c r="R19" i="66" s="1"/>
  <c r="Q35" i="70"/>
  <c r="Q37" i="70" s="1"/>
  <c r="L17" i="66"/>
  <c r="I23" i="71"/>
  <c r="I26" i="71" s="1"/>
  <c r="P14" i="71"/>
  <c r="P19" i="65"/>
  <c r="D13" i="66"/>
  <c r="S13" i="66" s="1"/>
  <c r="P21" i="65"/>
  <c r="D41" i="67"/>
  <c r="P36" i="65"/>
  <c r="E23" i="67"/>
  <c r="E40" i="67" s="1"/>
  <c r="F40" i="67" s="1"/>
  <c r="H41" i="67"/>
  <c r="D23" i="66"/>
  <c r="S23" i="66" s="1"/>
  <c r="E37" i="65"/>
  <c r="E40" i="65" s="1"/>
  <c r="P17" i="65"/>
  <c r="E18" i="67" s="1"/>
  <c r="F18" i="67" s="1"/>
  <c r="P16" i="65"/>
  <c r="E17" i="67" s="1"/>
  <c r="P14" i="65"/>
  <c r="E15" i="67" s="1"/>
  <c r="H23" i="65"/>
  <c r="H26" i="65" s="1"/>
  <c r="O23" i="65"/>
  <c r="O26" i="65" s="1"/>
  <c r="K23" i="65"/>
  <c r="K26" i="65" s="1"/>
  <c r="I23" i="65"/>
  <c r="I26" i="65" s="1"/>
  <c r="F23" i="65"/>
  <c r="F26" i="65" s="1"/>
  <c r="H15" i="24"/>
  <c r="M23" i="65"/>
  <c r="M26" i="65" s="1"/>
  <c r="L23" i="65"/>
  <c r="L26" i="65" s="1"/>
  <c r="H21" i="61"/>
  <c r="G24" i="61"/>
  <c r="H24" i="61" s="1"/>
  <c r="N20" i="65"/>
  <c r="P20" i="65" s="1"/>
  <c r="D21" i="66" s="1"/>
  <c r="S21" i="66" s="1"/>
  <c r="N13" i="65"/>
  <c r="P13" i="65" s="1"/>
  <c r="N18" i="65"/>
  <c r="P18" i="65" s="1"/>
  <c r="N15" i="65"/>
  <c r="P15" i="65" s="1"/>
  <c r="J23" i="65"/>
  <c r="J26" i="65" s="1"/>
  <c r="I31" i="66"/>
  <c r="G23" i="65"/>
  <c r="G26" i="65" s="1"/>
  <c r="P10" i="65"/>
  <c r="L34" i="66"/>
  <c r="L31" i="66"/>
  <c r="L37" i="66"/>
  <c r="H55" i="48"/>
  <c r="G55" i="48"/>
  <c r="G57" i="48"/>
  <c r="G38" i="48"/>
  <c r="H38" i="48"/>
  <c r="H57" i="48"/>
  <c r="G31" i="16"/>
  <c r="G88" i="16"/>
  <c r="I49" i="11"/>
  <c r="H15" i="25"/>
  <c r="G24" i="21"/>
  <c r="H24" i="21" s="1"/>
  <c r="H21" i="21"/>
  <c r="G24" i="26"/>
  <c r="H24" i="26" s="1"/>
  <c r="H21" i="26"/>
  <c r="G24" i="22"/>
  <c r="H24" i="22" s="1"/>
  <c r="H21" i="22"/>
  <c r="G58" i="16"/>
  <c r="L36" i="66" l="1"/>
  <c r="I36" i="66"/>
  <c r="R22" i="66"/>
  <c r="R34" i="66"/>
  <c r="L33" i="66"/>
  <c r="P35" i="69"/>
  <c r="R35" i="69" s="1"/>
  <c r="R33" i="66"/>
  <c r="I35" i="66"/>
  <c r="R16" i="66"/>
  <c r="P33" i="69"/>
  <c r="R33" i="69" s="1"/>
  <c r="R17" i="66"/>
  <c r="L24" i="66"/>
  <c r="L27" i="66" s="1"/>
  <c r="I24" i="66"/>
  <c r="I27" i="66" s="1"/>
  <c r="Q37" i="69"/>
  <c r="Q40" i="69" s="1"/>
  <c r="I34" i="66"/>
  <c r="Q40" i="70"/>
  <c r="P34" i="71"/>
  <c r="R34" i="71" s="1"/>
  <c r="R15" i="71"/>
  <c r="P23" i="71"/>
  <c r="R18" i="71"/>
  <c r="P34" i="69"/>
  <c r="R34" i="69" s="1"/>
  <c r="R15" i="69"/>
  <c r="P34" i="70"/>
  <c r="R34" i="70" s="1"/>
  <c r="R15" i="70"/>
  <c r="N23" i="69"/>
  <c r="N26" i="69" s="1"/>
  <c r="R14" i="71"/>
  <c r="P33" i="71"/>
  <c r="R33" i="71" s="1"/>
  <c r="P32" i="70"/>
  <c r="P23" i="70"/>
  <c r="P26" i="70" s="1"/>
  <c r="R13" i="70"/>
  <c r="N23" i="70"/>
  <c r="N26" i="70" s="1"/>
  <c r="R14" i="69"/>
  <c r="P13" i="69"/>
  <c r="Q26" i="70"/>
  <c r="R23" i="70"/>
  <c r="P35" i="70"/>
  <c r="R35" i="70" s="1"/>
  <c r="R16" i="70"/>
  <c r="P35" i="71"/>
  <c r="R35" i="71" s="1"/>
  <c r="R16" i="71"/>
  <c r="P33" i="70"/>
  <c r="R33" i="70" s="1"/>
  <c r="R14" i="70"/>
  <c r="R13" i="71"/>
  <c r="P32" i="71"/>
  <c r="N23" i="71"/>
  <c r="N26" i="71" s="1"/>
  <c r="E13" i="67"/>
  <c r="E35" i="67" s="1"/>
  <c r="F35" i="67" s="1"/>
  <c r="E20" i="67"/>
  <c r="F20" i="67" s="1"/>
  <c r="D20" i="66"/>
  <c r="S20" i="66" s="1"/>
  <c r="F23" i="67"/>
  <c r="J23" i="66"/>
  <c r="D22" i="66"/>
  <c r="E22" i="67"/>
  <c r="F22" i="67" s="1"/>
  <c r="P31" i="65"/>
  <c r="D18" i="66"/>
  <c r="S18" i="66" s="1"/>
  <c r="M23" i="66"/>
  <c r="D15" i="66"/>
  <c r="S15" i="66" s="1"/>
  <c r="D37" i="66"/>
  <c r="S37" i="66" s="1"/>
  <c r="D19" i="66"/>
  <c r="S19" i="66" s="1"/>
  <c r="E19" i="67"/>
  <c r="F19" i="67" s="1"/>
  <c r="P33" i="65"/>
  <c r="P23" i="66"/>
  <c r="E21" i="67"/>
  <c r="F21" i="67" s="1"/>
  <c r="D17" i="66"/>
  <c r="P35" i="65"/>
  <c r="D14" i="66"/>
  <c r="S14" i="66" s="1"/>
  <c r="O31" i="66"/>
  <c r="O38" i="66" s="1"/>
  <c r="O41" i="66" s="1"/>
  <c r="O24" i="66"/>
  <c r="O27" i="66" s="1"/>
  <c r="M21" i="66"/>
  <c r="E16" i="67"/>
  <c r="F16" i="67" s="1"/>
  <c r="P34" i="65"/>
  <c r="D16" i="66"/>
  <c r="N23" i="65"/>
  <c r="N26" i="65" s="1"/>
  <c r="P32" i="65"/>
  <c r="E14" i="67"/>
  <c r="F14" i="67" s="1"/>
  <c r="J21" i="66"/>
  <c r="P21" i="66"/>
  <c r="F15" i="67"/>
  <c r="F17" i="67"/>
  <c r="J13" i="66"/>
  <c r="P13" i="66"/>
  <c r="M13" i="66"/>
  <c r="D11" i="66"/>
  <c r="E11" i="67"/>
  <c r="P30" i="65"/>
  <c r="P23" i="65"/>
  <c r="P26" i="65" s="1"/>
  <c r="L38" i="66"/>
  <c r="R24" i="66" l="1"/>
  <c r="R26" i="70"/>
  <c r="I38" i="66"/>
  <c r="I41" i="66" s="1"/>
  <c r="S22" i="66"/>
  <c r="R27" i="66"/>
  <c r="S11" i="66"/>
  <c r="P11" i="66"/>
  <c r="F13" i="67"/>
  <c r="R35" i="66"/>
  <c r="S16" i="66"/>
  <c r="S17" i="66"/>
  <c r="R36" i="66"/>
  <c r="M16" i="66"/>
  <c r="P18" i="66"/>
  <c r="R32" i="71"/>
  <c r="P37" i="71"/>
  <c r="P32" i="69"/>
  <c r="P23" i="69"/>
  <c r="R13" i="69"/>
  <c r="M20" i="66"/>
  <c r="J17" i="66"/>
  <c r="R32" i="70"/>
  <c r="P37" i="70"/>
  <c r="R23" i="71"/>
  <c r="P26" i="71"/>
  <c r="R26" i="71" s="1"/>
  <c r="J15" i="66"/>
  <c r="M14" i="66"/>
  <c r="E37" i="67"/>
  <c r="F37" i="67" s="1"/>
  <c r="P20" i="66"/>
  <c r="P17" i="66"/>
  <c r="J20" i="66"/>
  <c r="P37" i="66"/>
  <c r="E39" i="67"/>
  <c r="F39" i="67" s="1"/>
  <c r="P22" i="66"/>
  <c r="J18" i="66"/>
  <c r="J22" i="66"/>
  <c r="M18" i="66"/>
  <c r="M22" i="66"/>
  <c r="D32" i="66"/>
  <c r="D34" i="66"/>
  <c r="M34" i="66" s="1"/>
  <c r="J37" i="66"/>
  <c r="M15" i="66"/>
  <c r="M37" i="66"/>
  <c r="J14" i="66"/>
  <c r="P15" i="66"/>
  <c r="M19" i="66"/>
  <c r="M17" i="66"/>
  <c r="D36" i="66"/>
  <c r="P19" i="66"/>
  <c r="J19" i="66"/>
  <c r="D35" i="66"/>
  <c r="J35" i="66" s="1"/>
  <c r="E38" i="67"/>
  <c r="F38" i="67" s="1"/>
  <c r="P16" i="66"/>
  <c r="J16" i="66"/>
  <c r="P14" i="66"/>
  <c r="E36" i="67"/>
  <c r="F36" i="67" s="1"/>
  <c r="D33" i="66"/>
  <c r="S33" i="66" s="1"/>
  <c r="P37" i="65"/>
  <c r="P40" i="65" s="1"/>
  <c r="J11" i="66"/>
  <c r="D24" i="66"/>
  <c r="S24" i="66" s="1"/>
  <c r="D31" i="66"/>
  <c r="S31" i="66" s="1"/>
  <c r="M11" i="66"/>
  <c r="F11" i="67"/>
  <c r="E34" i="67"/>
  <c r="E24" i="67"/>
  <c r="L41" i="66"/>
  <c r="R38" i="66" l="1"/>
  <c r="R41" i="66"/>
  <c r="P32" i="66"/>
  <c r="S32" i="66"/>
  <c r="S36" i="66"/>
  <c r="S35" i="66"/>
  <c r="S34" i="66"/>
  <c r="M33" i="66"/>
  <c r="P33" i="66"/>
  <c r="P40" i="70"/>
  <c r="R40" i="70" s="1"/>
  <c r="R37" i="70"/>
  <c r="R32" i="69"/>
  <c r="P37" i="69"/>
  <c r="P40" i="71"/>
  <c r="R40" i="71" s="1"/>
  <c r="R37" i="71"/>
  <c r="P26" i="69"/>
  <c r="R26" i="69" s="1"/>
  <c r="R23" i="69"/>
  <c r="J36" i="66"/>
  <c r="M32" i="66"/>
  <c r="J32" i="66"/>
  <c r="J34" i="66"/>
  <c r="P34" i="66"/>
  <c r="P36" i="66"/>
  <c r="P35" i="66"/>
  <c r="M36" i="66"/>
  <c r="M35" i="66"/>
  <c r="J33" i="66"/>
  <c r="E41" i="67"/>
  <c r="F34" i="67"/>
  <c r="D27" i="66"/>
  <c r="S27" i="66" s="1"/>
  <c r="J24" i="66"/>
  <c r="P24" i="66"/>
  <c r="M24" i="66"/>
  <c r="J31" i="66"/>
  <c r="D38" i="66"/>
  <c r="S38" i="66" s="1"/>
  <c r="P31" i="66"/>
  <c r="M31" i="66"/>
  <c r="E30" i="67"/>
  <c r="F24" i="67"/>
  <c r="P40" i="69" l="1"/>
  <c r="R40" i="69" s="1"/>
  <c r="R37" i="69"/>
  <c r="J27" i="66"/>
  <c r="P27" i="66"/>
  <c r="M27" i="66"/>
  <c r="F41" i="67"/>
  <c r="E44" i="67"/>
  <c r="D41" i="66"/>
  <c r="S41" i="66" s="1"/>
  <c r="J38" i="66"/>
  <c r="P38" i="66"/>
  <c r="M38" i="66"/>
  <c r="J41" i="66" l="1"/>
  <c r="P41" i="66"/>
  <c r="M41" i="66"/>
  <c r="S25" i="56" l="1"/>
  <c r="G25" i="56"/>
  <c r="G40" i="56" l="1"/>
  <c r="G34" i="56"/>
  <c r="H25" i="56"/>
  <c r="H34" i="56" s="1"/>
  <c r="H36" i="56" s="1"/>
  <c r="H37" i="56" s="1"/>
  <c r="H38" i="56" s="1"/>
  <c r="S40" i="56"/>
  <c r="T25" i="56"/>
  <c r="T34" i="56" s="1"/>
  <c r="T36" i="56" s="1"/>
  <c r="T37" i="56" s="1"/>
  <c r="T38" i="56" s="1"/>
  <c r="S34" i="56"/>
  <c r="F12" i="66" l="1"/>
  <c r="R11" i="65"/>
  <c r="R10" i="65"/>
  <c r="Q30" i="65"/>
  <c r="F11" i="66"/>
  <c r="R17" i="65"/>
  <c r="F18" i="66"/>
  <c r="G18" i="66" l="1"/>
  <c r="U18" i="66"/>
  <c r="F26" i="66"/>
  <c r="Q39" i="65"/>
  <c r="R25" i="65"/>
  <c r="R30" i="65"/>
  <c r="F31" i="66"/>
  <c r="G11" i="66"/>
  <c r="U11" i="66"/>
  <c r="V11" i="66" s="1"/>
  <c r="W11" i="66" s="1"/>
  <c r="U12" i="66"/>
  <c r="G12" i="66"/>
  <c r="R15" i="65" l="1"/>
  <c r="F16" i="66"/>
  <c r="Q34" i="65"/>
  <c r="R34" i="65" s="1"/>
  <c r="Q35" i="65"/>
  <c r="R35" i="65" s="1"/>
  <c r="V12" i="66"/>
  <c r="W12" i="66" s="1"/>
  <c r="I12" i="67"/>
  <c r="G31" i="66"/>
  <c r="R39" i="65"/>
  <c r="F21" i="66"/>
  <c r="R20" i="65"/>
  <c r="F17" i="66"/>
  <c r="R16" i="65"/>
  <c r="F15" i="66"/>
  <c r="Q33" i="65"/>
  <c r="R33" i="65" s="1"/>
  <c r="R14" i="65"/>
  <c r="F40" i="66"/>
  <c r="G40" i="66" s="1"/>
  <c r="G26" i="66"/>
  <c r="U26" i="66"/>
  <c r="U31" i="66"/>
  <c r="I11" i="67"/>
  <c r="R12" i="65"/>
  <c r="F13" i="66"/>
  <c r="Q31" i="65"/>
  <c r="V18" i="66"/>
  <c r="W18" i="66" s="1"/>
  <c r="I18" i="67"/>
  <c r="R13" i="65"/>
  <c r="F14" i="66"/>
  <c r="J18" i="67" l="1"/>
  <c r="L18" i="67"/>
  <c r="N18" i="67" s="1"/>
  <c r="G13" i="66"/>
  <c r="U13" i="66"/>
  <c r="F32" i="66"/>
  <c r="U17" i="66"/>
  <c r="G17" i="66"/>
  <c r="F35" i="66"/>
  <c r="G35" i="66" s="1"/>
  <c r="U16" i="66"/>
  <c r="G16" i="66"/>
  <c r="R18" i="65"/>
  <c r="F19" i="66"/>
  <c r="Q32" i="65"/>
  <c r="R32" i="65" s="1"/>
  <c r="U14" i="66"/>
  <c r="G14" i="66"/>
  <c r="F33" i="66"/>
  <c r="G33" i="66" s="1"/>
  <c r="V26" i="66"/>
  <c r="I29" i="67"/>
  <c r="U40" i="66"/>
  <c r="G21" i="66"/>
  <c r="U21" i="66"/>
  <c r="R31" i="65"/>
  <c r="I34" i="67"/>
  <c r="L11" i="67"/>
  <c r="J11" i="67"/>
  <c r="L12" i="67"/>
  <c r="N12" i="67" s="1"/>
  <c r="J12" i="67"/>
  <c r="V31" i="66"/>
  <c r="F20" i="66"/>
  <c r="F34" i="66" s="1"/>
  <c r="G34" i="66" s="1"/>
  <c r="R19" i="65"/>
  <c r="U15" i="66"/>
  <c r="G15" i="66"/>
  <c r="F22" i="66"/>
  <c r="F36" i="66" s="1"/>
  <c r="G36" i="66" s="1"/>
  <c r="R21" i="65"/>
  <c r="G20" i="66" l="1"/>
  <c r="U20" i="66"/>
  <c r="N11" i="67"/>
  <c r="I21" i="67"/>
  <c r="V21" i="66"/>
  <c r="W21" i="66" s="1"/>
  <c r="W26" i="66"/>
  <c r="V40" i="66"/>
  <c r="W40" i="66" s="1"/>
  <c r="V14" i="66"/>
  <c r="I14" i="67"/>
  <c r="V17" i="66"/>
  <c r="I17" i="67"/>
  <c r="V13" i="66"/>
  <c r="I13" i="67"/>
  <c r="U32" i="66"/>
  <c r="J34" i="67"/>
  <c r="L34" i="67"/>
  <c r="V16" i="66"/>
  <c r="I16" i="67"/>
  <c r="U35" i="66"/>
  <c r="I15" i="67"/>
  <c r="V15" i="66"/>
  <c r="U34" i="66"/>
  <c r="U19" i="66"/>
  <c r="U33" i="66" s="1"/>
  <c r="G19" i="66"/>
  <c r="U22" i="66"/>
  <c r="G22" i="66"/>
  <c r="W31" i="66"/>
  <c r="I43" i="67"/>
  <c r="J43" i="67" s="1"/>
  <c r="L43" i="67" s="1"/>
  <c r="J29" i="67"/>
  <c r="L29" i="67" s="1"/>
  <c r="G32" i="66"/>
  <c r="N43" i="67" l="1"/>
  <c r="L15" i="67"/>
  <c r="J15" i="67"/>
  <c r="J17" i="67"/>
  <c r="L17" i="67"/>
  <c r="W14" i="66"/>
  <c r="L21" i="67"/>
  <c r="N21" i="67" s="1"/>
  <c r="J21" i="67"/>
  <c r="N29" i="67"/>
  <c r="V19" i="66"/>
  <c r="W19" i="66" s="1"/>
  <c r="I19" i="67"/>
  <c r="N34" i="67"/>
  <c r="L13" i="67"/>
  <c r="I35" i="67"/>
  <c r="J13" i="67"/>
  <c r="W17" i="66"/>
  <c r="I22" i="67"/>
  <c r="V22" i="66"/>
  <c r="W22" i="66" s="1"/>
  <c r="L16" i="67"/>
  <c r="I38" i="67"/>
  <c r="J16" i="67"/>
  <c r="W13" i="66"/>
  <c r="V32" i="66"/>
  <c r="I20" i="67"/>
  <c r="V20" i="66"/>
  <c r="W20" i="66" s="1"/>
  <c r="W15" i="66"/>
  <c r="V35" i="66"/>
  <c r="W35" i="66" s="1"/>
  <c r="W16" i="66"/>
  <c r="U36" i="66"/>
  <c r="L14" i="67"/>
  <c r="N14" i="67" s="1"/>
  <c r="J14" i="67"/>
  <c r="N15" i="67" l="1"/>
  <c r="N17" i="67"/>
  <c r="J20" i="67"/>
  <c r="L20" i="67"/>
  <c r="N20" i="67" s="1"/>
  <c r="L22" i="67"/>
  <c r="N22" i="67" s="1"/>
  <c r="J22" i="67"/>
  <c r="I36" i="67"/>
  <c r="J19" i="67"/>
  <c r="L19" i="67"/>
  <c r="N19" i="67" s="1"/>
  <c r="V34" i="66"/>
  <c r="W34" i="66" s="1"/>
  <c r="L38" i="67"/>
  <c r="N38" i="67" s="1"/>
  <c r="J38" i="67"/>
  <c r="J35" i="67"/>
  <c r="L35" i="67"/>
  <c r="V33" i="66"/>
  <c r="W33" i="66" s="1"/>
  <c r="I39" i="67"/>
  <c r="W32" i="66"/>
  <c r="N16" i="67"/>
  <c r="V36" i="66"/>
  <c r="W36" i="66" s="1"/>
  <c r="N13" i="67"/>
  <c r="I37" i="67"/>
  <c r="J39" i="67" l="1"/>
  <c r="L39" i="67"/>
  <c r="N39" i="67" s="1"/>
  <c r="J37" i="67"/>
  <c r="L37" i="67"/>
  <c r="N37" i="67" s="1"/>
  <c r="N35" i="67"/>
  <c r="J36" i="67"/>
  <c r="L36" i="67"/>
  <c r="N36" i="67" s="1"/>
  <c r="R22" i="65" l="1"/>
  <c r="F23" i="66"/>
  <c r="Q36" i="65"/>
  <c r="Q23" i="65"/>
  <c r="Q26" i="65" l="1"/>
  <c r="R26" i="65" s="1"/>
  <c r="R23" i="65"/>
  <c r="R36" i="65"/>
  <c r="Q37" i="65"/>
  <c r="U23" i="66"/>
  <c r="F37" i="66"/>
  <c r="G23" i="66"/>
  <c r="F24" i="66"/>
  <c r="F27" i="66" l="1"/>
  <c r="G27" i="66" s="1"/>
  <c r="G24" i="66"/>
  <c r="R37" i="65"/>
  <c r="Q40" i="65"/>
  <c r="R40" i="65" s="1"/>
  <c r="G37" i="66"/>
  <c r="F38" i="66"/>
  <c r="U37" i="66"/>
  <c r="U38" i="66" s="1"/>
  <c r="U41" i="66" s="1"/>
  <c r="I23" i="67"/>
  <c r="V23" i="66"/>
  <c r="U24" i="66"/>
  <c r="U27" i="66" s="1"/>
  <c r="I40" i="67" l="1"/>
  <c r="J23" i="67"/>
  <c r="L23" i="67"/>
  <c r="I24" i="67"/>
  <c r="F41" i="66"/>
  <c r="G41" i="66" s="1"/>
  <c r="G38" i="66"/>
  <c r="W23" i="66"/>
  <c r="V37" i="66"/>
  <c r="V24" i="66"/>
  <c r="W37" i="66" l="1"/>
  <c r="V38" i="66"/>
  <c r="L24" i="67"/>
  <c r="J24" i="67"/>
  <c r="I30" i="67"/>
  <c r="L30" i="67" s="1"/>
  <c r="N23" i="67"/>
  <c r="W24" i="66"/>
  <c r="V27" i="66"/>
  <c r="W27" i="66" s="1"/>
  <c r="L40" i="67"/>
  <c r="N40" i="67" s="1"/>
  <c r="J40" i="67"/>
  <c r="I41" i="67"/>
  <c r="L41" i="67" l="1"/>
  <c r="J41" i="67"/>
  <c r="I44" i="67"/>
  <c r="L44" i="67" s="1"/>
  <c r="N24" i="67"/>
  <c r="V41" i="66"/>
  <c r="W38" i="66"/>
  <c r="N30" i="67"/>
  <c r="W41" i="66" l="1"/>
  <c r="N44" i="67" s="1"/>
  <c r="N41" i="67"/>
</calcChain>
</file>

<file path=xl/comments1.xml><?xml version="1.0" encoding="utf-8"?>
<comments xmlns="http://schemas.openxmlformats.org/spreadsheetml/2006/main">
  <authors>
    <author>Kelly Xu</author>
  </authors>
  <commentList>
    <comment ref="B7" authorId="0">
      <text>
        <r>
          <rPr>
            <b/>
            <sz val="10"/>
            <color indexed="81"/>
            <rFont val="Tahoma"/>
            <family val="2"/>
          </rPr>
          <t xml:space="preserve">PSE:
</t>
        </r>
        <r>
          <rPr>
            <sz val="10"/>
            <color indexed="81"/>
            <rFont val="Tahoma"/>
            <family val="2"/>
          </rPr>
          <t>Business Objects Calendar Therms</t>
        </r>
      </text>
    </comment>
  </commentList>
</comments>
</file>

<file path=xl/sharedStrings.xml><?xml version="1.0" encoding="utf-8"?>
<sst xmlns="http://schemas.openxmlformats.org/spreadsheetml/2006/main" count="2221" uniqueCount="443">
  <si>
    <t>Puget Sound Energy</t>
  </si>
  <si>
    <t>Proposed</t>
  </si>
  <si>
    <t>Revenue</t>
  </si>
  <si>
    <t>Volume (Therms)</t>
  </si>
  <si>
    <t>Rate Class</t>
  </si>
  <si>
    <t>Current</t>
  </si>
  <si>
    <t>Total</t>
  </si>
  <si>
    <t>Residential</t>
  </si>
  <si>
    <t>Commercial &amp; Industrial</t>
  </si>
  <si>
    <t>Large Volume</t>
  </si>
  <si>
    <t>Interruptible</t>
  </si>
  <si>
    <t>Limited Interruptible</t>
  </si>
  <si>
    <t>Non-exclusive Interruptible</t>
  </si>
  <si>
    <t>Contracts</t>
  </si>
  <si>
    <t>Subtotal</t>
  </si>
  <si>
    <t>Forecasted</t>
  </si>
  <si>
    <t>Sched 140</t>
  </si>
  <si>
    <t>Rate</t>
  </si>
  <si>
    <t>Sched 101</t>
  </si>
  <si>
    <t>Sched 106</t>
  </si>
  <si>
    <t>Percent</t>
  </si>
  <si>
    <t>Schedule</t>
  </si>
  <si>
    <t>Rates</t>
  </si>
  <si>
    <t>Current Rates</t>
  </si>
  <si>
    <t>Change</t>
  </si>
  <si>
    <t>A</t>
  </si>
  <si>
    <t>B</t>
  </si>
  <si>
    <t>C</t>
  </si>
  <si>
    <t>D</t>
  </si>
  <si>
    <t>J</t>
  </si>
  <si>
    <t>23,53</t>
  </si>
  <si>
    <t>Residential Gas Lights</t>
  </si>
  <si>
    <t>Commercial &amp; Industrial Transportation</t>
  </si>
  <si>
    <t>31T</t>
  </si>
  <si>
    <t>Large Volume Transportation</t>
  </si>
  <si>
    <t>41T</t>
  </si>
  <si>
    <t>Interruptible Transportation</t>
  </si>
  <si>
    <t>85T</t>
  </si>
  <si>
    <t>Limited Interruptible Transportation</t>
  </si>
  <si>
    <t>86T</t>
  </si>
  <si>
    <t>Non-exclusive Interruptible Transportation</t>
  </si>
  <si>
    <t>87T</t>
  </si>
  <si>
    <t>By Customer Class</t>
  </si>
  <si>
    <t>Residential (16,23,53)</t>
  </si>
  <si>
    <t>Commercial &amp; industrial (31,31T)</t>
  </si>
  <si>
    <t>Large volume (41,41T)</t>
  </si>
  <si>
    <t>Interruptible (85,85T)</t>
  </si>
  <si>
    <t>Limited interruptible (86,86T)</t>
  </si>
  <si>
    <t>Non exclusive interruptible (87,87T)</t>
  </si>
  <si>
    <t>Check</t>
  </si>
  <si>
    <t>Sched 120</t>
  </si>
  <si>
    <t>K</t>
  </si>
  <si>
    <r>
      <t>Rates</t>
    </r>
    <r>
      <rPr>
        <vertAlign val="superscript"/>
        <sz val="11"/>
        <rFont val="Calibri"/>
        <family val="2"/>
      </rPr>
      <t xml:space="preserve"> (1)</t>
    </r>
  </si>
  <si>
    <t>Charges</t>
  </si>
  <si>
    <t>Volume (therms)</t>
  </si>
  <si>
    <t>Customer charge ($/month)</t>
  </si>
  <si>
    <t>Basic charge</t>
  </si>
  <si>
    <t>Volumetric charges ($/therm)</t>
  </si>
  <si>
    <t>Delivery charge (Schedule 23)</t>
  </si>
  <si>
    <t>Property tax charge (Schedule 140)</t>
  </si>
  <si>
    <t>Decoupling charge (Schedule 142)</t>
  </si>
  <si>
    <t>Low income charge (Schedule 129)</t>
  </si>
  <si>
    <t>CRM Charge (Schedule 149)</t>
  </si>
  <si>
    <t>Conservation charge (Schedule 120)</t>
  </si>
  <si>
    <t>Merger rate credit (Schedule 132)</t>
  </si>
  <si>
    <t>Cost of gas (Schedule 101)</t>
  </si>
  <si>
    <t>Deferral amortization (Schedule 106)</t>
  </si>
  <si>
    <t>Total volumetric charges</t>
  </si>
  <si>
    <t>Total monthly bill</t>
  </si>
  <si>
    <t>Change from bill under current rates</t>
  </si>
  <si>
    <t>Percent change from bill under current rates</t>
  </si>
  <si>
    <t>Total volumetric rates less gas costs</t>
  </si>
  <si>
    <t>Sch 142</t>
  </si>
  <si>
    <t xml:space="preserve">Proposed </t>
  </si>
  <si>
    <t>Decoupling</t>
  </si>
  <si>
    <t>23/53</t>
  </si>
  <si>
    <t>Commercial &amp; industrial</t>
  </si>
  <si>
    <t>Large volume</t>
  </si>
  <si>
    <t>Demand Charge</t>
  </si>
  <si>
    <t>Delivery Charge:</t>
  </si>
  <si>
    <t>901 to 5,000 therms</t>
  </si>
  <si>
    <t>Over 5,000 therms</t>
  </si>
  <si>
    <t>Large volume - Trans.</t>
  </si>
  <si>
    <t>Procurement Credit</t>
  </si>
  <si>
    <t>Large Volume Total</t>
  </si>
  <si>
    <t>41/41T</t>
  </si>
  <si>
    <t xml:space="preserve">Basic Service Charge </t>
  </si>
  <si>
    <t>Procurement Charge</t>
  </si>
  <si>
    <t>First 25,000 therms</t>
  </si>
  <si>
    <t>Next 25,000 therms</t>
  </si>
  <si>
    <t>Over 50,000 therms</t>
  </si>
  <si>
    <t>Interruptible - Trans.</t>
  </si>
  <si>
    <t>Interruptible Total</t>
  </si>
  <si>
    <t>85/85T</t>
  </si>
  <si>
    <t>First 1,000 therms</t>
  </si>
  <si>
    <t>Over 1,000 therms</t>
  </si>
  <si>
    <t>Limited Interruptible - Trans.</t>
  </si>
  <si>
    <t>Limited Interruptible Total</t>
  </si>
  <si>
    <t>86/86T</t>
  </si>
  <si>
    <t>Next 50,000 therms</t>
  </si>
  <si>
    <t>Next 100,000 therms</t>
  </si>
  <si>
    <t>Next 300,000 therms</t>
  </si>
  <si>
    <t>Over 500,000 therms</t>
  </si>
  <si>
    <t>Non-Exclusive Interruptible Total</t>
  </si>
  <si>
    <t>87/87T</t>
  </si>
  <si>
    <t>Firm Sales</t>
  </si>
  <si>
    <t>Interruptible Sales</t>
  </si>
  <si>
    <t>Total Sales</t>
  </si>
  <si>
    <t>Transport</t>
  </si>
  <si>
    <t>check</t>
  </si>
  <si>
    <t>Sched 149</t>
  </si>
  <si>
    <t>H</t>
  </si>
  <si>
    <t>L</t>
  </si>
  <si>
    <t>N</t>
  </si>
  <si>
    <t>Sched 132</t>
  </si>
  <si>
    <t>Sched 129</t>
  </si>
  <si>
    <t>Estimated</t>
  </si>
  <si>
    <t>Customer Class</t>
  </si>
  <si>
    <t>Transportation</t>
  </si>
  <si>
    <t>Gas Lighting</t>
  </si>
  <si>
    <t>Schedule 71 - Residential Water Heater Rental Service</t>
  </si>
  <si>
    <t xml:space="preserve">Standard Models </t>
  </si>
  <si>
    <t>71G-A</t>
  </si>
  <si>
    <t xml:space="preserve">Conservation Models </t>
  </si>
  <si>
    <t>71G-B</t>
  </si>
  <si>
    <t xml:space="preserve">Direct Vent Models </t>
  </si>
  <si>
    <t>71G-C</t>
  </si>
  <si>
    <t xml:space="preserve">High Recovery Models </t>
  </si>
  <si>
    <t>71G-D</t>
  </si>
  <si>
    <t xml:space="preserve">High Efficiency Standard (Energy Factor ≥.60)  </t>
  </si>
  <si>
    <t>71G-E</t>
  </si>
  <si>
    <t xml:space="preserve">High Efficiency Direct Vent (Energy Factor ≥.60) </t>
  </si>
  <si>
    <t>71G-F</t>
  </si>
  <si>
    <t xml:space="preserve">Total </t>
  </si>
  <si>
    <t>Schedule 72 - Large Volume Water Heater Rental Service</t>
  </si>
  <si>
    <t xml:space="preserve">25 - 40 gallon storage 30,000 to 50,000 </t>
  </si>
  <si>
    <t>72G-F</t>
  </si>
  <si>
    <t xml:space="preserve">45 - 55 gallon storage 70,000 to 79,000 </t>
  </si>
  <si>
    <t>72G-G</t>
  </si>
  <si>
    <t xml:space="preserve">45 - 55 gallon storage 51,000 to 75,000 </t>
  </si>
  <si>
    <t>72G-H</t>
  </si>
  <si>
    <t xml:space="preserve">50 - 65 gallon storage 60,000 to 69,000 </t>
  </si>
  <si>
    <t>72G-I</t>
  </si>
  <si>
    <t xml:space="preserve">60 - 84 gallon storage 70,000 to 129,000 </t>
  </si>
  <si>
    <t>72G-J</t>
  </si>
  <si>
    <t xml:space="preserve">75 - 90 gallon storage 130,000 to 169,000 </t>
  </si>
  <si>
    <t>72G-K</t>
  </si>
  <si>
    <t xml:space="preserve">75 - 100 gallon storage 170,000 to 200,000 </t>
  </si>
  <si>
    <t>72G-L</t>
  </si>
  <si>
    <t>Total Margin Revenue</t>
  </si>
  <si>
    <t>Schedule 74 - Gas Conversion Burner Rental Service</t>
  </si>
  <si>
    <t xml:space="preserve">45,000 to 400,000 Standard Models </t>
  </si>
  <si>
    <t>74G-A</t>
  </si>
  <si>
    <t xml:space="preserve">401,000 to 700,000 Standard Models </t>
  </si>
  <si>
    <t>74G-B</t>
  </si>
  <si>
    <t xml:space="preserve">701,000 to 1,300,000 Standard Models </t>
  </si>
  <si>
    <t>74G-C</t>
  </si>
  <si>
    <t xml:space="preserve">45,000 to 400,000 Conservation Models </t>
  </si>
  <si>
    <t>74G-D</t>
  </si>
  <si>
    <t>Total Rentals</t>
  </si>
  <si>
    <t>71/72/74</t>
  </si>
  <si>
    <t xml:space="preserve">Weather Normalized Bill Frequency </t>
  </si>
  <si>
    <t>Schedule Number</t>
  </si>
  <si>
    <t>41T-C</t>
  </si>
  <si>
    <t>First 900 therms</t>
  </si>
  <si>
    <t>Next 4,100 therms</t>
  </si>
  <si>
    <t>All over 5,000 therms</t>
  </si>
  <si>
    <t>41T-I</t>
  </si>
  <si>
    <t>85T-C</t>
  </si>
  <si>
    <t>All over 50,000 therms</t>
  </si>
  <si>
    <t>85T-I</t>
  </si>
  <si>
    <t>86TG-I</t>
  </si>
  <si>
    <t>All over 1,000 therms</t>
  </si>
  <si>
    <t>87T-C</t>
  </si>
  <si>
    <t>All over 500,000 therms</t>
  </si>
  <si>
    <t>87T-I</t>
  </si>
  <si>
    <t>41G-C2</t>
  </si>
  <si>
    <t xml:space="preserve">First 900 therms or less  </t>
  </si>
  <si>
    <t>41G-I2</t>
  </si>
  <si>
    <t>85G-C3</t>
  </si>
  <si>
    <t>85G-I3</t>
  </si>
  <si>
    <t>86G-C2</t>
  </si>
  <si>
    <t>86G-I2</t>
  </si>
  <si>
    <t>87G-C4</t>
  </si>
  <si>
    <t>87G-I4</t>
  </si>
  <si>
    <t xml:space="preserve">Weather Normalized Therms By Block </t>
  </si>
  <si>
    <t>41G</t>
  </si>
  <si>
    <t>85G</t>
  </si>
  <si>
    <t>86G</t>
  </si>
  <si>
    <t>87G</t>
  </si>
  <si>
    <t>12 MO Total</t>
  </si>
  <si>
    <t>Residential (16)</t>
  </si>
  <si>
    <t>Residential (23)</t>
  </si>
  <si>
    <t>Residential (53)</t>
  </si>
  <si>
    <t>Commercial &amp; industrial (31)</t>
  </si>
  <si>
    <t>Large volume (41)</t>
  </si>
  <si>
    <t>Transportation - large volume (41T)</t>
  </si>
  <si>
    <t>Transportation - general services (31T)</t>
  </si>
  <si>
    <t>Interruptible (85)</t>
  </si>
  <si>
    <t>Transportation - interruptible (85T)</t>
  </si>
  <si>
    <t>Limited interruptible (86)</t>
  </si>
  <si>
    <t>Transportation - limited interruptible (86T)</t>
  </si>
  <si>
    <t>Non exclusive interruptible (87)</t>
  </si>
  <si>
    <t>Transportation - non exclusive interrupt (87T)</t>
  </si>
  <si>
    <t>Demand</t>
  </si>
  <si>
    <t>12 MO total</t>
  </si>
  <si>
    <t>Basic Charge Counts</t>
  </si>
  <si>
    <t xml:space="preserve">Rate Plan </t>
  </si>
  <si>
    <t>at Existing Rates</t>
  </si>
  <si>
    <t>at Proposed Rates</t>
  </si>
  <si>
    <t>Changes</t>
  </si>
  <si>
    <t>Commercial &amp; industrial - Trans.</t>
  </si>
  <si>
    <t>ERF</t>
  </si>
  <si>
    <t>Description</t>
  </si>
  <si>
    <t>Schedule 23 Residential</t>
  </si>
  <si>
    <t>Schedule 53 Residential Propane</t>
  </si>
  <si>
    <t>Schedule 16 Gas Lights</t>
  </si>
  <si>
    <t>Schedule 31 Commercial &amp; Industrial - Sales</t>
  </si>
  <si>
    <t>Schedule 31 Commercial &amp; Industrial - Transportation</t>
  </si>
  <si>
    <t>Schedule 61 Standby &amp; Auxiliary Heating</t>
  </si>
  <si>
    <t>Schedule 41 Large Volume High Load Factor - Sales</t>
  </si>
  <si>
    <t>Schedule 41 Large Volume High Load Factor - Transportation</t>
  </si>
  <si>
    <t>Schedule 85 Interruptible - Sales</t>
  </si>
  <si>
    <t>First 25,000 Therms</t>
  </si>
  <si>
    <t>Next 25,000 Therms</t>
  </si>
  <si>
    <t>All over 50,000 Therms</t>
  </si>
  <si>
    <t>Schedule 85 Interruptible - Transportation</t>
  </si>
  <si>
    <t>Next 50,000 Therms</t>
  </si>
  <si>
    <t>Schedule 86 Limited Interruptible - Sales</t>
  </si>
  <si>
    <t>Schedule 86 Limited Interruptible - Transportation</t>
  </si>
  <si>
    <t>Schedule 87 Non-exclusive Interruptible - Sales</t>
  </si>
  <si>
    <t>Schedule 87 Non-exclusive Interruptible - Transportation</t>
  </si>
  <si>
    <t>Schedule 141</t>
  </si>
  <si>
    <t>Units</t>
  </si>
  <si>
    <t>Basic Charge</t>
  </si>
  <si>
    <t>Bills</t>
  </si>
  <si>
    <t>Delivery Charge</t>
  </si>
  <si>
    <t>Therms</t>
  </si>
  <si>
    <t>Mantles</t>
  </si>
  <si>
    <t>Minimum Bill</t>
  </si>
  <si>
    <t>Minimum Bills</t>
  </si>
  <si>
    <t xml:space="preserve">check </t>
  </si>
  <si>
    <t>therms</t>
  </si>
  <si>
    <t>Delivery</t>
  </si>
  <si>
    <t>Revenue Change</t>
  </si>
  <si>
    <t>Revenue Changes</t>
  </si>
  <si>
    <t xml:space="preserve">Rate </t>
  </si>
  <si>
    <t>Decoupling Revenue</t>
  </si>
  <si>
    <t>Rate Plan Revenue</t>
  </si>
  <si>
    <t>31, 31T</t>
  </si>
  <si>
    <t>41, 41T</t>
  </si>
  <si>
    <t>86, 86T</t>
  </si>
  <si>
    <t>87, 87T</t>
  </si>
  <si>
    <t>85, 85T</t>
  </si>
  <si>
    <t>23, 16,53</t>
  </si>
  <si>
    <t>I</t>
  </si>
  <si>
    <t>M</t>
  </si>
  <si>
    <t>O</t>
  </si>
  <si>
    <t>P</t>
  </si>
  <si>
    <t>SC</t>
  </si>
  <si>
    <t>Proposed Rates</t>
  </si>
  <si>
    <t>E</t>
  </si>
  <si>
    <t>F</t>
  </si>
  <si>
    <t>G</t>
  </si>
  <si>
    <t>Rate Sch.</t>
  </si>
  <si>
    <t>Residential lamps</t>
  </si>
  <si>
    <t>Propane</t>
  </si>
  <si>
    <t>General service - commercial</t>
  </si>
  <si>
    <t>Large volume - commercial</t>
  </si>
  <si>
    <t>Interruptible with firm option - com</t>
  </si>
  <si>
    <t>Limited interrupt w/ firm option - com</t>
  </si>
  <si>
    <t>Non-exclus interrupt/firm option - com</t>
  </si>
  <si>
    <t>General service - industrial</t>
  </si>
  <si>
    <t>Large volume - industrial</t>
  </si>
  <si>
    <t>Interruptible with firm option - ind</t>
  </si>
  <si>
    <t>Limited interrupt w/ firm option - ind</t>
  </si>
  <si>
    <t>Non-excl interrupt w/ firm option - ind</t>
  </si>
  <si>
    <t>Trans.  - commercial</t>
  </si>
  <si>
    <t>Trans. large volume - commercial</t>
  </si>
  <si>
    <t>Trans. interrupt with firm option - com</t>
  </si>
  <si>
    <t>Trans. non-exclus inter w/ firm option - com</t>
  </si>
  <si>
    <t>Trans. large volume - industrial</t>
  </si>
  <si>
    <t>Trans. interrupt with firm option - ind</t>
  </si>
  <si>
    <t>Trans. limited interrupt w/ firm option - ind</t>
  </si>
  <si>
    <t>Trans. non-exclus inter w/ firm option - ind</t>
  </si>
  <si>
    <t>Special contracts - ind</t>
  </si>
  <si>
    <t>Total sales &amp; transportation volume</t>
  </si>
  <si>
    <t>Subtotal transportation</t>
  </si>
  <si>
    <t>Customer Counts</t>
  </si>
  <si>
    <t xml:space="preserve">General service - commercial </t>
  </si>
  <si>
    <t xml:space="preserve">Large volume - commercial </t>
  </si>
  <si>
    <t>Non-excl interrupt w/ firm option - com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</si>
  <si>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</si>
  <si>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</si>
  <si>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</si>
  <si>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</si>
  <si>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</si>
  <si>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</si>
  <si>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</si>
  <si>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</si>
  <si>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</si>
  <si>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</si>
  <si>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</si>
  <si>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</si>
  <si>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</si>
  <si>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Firm</t>
  </si>
  <si>
    <t>Weather Adjustment to Volume - System Level Analysis Spread to Rate Classes (Therms)</t>
  </si>
  <si>
    <t>Weather Normalized Volume - System Level Analysis (Therms)</t>
  </si>
  <si>
    <t>Residential lights</t>
  </si>
  <si>
    <t>Trans. - commercial</t>
  </si>
  <si>
    <t>Total other volume</t>
  </si>
  <si>
    <t>Total weather normalized volume</t>
  </si>
  <si>
    <t>Weather Adjustment by Rate Class (Therms)</t>
  </si>
  <si>
    <t>Residential (23,53)</t>
  </si>
  <si>
    <t>Standby &amp; auxiliary heating (61)</t>
  </si>
  <si>
    <t>Trans. General services (31T)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</si>
  <si>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</si>
  <si>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</si>
  <si>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</si>
  <si>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</si>
  <si>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</si>
  <si>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</si>
  <si>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</si>
  <si>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</si>
  <si>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</si>
  <si>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</si>
  <si>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</si>
  <si>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</si>
  <si>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</si>
  <si>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</si>
  <si>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</si>
  <si>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</si>
  <si>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</si>
  <si>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</si>
  <si>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</si>
  <si>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</si>
  <si>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Effective December 19, 2017</t>
  </si>
  <si>
    <t>Conservation Program Tracker (Schedule 120)</t>
  </si>
  <si>
    <t>Low Income Program (Schedule 129)</t>
  </si>
  <si>
    <t>Merger Rate Credit (Schedule 132)</t>
  </si>
  <si>
    <t>Rentals</t>
  </si>
  <si>
    <t>Property Tax Tracker Revenue (Schedule 140)</t>
  </si>
  <si>
    <t>Cost Recovery Mechanism (Schedule 149)</t>
  </si>
  <si>
    <t>Revenue Decoupling Adjustment Mechanism (Schedule 142) Rate Plan</t>
  </si>
  <si>
    <t>Revenue Decoupling Adjustment Mechanism (Schedule 142) Decoupling</t>
  </si>
  <si>
    <t>Sched 142</t>
  </si>
  <si>
    <r>
      <t>ERF</t>
    </r>
    <r>
      <rPr>
        <sz val="11"/>
        <rFont val="Calibri"/>
        <family val="2"/>
        <scheme val="minor"/>
      </rPr>
      <t xml:space="preserve"> adjusting charge (Schedule 141)</t>
    </r>
  </si>
  <si>
    <t>Sched 141</t>
  </si>
  <si>
    <t>2018 Expedited Rate Filing (Schedule 141)</t>
  </si>
  <si>
    <t>Calendarized Volume (Therms)</t>
  </si>
  <si>
    <t>Standby &amp; auxiliary heating - res</t>
  </si>
  <si>
    <t>Standby &amp; auxiliary heating - com</t>
  </si>
  <si>
    <t>Standby &amp; auxiliary heating - ind</t>
  </si>
  <si>
    <t>Standby service (61)</t>
  </si>
  <si>
    <t>Emergency Compressed Nature Gas Service</t>
  </si>
  <si>
    <t>In Minimum Bills</t>
  </si>
  <si>
    <t>Effective October 4, 2018</t>
  </si>
  <si>
    <t>Sched 141X</t>
  </si>
  <si>
    <t>EDIT adjusting charge (Schedule 141X)</t>
  </si>
  <si>
    <t>Rate Change Impacts by Rate Schedule</t>
  </si>
  <si>
    <t>Margin</t>
  </si>
  <si>
    <t>EDIT</t>
  </si>
  <si>
    <r>
      <t>Revenue</t>
    </r>
    <r>
      <rPr>
        <vertAlign val="superscript"/>
        <sz val="11"/>
        <color theme="1"/>
        <rFont val="Calibri"/>
        <family val="2"/>
      </rPr>
      <t xml:space="preserve"> (1)</t>
    </r>
  </si>
  <si>
    <t>May 19 - Apr 20</t>
  </si>
  <si>
    <t xml:space="preserve">F </t>
  </si>
  <si>
    <r>
      <t>Rentals</t>
    </r>
    <r>
      <rPr>
        <vertAlign val="superscript"/>
        <sz val="11"/>
        <rFont val="Calibri"/>
        <family val="2"/>
      </rPr>
      <t>(2)</t>
    </r>
  </si>
  <si>
    <t>2018 Expedited Rate Filing (Schedule 141X)</t>
  </si>
  <si>
    <t>Schedule 141X</t>
  </si>
  <si>
    <t>Effective January 1, 2019</t>
  </si>
  <si>
    <t>Purchased Gas Adjustment - Deferred Account Adjustment (Schedules 106 &amp; 106-A)</t>
  </si>
  <si>
    <t xml:space="preserve"> % Change</t>
  </si>
  <si>
    <t>% Change</t>
  </si>
  <si>
    <t>Total Rate Change</t>
  </si>
  <si>
    <t>Sched 141Y</t>
  </si>
  <si>
    <t>Tax Reform Credit (Schedule 141Y)</t>
  </si>
  <si>
    <t>Average Rate</t>
  </si>
  <si>
    <t>Per Therm</t>
  </si>
  <si>
    <t>Revenue at</t>
  </si>
  <si>
    <t xml:space="preserve">Revenue at </t>
  </si>
  <si>
    <t>Current Rates (1)</t>
  </si>
  <si>
    <t>May 19- Apr 20</t>
  </si>
  <si>
    <t>Total Including Rentals</t>
  </si>
  <si>
    <t>Per Unit</t>
  </si>
  <si>
    <t>E = D/C</t>
  </si>
  <si>
    <t>G = F/C</t>
  </si>
  <si>
    <t>I = H/C</t>
  </si>
  <si>
    <t>K = J/C</t>
  </si>
  <si>
    <t>H = G/F</t>
  </si>
  <si>
    <t>I = (G-D)/D</t>
  </si>
  <si>
    <t>Federal Tax Reform Credit Revenue (Schedule 141Y)</t>
  </si>
  <si>
    <t>Effective May 1, 2019</t>
  </si>
  <si>
    <t>Source: Pro forma Revenue File</t>
  </si>
  <si>
    <t>Normalized Therms</t>
  </si>
  <si>
    <t>Normalized</t>
  </si>
  <si>
    <t>Jan 18 - Dec 18</t>
  </si>
  <si>
    <t>2019 Gas General Rate Case Filing</t>
  </si>
  <si>
    <r>
      <rPr>
        <vertAlign val="superscript"/>
        <sz val="11"/>
        <color theme="1"/>
        <rFont val="Calibri"/>
        <family val="2"/>
      </rPr>
      <t xml:space="preserve">(2) </t>
    </r>
    <r>
      <rPr>
        <sz val="11"/>
        <color theme="1"/>
        <rFont val="Calibri"/>
        <family val="2"/>
        <scheme val="minor"/>
      </rPr>
      <t>Annual rental counts for the 12 months ending December 31, 2018</t>
    </r>
  </si>
  <si>
    <t>Q = P / O</t>
  </si>
  <si>
    <r>
      <rPr>
        <vertAlign val="superscript"/>
        <sz val="11"/>
        <color theme="1"/>
        <rFont val="Calibri"/>
        <family val="2"/>
      </rPr>
      <t xml:space="preserve">(3) </t>
    </r>
    <r>
      <rPr>
        <sz val="11"/>
        <color theme="1"/>
        <rFont val="Calibri"/>
        <family val="2"/>
        <scheme val="minor"/>
      </rPr>
      <t>Revenues at rates effective May 1, 2019</t>
    </r>
  </si>
  <si>
    <t>Rate Change Impacts by Rate Schedule of Proposed Rates</t>
  </si>
  <si>
    <t>Typical Residential Bill Impacts of Proposed Rates</t>
  </si>
  <si>
    <r>
      <rPr>
        <vertAlign val="superscript"/>
        <sz val="11"/>
        <rFont val="Calibri"/>
        <family val="2"/>
      </rPr>
      <t xml:space="preserve">(1) </t>
    </r>
    <r>
      <rPr>
        <sz val="11"/>
        <rFont val="Calibri"/>
        <family val="2"/>
        <scheme val="minor"/>
      </rPr>
      <t>Rates for Schedule 23 customers in effect May 1, 2019</t>
    </r>
  </si>
  <si>
    <t>Base Rate Change</t>
  </si>
  <si>
    <t>Schedule 141 Rate Change</t>
  </si>
  <si>
    <t>Schedule 149 Rate Change</t>
  </si>
  <si>
    <t>12ME Dec 2018</t>
  </si>
  <si>
    <t>Total Normalized</t>
  </si>
  <si>
    <r>
      <t>Revenue</t>
    </r>
    <r>
      <rPr>
        <vertAlign val="superscript"/>
        <sz val="11"/>
        <color theme="1"/>
        <rFont val="Calibri"/>
        <family val="2"/>
      </rPr>
      <t xml:space="preserve"> (3)</t>
    </r>
  </si>
  <si>
    <t>January 2018 - December 2018</t>
  </si>
  <si>
    <t xml:space="preserve">Actual Calendar Therms By Block </t>
  </si>
  <si>
    <t xml:space="preserve"> Gas Weather Normalization of Volume</t>
  </si>
  <si>
    <t>12 Months Ended December 31, 2018</t>
  </si>
  <si>
    <t>Trans.  - industrial</t>
  </si>
  <si>
    <t>Trans. limited interrupt w/ firm option - com</t>
  </si>
  <si>
    <t>Trans. General service - industrial</t>
  </si>
  <si>
    <t>Compressed natural gas (50)</t>
  </si>
  <si>
    <t>Demand Units (Therms)</t>
  </si>
  <si>
    <t>Rental Counts</t>
  </si>
  <si>
    <t>Base Rate Impacts</t>
  </si>
  <si>
    <t>Base Rate</t>
  </si>
  <si>
    <t>Sch. 141</t>
  </si>
  <si>
    <t>Sch. 141X</t>
  </si>
  <si>
    <t>Schedule 149 CRM Rate Impacts</t>
  </si>
  <si>
    <t>Schedule 141X Excess Deferred Income Taxes (EDIT) Rate Impacts</t>
  </si>
  <si>
    <t>Schedule 141 Expedited Rate Filing (ERF) Rate Impacts</t>
  </si>
  <si>
    <t>Sch. 149</t>
  </si>
  <si>
    <t>Base</t>
  </si>
  <si>
    <t>CRM</t>
  </si>
  <si>
    <t>(1) Rates effective May 1, 2019</t>
  </si>
  <si>
    <t>Schedule 141X Rate Change</t>
  </si>
  <si>
    <t>Test Year</t>
  </si>
  <si>
    <t>Average Rate Per Therm</t>
  </si>
  <si>
    <t>Combined Impacts</t>
  </si>
  <si>
    <t>Net</t>
  </si>
  <si>
    <t>Rider</t>
  </si>
  <si>
    <t>Non-exclusive Interruptible Trans.</t>
  </si>
  <si>
    <t>Commercial &amp; Industrial Trans.</t>
  </si>
  <si>
    <t>M = L/C</t>
  </si>
  <si>
    <t>L = F + H + J</t>
  </si>
  <si>
    <t>N = C+D+F+H+J</t>
  </si>
  <si>
    <t>O = N - C</t>
  </si>
  <si>
    <t>P = O/C</t>
  </si>
  <si>
    <r>
      <rPr>
        <vertAlign val="superscript"/>
        <sz val="11"/>
        <color theme="1"/>
        <rFont val="Calibri"/>
        <family val="2"/>
      </rPr>
      <t xml:space="preserve">(1) </t>
    </r>
    <r>
      <rPr>
        <sz val="11"/>
        <color theme="1"/>
        <rFont val="Calibri"/>
        <family val="2"/>
        <scheme val="minor"/>
      </rPr>
      <t>Pro forma margin revenue for the 12 months ending December 31, 2018 from exhibit JAP-4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</si>
</sst>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&quot;$&quot;* #,##0.00000_);_(&quot;$&quot;* \(#,##0.00000\);_(&quot;$&quot;* &quot;-&quot;??_);_(@_)"/>
    <numFmt numFmtId="166" formatCode="_(&quot;$&quot;* #,##0.00000_);_(&quot;$&quot;* \(#,##0.00000\);_(&quot;$&quot;* &quot;-&quot;?????_);_(@_)"/>
    <numFmt numFmtId="167" formatCode="_(&quot;$&quot;* #,##0.00_);_(&quot;$&quot;* \(#,##0.00\);_(&quot;$&quot;* &quot;-&quot;?????_);_(@_)"/>
    <numFmt numFmtId="168" formatCode="_(* #,##0_);_(* \(#,##0\);_(* &quot;-&quot;??_);_(@_)"/>
    <numFmt numFmtId="169" formatCode="_(&quot;$&quot;* #,##0_);_(&quot;$&quot;* \(#,##0\);_(&quot;$&quot;* &quot;-&quot;??_);_(@_)"/>
    <numFmt numFmtId="170" formatCode="0.000000"/>
    <numFmt numFmtId="171" formatCode="[$-409]mmm\-yy;@"/>
    <numFmt numFmtId="172" formatCode="_(&quot;$&quot;* #,##0.00_);_(&quot;$&quot;* \(#,##0.00\);_(&quot;$&quot;* &quot;-&quot;_);_(@_)"/>
    <numFmt numFmtId="173" formatCode="_(&quot;$&quot;* #,##0.000_);_(&quot;$&quot;* \(#,##0.000\);_(&quot;$&quot;* &quot;-&quot;_);_(@_)"/>
    <numFmt numFmtId="174" formatCode="&quot;$&quot;#,##0.00000_);[Red]\(&quot;$&quot;#,##0.00000\)"/>
    <numFmt numFmtId="175" formatCode="0.0000"/>
    <numFmt numFmtId="176" formatCode="0.00000"/>
    <numFmt numFmtId="177" formatCode="_(&quot;$&quot;* #,##0_);_(&quot;$&quot;* \(#,##0\);_(&quot;$&quot;* &quot;-&quot;?????_);_(@_)"/>
    <numFmt numFmtId="178" formatCode="_(* #,##0.000000_);_(* \(#,##0.000000\);_(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80"/>
      <name val="Calibri"/>
      <family val="2"/>
      <scheme val="minor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indexed="21"/>
      <name val="Calibri"/>
      <family val="2"/>
    </font>
    <font>
      <sz val="11"/>
      <color rgb="FF0000FF"/>
      <name val="Calibri"/>
      <family val="2"/>
    </font>
    <font>
      <b/>
      <sz val="11"/>
      <name val="Calibri"/>
      <family val="2"/>
    </font>
    <font>
      <b/>
      <sz val="10"/>
      <name val="Arial"/>
      <family val="2"/>
    </font>
    <font>
      <sz val="10"/>
      <color indexed="12"/>
      <name val="Arial"/>
      <family val="2"/>
    </font>
    <font>
      <sz val="11"/>
      <color theme="1"/>
      <name val="Calibri"/>
      <family val="2"/>
    </font>
    <font>
      <sz val="10"/>
      <color indexed="10"/>
      <name val="Arial"/>
      <family val="2"/>
    </font>
    <font>
      <vertAlign val="superscript"/>
      <sz val="11"/>
      <name val="Calibri"/>
      <family val="2"/>
    </font>
    <font>
      <sz val="11"/>
      <color indexed="12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008080"/>
      <name val="Arial"/>
      <family val="2"/>
    </font>
    <font>
      <sz val="11"/>
      <color rgb="FFFF0000"/>
      <name val="Calibri"/>
      <family val="2"/>
    </font>
    <font>
      <sz val="11"/>
      <color indexed="12"/>
      <name val="Calibri"/>
      <family val="2"/>
    </font>
    <font>
      <sz val="10"/>
      <name val="Arial"/>
      <family val="2"/>
    </font>
    <font>
      <sz val="10"/>
      <color indexed="21"/>
      <name val="Arial"/>
      <family val="2"/>
    </font>
    <font>
      <b/>
      <sz val="11"/>
      <name val="Calibri"/>
      <family val="2"/>
      <scheme val="minor"/>
    </font>
    <font>
      <sz val="11"/>
      <color rgb="FF008080"/>
      <name val="Calibri"/>
      <family val="2"/>
    </font>
    <font>
      <sz val="9"/>
      <color theme="1"/>
      <name val="Arial"/>
      <family val="2"/>
    </font>
    <font>
      <sz val="10"/>
      <color rgb="FFFF0000"/>
      <name val="Arial"/>
      <family val="2"/>
    </font>
    <font>
      <sz val="10"/>
      <color theme="8" tint="-0.249977111117893"/>
      <name val="Arial"/>
      <family val="2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indexed="81"/>
      <name val="Tahoma"/>
      <family val="2"/>
    </font>
    <font>
      <sz val="10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CECEC"/>
      </left>
      <right/>
      <top/>
      <bottom style="thin">
        <color indexed="64"/>
      </bottom>
      <diagonal/>
    </border>
    <border>
      <left style="medium">
        <color rgb="FFECECEC"/>
      </left>
      <right style="medium">
        <color rgb="FFECECEC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8">
    <xf numFmtId="0" fontId="0" fillId="0" borderId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34" fillId="0" borderId="0"/>
    <xf numFmtId="9" fontId="1" fillId="0" borderId="0" applyFont="0" applyFill="0" applyBorder="0" applyAlignment="0" applyProtection="0"/>
  </cellStyleXfs>
  <cellXfs count="404">
    <xf numFmtId="0" fontId="0" fillId="0" borderId="0" xfId="0"/>
    <xf numFmtId="0" fontId="0" fillId="0" borderId="0" xfId="0" applyFont="1"/>
    <xf numFmtId="164" fontId="0" fillId="0" borderId="0" xfId="0" applyNumberFormat="1" applyFont="1"/>
    <xf numFmtId="164" fontId="0" fillId="0" borderId="2" xfId="0" applyNumberFormat="1" applyFont="1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42" fontId="0" fillId="0" borderId="0" xfId="0" applyNumberFormat="1" applyBorder="1" applyAlignment="1">
      <alignment horizontal="center"/>
    </xf>
    <xf numFmtId="0" fontId="0" fillId="0" borderId="0" xfId="0" applyAlignment="1">
      <alignment horizontal="left"/>
    </xf>
    <xf numFmtId="165" fontId="0" fillId="0" borderId="0" xfId="0" applyNumberFormat="1"/>
    <xf numFmtId="165" fontId="2" fillId="0" borderId="0" xfId="0" applyNumberFormat="1" applyFont="1"/>
    <xf numFmtId="165" fontId="2" fillId="0" borderId="0" xfId="0" applyNumberFormat="1" applyFont="1" applyFill="1"/>
    <xf numFmtId="42" fontId="0" fillId="0" borderId="0" xfId="0" applyNumberFormat="1"/>
    <xf numFmtId="165" fontId="4" fillId="0" borderId="0" xfId="0" applyNumberFormat="1" applyFont="1"/>
    <xf numFmtId="165" fontId="2" fillId="0" borderId="1" xfId="0" applyNumberFormat="1" applyFont="1" applyBorder="1"/>
    <xf numFmtId="3" fontId="0" fillId="0" borderId="2" xfId="0" applyNumberFormat="1" applyBorder="1"/>
    <xf numFmtId="42" fontId="0" fillId="0" borderId="2" xfId="0" applyNumberFormat="1" applyBorder="1"/>
    <xf numFmtId="0" fontId="7" fillId="0" borderId="0" xfId="0" applyFont="1" applyBorder="1" applyAlignment="1">
      <alignment horizontal="left"/>
    </xf>
    <xf numFmtId="3" fontId="7" fillId="0" borderId="0" xfId="0" applyNumberFormat="1" applyFont="1" applyFill="1" applyBorder="1"/>
    <xf numFmtId="42" fontId="7" fillId="0" borderId="0" xfId="0" applyNumberFormat="1" applyFont="1" applyFill="1" applyBorder="1"/>
    <xf numFmtId="166" fontId="7" fillId="0" borderId="0" xfId="0" applyNumberFormat="1" applyFont="1" applyFill="1" applyBorder="1"/>
    <xf numFmtId="166" fontId="7" fillId="0" borderId="0" xfId="0" applyNumberFormat="1" applyFont="1" applyFill="1"/>
    <xf numFmtId="166" fontId="8" fillId="0" borderId="0" xfId="0" applyNumberFormat="1" applyFont="1"/>
    <xf numFmtId="164" fontId="7" fillId="0" borderId="0" xfId="0" applyNumberFormat="1" applyFont="1"/>
    <xf numFmtId="0" fontId="7" fillId="0" borderId="0" xfId="0" applyFont="1"/>
    <xf numFmtId="37" fontId="7" fillId="0" borderId="0" xfId="0" applyNumberFormat="1" applyFont="1"/>
    <xf numFmtId="167" fontId="9" fillId="0" borderId="0" xfId="0" applyNumberFormat="1" applyFont="1" applyFill="1" applyBorder="1"/>
    <xf numFmtId="10" fontId="7" fillId="0" borderId="0" xfId="0" applyNumberFormat="1" applyFont="1"/>
    <xf numFmtId="37" fontId="7" fillId="0" borderId="0" xfId="0" applyNumberFormat="1" applyFont="1" applyFill="1"/>
    <xf numFmtId="0" fontId="7" fillId="0" borderId="0" xfId="0" applyFont="1" applyAlignment="1">
      <alignment horizontal="left"/>
    </xf>
    <xf numFmtId="42" fontId="7" fillId="0" borderId="2" xfId="0" applyNumberFormat="1" applyFont="1" applyFill="1" applyBorder="1"/>
    <xf numFmtId="0" fontId="7" fillId="0" borderId="0" xfId="0" applyFont="1" applyFill="1"/>
    <xf numFmtId="3" fontId="0" fillId="0" borderId="0" xfId="0" applyNumberFormat="1"/>
    <xf numFmtId="0" fontId="10" fillId="0" borderId="0" xfId="0" applyFont="1" applyAlignment="1">
      <alignment horizontal="left"/>
    </xf>
    <xf numFmtId="42" fontId="7" fillId="0" borderId="0" xfId="0" applyNumberFormat="1" applyFont="1"/>
    <xf numFmtId="169" fontId="7" fillId="0" borderId="0" xfId="0" applyNumberFormat="1" applyFont="1" applyFill="1"/>
    <xf numFmtId="0" fontId="7" fillId="0" borderId="0" xfId="0" applyFont="1" applyFill="1" applyBorder="1" applyAlignment="1">
      <alignment horizontal="left" vertical="center" textRotation="180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7" fillId="0" borderId="0" xfId="0" applyFont="1" applyBorder="1"/>
    <xf numFmtId="0" fontId="7" fillId="0" borderId="2" xfId="0" applyFont="1" applyBorder="1" applyAlignment="1">
      <alignment horizontal="left"/>
    </xf>
    <xf numFmtId="169" fontId="7" fillId="0" borderId="2" xfId="0" applyNumberFormat="1" applyFont="1" applyFill="1" applyBorder="1"/>
    <xf numFmtId="44" fontId="7" fillId="0" borderId="0" xfId="0" applyNumberFormat="1" applyFont="1"/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6" fillId="0" borderId="0" xfId="0" applyFont="1"/>
    <xf numFmtId="172" fontId="4" fillId="0" borderId="0" xfId="0" applyNumberFormat="1" applyFont="1"/>
    <xf numFmtId="0" fontId="16" fillId="0" borderId="0" xfId="0" applyFont="1" applyBorder="1"/>
    <xf numFmtId="44" fontId="16" fillId="0" borderId="0" xfId="0" applyNumberFormat="1" applyFont="1"/>
    <xf numFmtId="44" fontId="16" fillId="0" borderId="0" xfId="0" applyNumberFormat="1" applyFont="1" applyBorder="1"/>
    <xf numFmtId="44" fontId="4" fillId="0" borderId="0" xfId="0" applyNumberFormat="1" applyFont="1"/>
    <xf numFmtId="166" fontId="16" fillId="0" borderId="0" xfId="0" applyNumberFormat="1" applyFont="1" applyBorder="1"/>
    <xf numFmtId="166" fontId="4" fillId="0" borderId="0" xfId="0" applyNumberFormat="1" applyFont="1"/>
    <xf numFmtId="166" fontId="4" fillId="0" borderId="2" xfId="0" applyNumberFormat="1" applyFont="1" applyBorder="1"/>
    <xf numFmtId="172" fontId="4" fillId="0" borderId="2" xfId="0" applyNumberFormat="1" applyFont="1" applyBorder="1"/>
    <xf numFmtId="166" fontId="4" fillId="0" borderId="0" xfId="0" applyNumberFormat="1" applyFont="1" applyBorder="1"/>
    <xf numFmtId="44" fontId="4" fillId="0" borderId="0" xfId="0" applyNumberFormat="1" applyFont="1" applyBorder="1"/>
    <xf numFmtId="164" fontId="4" fillId="0" borderId="0" xfId="0" applyNumberFormat="1" applyFont="1"/>
    <xf numFmtId="164" fontId="4" fillId="0" borderId="0" xfId="0" applyNumberFormat="1" applyFont="1" applyBorder="1"/>
    <xf numFmtId="0" fontId="4" fillId="0" borderId="0" xfId="0" applyFont="1" applyFill="1" applyAlignment="1"/>
    <xf numFmtId="0" fontId="4" fillId="0" borderId="0" xfId="0" applyFont="1" applyAlignment="1"/>
    <xf numFmtId="0" fontId="13" fillId="0" borderId="0" xfId="0" applyFont="1" applyAlignment="1">
      <alignment horizontal="centerContinuous"/>
    </xf>
    <xf numFmtId="0" fontId="13" fillId="0" borderId="0" xfId="0" applyFont="1"/>
    <xf numFmtId="3" fontId="13" fillId="0" borderId="0" xfId="0" applyNumberFormat="1" applyFont="1"/>
    <xf numFmtId="0" fontId="13" fillId="0" borderId="1" xfId="0" applyFont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3" fontId="13" fillId="0" borderId="2" xfId="0" applyNumberFormat="1" applyFont="1" applyBorder="1"/>
    <xf numFmtId="0" fontId="21" fillId="0" borderId="0" xfId="0" applyFont="1" applyAlignment="1">
      <alignment horizontal="left"/>
    </xf>
    <xf numFmtId="168" fontId="21" fillId="0" borderId="0" xfId="0" applyNumberFormat="1" applyFont="1"/>
    <xf numFmtId="171" fontId="0" fillId="0" borderId="1" xfId="0" applyNumberFormat="1" applyBorder="1"/>
    <xf numFmtId="166" fontId="22" fillId="0" borderId="0" xfId="0" applyNumberFormat="1" applyFont="1"/>
    <xf numFmtId="166" fontId="22" fillId="0" borderId="0" xfId="0" applyNumberFormat="1" applyFont="1" applyFill="1"/>
    <xf numFmtId="166" fontId="16" fillId="0" borderId="0" xfId="0" applyNumberFormat="1" applyFont="1" applyFill="1"/>
    <xf numFmtId="0" fontId="23" fillId="0" borderId="0" xfId="0" applyFont="1" applyAlignment="1">
      <alignment horizontal="centerContinuous"/>
    </xf>
    <xf numFmtId="0" fontId="23" fillId="0" borderId="0" xfId="0" applyFont="1"/>
    <xf numFmtId="0" fontId="2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169" fontId="0" fillId="0" borderId="0" xfId="0" applyNumberFormat="1" applyFont="1"/>
    <xf numFmtId="3" fontId="23" fillId="0" borderId="0" xfId="0" applyNumberFormat="1" applyFont="1"/>
    <xf numFmtId="3" fontId="24" fillId="0" borderId="0" xfId="0" applyNumberFormat="1" applyFont="1"/>
    <xf numFmtId="3" fontId="23" fillId="0" borderId="0" xfId="0" applyNumberFormat="1" applyFont="1" applyFill="1"/>
    <xf numFmtId="169" fontId="24" fillId="0" borderId="0" xfId="0" applyNumberFormat="1" applyFont="1"/>
    <xf numFmtId="173" fontId="23" fillId="0" borderId="0" xfId="0" applyNumberFormat="1" applyFont="1"/>
    <xf numFmtId="43" fontId="23" fillId="0" borderId="0" xfId="0" applyNumberFormat="1" applyFont="1"/>
    <xf numFmtId="8" fontId="23" fillId="0" borderId="0" xfId="0" applyNumberFormat="1" applyFont="1"/>
    <xf numFmtId="3" fontId="24" fillId="0" borderId="0" xfId="0" applyNumberFormat="1" applyFont="1" applyFill="1"/>
    <xf numFmtId="174" fontId="23" fillId="0" borderId="0" xfId="0" applyNumberFormat="1" applyFont="1"/>
    <xf numFmtId="3" fontId="23" fillId="0" borderId="1" xfId="0" applyNumberFormat="1" applyFont="1" applyBorder="1"/>
    <xf numFmtId="169" fontId="0" fillId="0" borderId="1" xfId="0" applyNumberFormat="1" applyFont="1" applyBorder="1"/>
    <xf numFmtId="0" fontId="23" fillId="0" borderId="0" xfId="0" applyFont="1" applyBorder="1"/>
    <xf numFmtId="3" fontId="23" fillId="0" borderId="2" xfId="0" applyNumberFormat="1" applyFont="1" applyBorder="1"/>
    <xf numFmtId="42" fontId="23" fillId="0" borderId="2" xfId="0" applyNumberFormat="1" applyFont="1" applyBorder="1"/>
    <xf numFmtId="0" fontId="23" fillId="0" borderId="0" xfId="0" applyFont="1" applyFill="1" applyBorder="1"/>
    <xf numFmtId="169" fontId="23" fillId="0" borderId="0" xfId="0" applyNumberFormat="1" applyFont="1" applyBorder="1"/>
    <xf numFmtId="0" fontId="23" fillId="0" borderId="0" xfId="0" quotePrefix="1" applyFont="1" applyAlignment="1">
      <alignment vertical="top"/>
    </xf>
    <xf numFmtId="0" fontId="14" fillId="0" borderId="0" xfId="0" applyFont="1"/>
    <xf numFmtId="0" fontId="23" fillId="0" borderId="0" xfId="0" applyFont="1" applyFill="1" applyBorder="1"/>
    <xf numFmtId="41" fontId="23" fillId="0" borderId="0" xfId="0" quotePrefix="1" applyNumberFormat="1" applyFont="1" applyAlignment="1">
      <alignment horizontal="right"/>
    </xf>
    <xf numFmtId="0" fontId="23" fillId="0" borderId="0" xfId="0" applyFont="1" applyFill="1" applyBorder="1" applyAlignment="1">
      <alignment horizontal="left"/>
    </xf>
    <xf numFmtId="3" fontId="23" fillId="0" borderId="0" xfId="0" applyNumberFormat="1" applyFont="1" applyFill="1" applyBorder="1"/>
    <xf numFmtId="0" fontId="4" fillId="0" borderId="0" xfId="0" applyFont="1" applyAlignment="1">
      <alignment horizontal="center"/>
    </xf>
    <xf numFmtId="167" fontId="9" fillId="0" borderId="0" xfId="0" applyNumberFormat="1" applyFont="1" applyFill="1"/>
    <xf numFmtId="0" fontId="18" fillId="0" borderId="0" xfId="0" applyFont="1" applyAlignment="1"/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Fill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4" fontId="19" fillId="0" borderId="0" xfId="0" applyNumberFormat="1" applyFont="1" applyFill="1" applyBorder="1" applyAlignment="1">
      <alignment horizontal="center"/>
    </xf>
    <xf numFmtId="169" fontId="18" fillId="0" borderId="0" xfId="0" applyNumberFormat="1" applyFont="1"/>
    <xf numFmtId="0" fontId="19" fillId="0" borderId="0" xfId="0" applyFont="1" applyFill="1" applyBorder="1" applyAlignment="1">
      <alignment horizontal="center"/>
    </xf>
    <xf numFmtId="166" fontId="19" fillId="0" borderId="0" xfId="0" applyNumberFormat="1" applyFont="1"/>
    <xf numFmtId="167" fontId="19" fillId="0" borderId="0" xfId="0" applyNumberFormat="1" applyFont="1"/>
    <xf numFmtId="169" fontId="18" fillId="0" borderId="1" xfId="0" applyNumberFormat="1" applyFont="1" applyBorder="1"/>
    <xf numFmtId="169" fontId="1" fillId="0" borderId="0" xfId="0" applyNumberFormat="1" applyFont="1"/>
    <xf numFmtId="167" fontId="19" fillId="0" borderId="0" xfId="0" applyNumberFormat="1" applyFont="1" applyFill="1"/>
    <xf numFmtId="166" fontId="19" fillId="0" borderId="0" xfId="0" applyNumberFormat="1" applyFont="1" applyFill="1"/>
    <xf numFmtId="0" fontId="18" fillId="0" borderId="0" xfId="0" applyFont="1" applyAlignment="1">
      <alignment wrapText="1"/>
    </xf>
    <xf numFmtId="166" fontId="18" fillId="0" borderId="0" xfId="0" applyNumberFormat="1" applyFont="1"/>
    <xf numFmtId="0" fontId="18" fillId="0" borderId="0" xfId="0" quotePrefix="1" applyFont="1" applyFill="1" applyAlignment="1">
      <alignment vertical="top"/>
    </xf>
    <xf numFmtId="0" fontId="18" fillId="0" borderId="0" xfId="0" applyFont="1" applyFill="1"/>
    <xf numFmtId="0" fontId="18" fillId="0" borderId="0" xfId="0" applyFont="1" applyFill="1" applyAlignment="1">
      <alignment wrapText="1"/>
    </xf>
    <xf numFmtId="0" fontId="18" fillId="0" borderId="1" xfId="0" applyFont="1" applyBorder="1" applyAlignment="1"/>
    <xf numFmtId="0" fontId="6" fillId="0" borderId="0" xfId="0" applyFont="1"/>
    <xf numFmtId="168" fontId="6" fillId="0" borderId="0" xfId="0" applyNumberFormat="1" applyFont="1"/>
    <xf numFmtId="168" fontId="6" fillId="0" borderId="0" xfId="0" applyNumberFormat="1" applyFont="1" applyAlignment="1">
      <alignment horizontal="left"/>
    </xf>
    <xf numFmtId="168" fontId="6" fillId="0" borderId="0" xfId="0" applyNumberFormat="1" applyFont="1"/>
    <xf numFmtId="168" fontId="0" fillId="0" borderId="0" xfId="0" applyNumberFormat="1" applyFont="1"/>
    <xf numFmtId="17" fontId="6" fillId="0" borderId="0" xfId="0" applyNumberFormat="1" applyFont="1"/>
    <xf numFmtId="43" fontId="19" fillId="0" borderId="0" xfId="0" applyNumberFormat="1" applyFont="1"/>
    <xf numFmtId="165" fontId="2" fillId="0" borderId="0" xfId="0" applyNumberFormat="1" applyFont="1"/>
    <xf numFmtId="165" fontId="19" fillId="0" borderId="0" xfId="0" applyNumberFormat="1" applyFont="1" applyBorder="1"/>
    <xf numFmtId="165" fontId="2" fillId="0" borderId="1" xfId="0" applyNumberFormat="1" applyFont="1" applyFill="1" applyBorder="1"/>
    <xf numFmtId="3" fontId="20" fillId="0" borderId="0" xfId="0" applyNumberFormat="1" applyFont="1"/>
    <xf numFmtId="3" fontId="20" fillId="0" borderId="0" xfId="0" applyNumberFormat="1" applyFont="1"/>
    <xf numFmtId="3" fontId="20" fillId="0" borderId="0" xfId="0" applyNumberFormat="1" applyFont="1" applyFill="1"/>
    <xf numFmtId="43" fontId="6" fillId="0" borderId="0" xfId="0" applyNumberFormat="1" applyFont="1"/>
    <xf numFmtId="44" fontId="23" fillId="0" borderId="0" xfId="0" applyNumberFormat="1" applyFont="1"/>
    <xf numFmtId="3" fontId="20" fillId="0" borderId="0" xfId="0" applyNumberFormat="1" applyFont="1"/>
    <xf numFmtId="0" fontId="20" fillId="0" borderId="0" xfId="0" applyFont="1" applyBorder="1" applyAlignment="1">
      <alignment horizontal="center"/>
    </xf>
    <xf numFmtId="0" fontId="20" fillId="0" borderId="0" xfId="0" applyFont="1"/>
    <xf numFmtId="0" fontId="0" fillId="0" borderId="0" xfId="0" applyFill="1" applyBorder="1" applyAlignment="1">
      <alignment horizontal="left"/>
    </xf>
    <xf numFmtId="0" fontId="25" fillId="0" borderId="0" xfId="0" applyFont="1" applyBorder="1" applyProtection="1">
      <protection locked="0"/>
    </xf>
    <xf numFmtId="0" fontId="0" fillId="0" borderId="0" xfId="0" applyFont="1" applyBorder="1"/>
    <xf numFmtId="0" fontId="4" fillId="0" borderId="0" xfId="0" applyFont="1" applyFill="1"/>
    <xf numFmtId="0" fontId="4" fillId="0" borderId="0" xfId="0" applyFont="1" applyBorder="1" applyProtection="1">
      <protection locked="0"/>
    </xf>
    <xf numFmtId="168" fontId="0" fillId="0" borderId="0" xfId="0" applyNumberFormat="1"/>
    <xf numFmtId="0" fontId="25" fillId="0" borderId="0" xfId="0" applyFont="1" applyFill="1"/>
    <xf numFmtId="168" fontId="0" fillId="0" borderId="0" xfId="0" applyNumberFormat="1" applyFont="1"/>
    <xf numFmtId="0" fontId="23" fillId="0" borderId="1" xfId="0" applyFont="1" applyBorder="1" applyAlignment="1">
      <alignment horizontal="center"/>
    </xf>
    <xf numFmtId="42" fontId="3" fillId="0" borderId="0" xfId="0" applyNumberFormat="1" applyFont="1"/>
    <xf numFmtId="3" fontId="20" fillId="0" borderId="0" xfId="0" quotePrefix="1" applyNumberFormat="1" applyFont="1" applyFill="1"/>
    <xf numFmtId="169" fontId="23" fillId="0" borderId="0" xfId="0" applyNumberFormat="1" applyFont="1"/>
    <xf numFmtId="0" fontId="18" fillId="0" borderId="0" xfId="0" applyFont="1" applyAlignment="1">
      <alignment horizontal="centerContinuous"/>
    </xf>
    <xf numFmtId="0" fontId="17" fillId="0" borderId="0" xfId="0" applyFont="1" applyAlignment="1">
      <alignment horizontal="centerContinuous"/>
    </xf>
    <xf numFmtId="169" fontId="18" fillId="0" borderId="2" xfId="0" applyNumberFormat="1" applyFont="1" applyBorder="1"/>
    <xf numFmtId="42" fontId="4" fillId="0" borderId="0" xfId="0" applyNumberFormat="1" applyFont="1"/>
    <xf numFmtId="42" fontId="4" fillId="0" borderId="2" xfId="0" applyNumberFormat="1" applyFont="1" applyBorder="1"/>
    <xf numFmtId="169" fontId="0" fillId="0" borderId="0" xfId="0" applyNumberFormat="1" applyFont="1" applyBorder="1"/>
    <xf numFmtId="169" fontId="6" fillId="0" borderId="0" xfId="0" applyNumberFormat="1" applyFont="1"/>
    <xf numFmtId="169" fontId="0" fillId="0" borderId="0" xfId="0" applyNumberFormat="1"/>
    <xf numFmtId="0" fontId="0" fillId="0" borderId="0" xfId="0" quotePrefix="1"/>
    <xf numFmtId="0" fontId="4" fillId="0" borderId="0" xfId="0" applyFont="1" applyAlignment="1">
      <alignment horizontal="centerContinuous"/>
    </xf>
    <xf numFmtId="0" fontId="4" fillId="0" borderId="0" xfId="0" applyFont="1"/>
    <xf numFmtId="0" fontId="4" fillId="0" borderId="0" xfId="0" applyFont="1" applyFill="1"/>
    <xf numFmtId="0" fontId="4" fillId="0" borderId="0" xfId="0" applyFont="1" applyFill="1" applyBorder="1"/>
    <xf numFmtId="0" fontId="4" fillId="0" borderId="1" xfId="0" applyFont="1" applyFill="1" applyBorder="1" applyAlignment="1">
      <alignment horizontal="center"/>
    </xf>
    <xf numFmtId="0" fontId="25" fillId="0" borderId="0" xfId="0" applyFont="1" applyBorder="1" applyProtection="1">
      <protection locked="0"/>
    </xf>
    <xf numFmtId="0" fontId="4" fillId="0" borderId="0" xfId="0" applyFont="1" applyBorder="1"/>
    <xf numFmtId="3" fontId="4" fillId="0" borderId="0" xfId="0" applyNumberFormat="1" applyFont="1" applyBorder="1"/>
    <xf numFmtId="0" fontId="25" fillId="0" borderId="0" xfId="0" applyFont="1" applyFill="1" applyBorder="1" applyProtection="1">
      <protection locked="0"/>
    </xf>
    <xf numFmtId="0" fontId="25" fillId="0" borderId="0" xfId="0" applyFont="1" applyFill="1" applyBorder="1"/>
    <xf numFmtId="0" fontId="4" fillId="0" borderId="0" xfId="0" applyFont="1"/>
    <xf numFmtId="0" fontId="4" fillId="0" borderId="0" xfId="0" applyFont="1" applyBorder="1" applyProtection="1">
      <protection locked="0"/>
    </xf>
    <xf numFmtId="0" fontId="4" fillId="0" borderId="0" xfId="0" applyFont="1" applyBorder="1"/>
    <xf numFmtId="0" fontId="25" fillId="0" borderId="0" xfId="0" applyFont="1" applyFill="1" applyBorder="1" applyProtection="1">
      <protection locked="0"/>
    </xf>
    <xf numFmtId="0" fontId="4" fillId="0" borderId="0" xfId="0" applyFont="1" applyFill="1" applyBorder="1"/>
    <xf numFmtId="0" fontId="4" fillId="0" borderId="0" xfId="0" applyFont="1" applyFill="1" applyBorder="1" applyProtection="1">
      <protection locked="0"/>
    </xf>
    <xf numFmtId="3" fontId="3" fillId="0" borderId="0" xfId="0" applyNumberFormat="1" applyFont="1"/>
    <xf numFmtId="0" fontId="4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Continuous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0" xfId="0" applyFont="1" applyFill="1" applyBorder="1" applyProtection="1">
      <protection locked="0"/>
    </xf>
    <xf numFmtId="3" fontId="4" fillId="0" borderId="0" xfId="0" applyNumberFormat="1" applyFont="1" applyFill="1" applyBorder="1" applyAlignment="1" applyProtection="1">
      <alignment horizontal="left"/>
      <protection locked="0"/>
    </xf>
    <xf numFmtId="0" fontId="4" fillId="0" borderId="0" xfId="0" applyFont="1"/>
    <xf numFmtId="0" fontId="4" fillId="0" borderId="0" xfId="0" applyFont="1" applyBorder="1"/>
    <xf numFmtId="169" fontId="4" fillId="0" borderId="0" xfId="0" applyNumberFormat="1" applyFont="1"/>
    <xf numFmtId="3" fontId="4" fillId="0" borderId="0" xfId="0" applyNumberFormat="1" applyFont="1"/>
    <xf numFmtId="44" fontId="2" fillId="0" borderId="0" xfId="0" applyNumberFormat="1" applyFont="1"/>
    <xf numFmtId="169" fontId="7" fillId="0" borderId="0" xfId="0" applyNumberFormat="1" applyFont="1" applyFill="1" applyBorder="1"/>
    <xf numFmtId="168" fontId="6" fillId="0" borderId="0" xfId="0" applyNumberFormat="1" applyFont="1"/>
    <xf numFmtId="0" fontId="7" fillId="0" borderId="0" xfId="0" applyFont="1" applyAlignment="1">
      <alignment horizontal="left"/>
    </xf>
    <xf numFmtId="3" fontId="3" fillId="0" borderId="0" xfId="0" applyNumberFormat="1" applyFont="1" applyFill="1"/>
    <xf numFmtId="0" fontId="27" fillId="0" borderId="0" xfId="0" applyFont="1" applyAlignment="1">
      <alignment horizontal="left"/>
    </xf>
    <xf numFmtId="166" fontId="12" fillId="0" borderId="0" xfId="0" applyNumberFormat="1" applyFont="1"/>
    <xf numFmtId="166" fontId="6" fillId="0" borderId="0" xfId="0" applyNumberFormat="1" applyFont="1"/>
    <xf numFmtId="17" fontId="6" fillId="0" borderId="0" xfId="0" applyNumberFormat="1" applyFont="1" applyBorder="1" applyAlignment="1">
      <alignment horizontal="center"/>
    </xf>
    <xf numFmtId="0" fontId="6" fillId="0" borderId="0" xfId="0" applyFont="1"/>
    <xf numFmtId="0" fontId="6" fillId="0" borderId="4" xfId="0" applyFont="1" applyBorder="1" applyAlignment="1">
      <alignment horizontal="center"/>
    </xf>
    <xf numFmtId="3" fontId="6" fillId="0" borderId="0" xfId="0" applyNumberFormat="1" applyFont="1"/>
    <xf numFmtId="3" fontId="20" fillId="0" borderId="0" xfId="0" applyNumberFormat="1" applyFont="1" applyBorder="1"/>
    <xf numFmtId="3" fontId="26" fillId="0" borderId="0" xfId="0" applyNumberFormat="1" applyFont="1" applyFill="1"/>
    <xf numFmtId="42" fontId="2" fillId="0" borderId="0" xfId="0" applyNumberFormat="1" applyFont="1"/>
    <xf numFmtId="3" fontId="3" fillId="0" borderId="0" xfId="0" applyNumberFormat="1" applyFont="1" applyBorder="1"/>
    <xf numFmtId="0" fontId="3" fillId="0" borderId="0" xfId="0" applyFont="1" applyBorder="1"/>
    <xf numFmtId="3" fontId="3" fillId="0" borderId="0" xfId="0" applyNumberFormat="1" applyFont="1" applyFill="1" applyBorder="1"/>
    <xf numFmtId="0" fontId="2" fillId="0" borderId="0" xfId="0" applyFont="1"/>
    <xf numFmtId="0" fontId="30" fillId="0" borderId="0" xfId="0" applyFont="1"/>
    <xf numFmtId="0" fontId="31" fillId="0" borderId="0" xfId="0" applyFont="1"/>
    <xf numFmtId="0" fontId="31" fillId="0" borderId="0" xfId="0" applyFont="1" applyAlignment="1">
      <alignment horizontal="left"/>
    </xf>
    <xf numFmtId="17" fontId="0" fillId="0" borderId="6" xfId="0" applyNumberFormat="1" applyBorder="1" applyAlignment="1">
      <alignment horizontal="center" vertical="top"/>
    </xf>
    <xf numFmtId="0" fontId="0" fillId="0" borderId="5" xfId="0" applyFill="1" applyBorder="1" applyAlignment="1">
      <alignment horizontal="center" vertical="top"/>
    </xf>
    <xf numFmtId="0" fontId="0" fillId="0" borderId="4" xfId="0" applyBorder="1" applyAlignment="1">
      <alignment horizontal="center"/>
    </xf>
    <xf numFmtId="0" fontId="11" fillId="0" borderId="0" xfId="0" applyFont="1" applyAlignment="1">
      <alignment wrapText="1"/>
    </xf>
    <xf numFmtId="17" fontId="6" fillId="0" borderId="4" xfId="0" applyNumberFormat="1" applyFont="1" applyBorder="1" applyAlignment="1">
      <alignment horizontal="center"/>
    </xf>
    <xf numFmtId="168" fontId="19" fillId="0" borderId="0" xfId="0" applyNumberFormat="1" applyFont="1"/>
    <xf numFmtId="168" fontId="20" fillId="0" borderId="0" xfId="0" applyNumberFormat="1" applyFont="1"/>
    <xf numFmtId="171" fontId="18" fillId="0" borderId="4" xfId="0" applyNumberFormat="1" applyFont="1" applyBorder="1" applyAlignment="1">
      <alignment wrapText="1"/>
    </xf>
    <xf numFmtId="10" fontId="0" fillId="0" borderId="0" xfId="0" applyNumberFormat="1" applyFont="1"/>
    <xf numFmtId="10" fontId="0" fillId="0" borderId="2" xfId="0" applyNumberFormat="1" applyFont="1" applyBorder="1"/>
    <xf numFmtId="10" fontId="0" fillId="0" borderId="0" xfId="0" applyNumberFormat="1"/>
    <xf numFmtId="0" fontId="1" fillId="0" borderId="0" xfId="0" applyFont="1" applyBorder="1" applyAlignment="1">
      <alignment horizontal="left"/>
    </xf>
    <xf numFmtId="166" fontId="0" fillId="0" borderId="0" xfId="0" applyNumberFormat="1" applyFont="1"/>
    <xf numFmtId="177" fontId="26" fillId="0" borderId="0" xfId="0" applyNumberFormat="1" applyFont="1" applyFill="1" applyBorder="1"/>
    <xf numFmtId="0" fontId="2" fillId="0" borderId="0" xfId="0" applyFont="1" applyBorder="1" applyAlignment="1">
      <alignment horizontal="center"/>
    </xf>
    <xf numFmtId="166" fontId="0" fillId="0" borderId="0" xfId="0" applyNumberFormat="1" applyFont="1" applyFill="1"/>
    <xf numFmtId="10" fontId="4" fillId="0" borderId="0" xfId="0" applyNumberFormat="1" applyFont="1"/>
    <xf numFmtId="168" fontId="0" fillId="0" borderId="4" xfId="0" applyNumberFormat="1" applyFont="1" applyBorder="1"/>
    <xf numFmtId="0" fontId="18" fillId="0" borderId="0" xfId="0" applyFont="1" applyAlignment="1">
      <alignment horizontal="center"/>
    </xf>
    <xf numFmtId="0" fontId="6" fillId="0" borderId="0" xfId="0" applyFont="1"/>
    <xf numFmtId="0" fontId="18" fillId="0" borderId="4" xfId="0" applyFont="1" applyBorder="1" applyAlignment="1"/>
    <xf numFmtId="0" fontId="18" fillId="0" borderId="4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18" fillId="0" borderId="4" xfId="0" applyFont="1" applyFill="1" applyBorder="1" applyAlignment="1">
      <alignment horizontal="center"/>
    </xf>
    <xf numFmtId="169" fontId="18" fillId="0" borderId="4" xfId="0" applyNumberFormat="1" applyFont="1" applyBorder="1"/>
    <xf numFmtId="0" fontId="6" fillId="0" borderId="0" xfId="1" applyFont="1" applyAlignment="1">
      <alignment horizontal="centerContinuous"/>
    </xf>
    <xf numFmtId="0" fontId="6" fillId="0" borderId="0" xfId="1" applyFont="1"/>
    <xf numFmtId="0" fontId="11" fillId="0" borderId="0" xfId="1" applyFont="1" applyAlignment="1">
      <alignment horizontal="centerContinuous"/>
    </xf>
    <xf numFmtId="0" fontId="6" fillId="0" borderId="4" xfId="1" applyFont="1" applyBorder="1" applyAlignment="1">
      <alignment horizontal="center"/>
    </xf>
    <xf numFmtId="171" fontId="6" fillId="0" borderId="4" xfId="1" applyNumberFormat="1" applyFont="1" applyFill="1" applyBorder="1" applyAlignment="1">
      <alignment horizontal="center" wrapText="1"/>
    </xf>
    <xf numFmtId="0" fontId="6" fillId="0" borderId="4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11" fillId="0" borderId="0" xfId="1" applyFont="1"/>
    <xf numFmtId="0" fontId="11" fillId="0" borderId="0" xfId="1" applyFont="1" applyAlignment="1">
      <alignment horizontal="right"/>
    </xf>
    <xf numFmtId="4" fontId="6" fillId="0" borderId="0" xfId="1" applyNumberFormat="1" applyFont="1"/>
    <xf numFmtId="0" fontId="6" fillId="0" borderId="0" xfId="1" applyFont="1" applyFill="1"/>
    <xf numFmtId="0" fontId="6" fillId="0" borderId="0" xfId="1" applyFont="1" applyFill="1" applyAlignment="1">
      <alignment horizontal="right"/>
    </xf>
    <xf numFmtId="3" fontId="19" fillId="0" borderId="0" xfId="1" applyNumberFormat="1" applyFont="1" applyFill="1"/>
    <xf numFmtId="3" fontId="6" fillId="0" borderId="0" xfId="1" applyNumberFormat="1" applyFont="1" applyFill="1"/>
    <xf numFmtId="9" fontId="6" fillId="0" borderId="0" xfId="1" applyNumberFormat="1" applyFont="1" applyFill="1"/>
    <xf numFmtId="0" fontId="6" fillId="0" borderId="0" xfId="1" applyFont="1" applyAlignment="1">
      <alignment horizontal="right"/>
    </xf>
    <xf numFmtId="0" fontId="6" fillId="0" borderId="0" xfId="1" applyFont="1" applyFill="1" applyBorder="1"/>
    <xf numFmtId="0" fontId="1" fillId="0" borderId="0" xfId="1" applyFont="1" applyFill="1" applyBorder="1" applyAlignment="1">
      <alignment horizontal="right"/>
    </xf>
    <xf numFmtId="3" fontId="19" fillId="0" borderId="0" xfId="1" applyNumberFormat="1" applyFont="1" applyFill="1" applyBorder="1"/>
    <xf numFmtId="3" fontId="6" fillId="0" borderId="4" xfId="1" applyNumberFormat="1" applyFont="1" applyFill="1" applyBorder="1"/>
    <xf numFmtId="3" fontId="6" fillId="0" borderId="0" xfId="1" applyNumberFormat="1" applyFont="1" applyFill="1" applyBorder="1"/>
    <xf numFmtId="3" fontId="6" fillId="0" borderId="2" xfId="1" applyNumberFormat="1" applyFont="1" applyFill="1" applyBorder="1"/>
    <xf numFmtId="0" fontId="11" fillId="0" borderId="0" xfId="1" applyFont="1" applyFill="1"/>
    <xf numFmtId="3" fontId="6" fillId="0" borderId="0" xfId="1" applyNumberFormat="1" applyFont="1"/>
    <xf numFmtId="168" fontId="32" fillId="0" borderId="0" xfId="1" applyNumberFormat="1" applyFont="1" applyFill="1"/>
    <xf numFmtId="0" fontId="32" fillId="0" borderId="0" xfId="1" applyFont="1" applyFill="1"/>
    <xf numFmtId="0" fontId="33" fillId="0" borderId="0" xfId="1" applyFont="1" applyFill="1"/>
    <xf numFmtId="3" fontId="16" fillId="0" borderId="0" xfId="1" applyNumberFormat="1" applyFont="1" applyFill="1" applyBorder="1"/>
    <xf numFmtId="3" fontId="6" fillId="0" borderId="0" xfId="1" applyNumberFormat="1" applyFont="1" applyBorder="1"/>
    <xf numFmtId="0" fontId="6" fillId="0" borderId="0" xfId="1" applyFont="1" applyBorder="1"/>
    <xf numFmtId="0" fontId="1" fillId="0" borderId="0" xfId="1" applyFont="1" applyBorder="1" applyAlignment="1">
      <alignment horizontal="right"/>
    </xf>
    <xf numFmtId="3" fontId="29" fillId="0" borderId="0" xfId="1" applyNumberFormat="1" applyFont="1" applyFill="1"/>
    <xf numFmtId="9" fontId="6" fillId="0" borderId="0" xfId="1" applyNumberFormat="1" applyFont="1" applyFill="1" applyBorder="1"/>
    <xf numFmtId="170" fontId="12" fillId="0" borderId="0" xfId="1" applyNumberFormat="1" applyFont="1" applyFill="1"/>
    <xf numFmtId="178" fontId="12" fillId="0" borderId="0" xfId="1" applyNumberFormat="1" applyFont="1" applyFill="1"/>
    <xf numFmtId="175" fontId="12" fillId="0" borderId="0" xfId="1" applyNumberFormat="1" applyFont="1" applyFill="1"/>
    <xf numFmtId="176" fontId="12" fillId="0" borderId="0" xfId="1" applyNumberFormat="1" applyFont="1" applyFill="1" applyBorder="1"/>
    <xf numFmtId="170" fontId="12" fillId="0" borderId="0" xfId="1" applyNumberFormat="1" applyFont="1" applyFill="1" applyBorder="1"/>
    <xf numFmtId="178" fontId="12" fillId="0" borderId="0" xfId="1" applyNumberFormat="1" applyFont="1" applyFill="1" applyBorder="1"/>
    <xf numFmtId="3" fontId="6" fillId="0" borderId="2" xfId="1" applyNumberFormat="1" applyFont="1" applyBorder="1"/>
    <xf numFmtId="164" fontId="6" fillId="0" borderId="0" xfId="1" applyNumberFormat="1" applyFont="1" applyFill="1" applyBorder="1"/>
    <xf numFmtId="0" fontId="6" fillId="0" borderId="0" xfId="1" applyFont="1" applyAlignment="1">
      <alignment horizontal="left"/>
    </xf>
    <xf numFmtId="0" fontId="6" fillId="0" borderId="0" xfId="1" applyFont="1" applyFill="1" applyBorder="1" applyAlignment="1">
      <alignment horizontal="left"/>
    </xf>
    <xf numFmtId="0" fontId="6" fillId="0" borderId="0" xfId="1" applyFont="1" applyBorder="1" applyAlignment="1">
      <alignment horizontal="left"/>
    </xf>
    <xf numFmtId="0" fontId="6" fillId="0" borderId="0" xfId="1" applyFont="1" applyBorder="1" applyAlignment="1">
      <alignment horizontal="right"/>
    </xf>
    <xf numFmtId="0" fontId="28" fillId="0" borderId="0" xfId="1" applyFont="1" applyAlignment="1">
      <alignment horizontal="left"/>
    </xf>
    <xf numFmtId="0" fontId="28" fillId="0" borderId="0" xfId="1" applyFont="1" applyAlignment="1">
      <alignment horizontal="right"/>
    </xf>
    <xf numFmtId="3" fontId="28" fillId="0" borderId="0" xfId="1" applyNumberFormat="1" applyFont="1" applyBorder="1"/>
    <xf numFmtId="0" fontId="28" fillId="0" borderId="0" xfId="1" applyFont="1" applyFill="1" applyBorder="1" applyAlignment="1">
      <alignment horizontal="left"/>
    </xf>
    <xf numFmtId="3" fontId="28" fillId="0" borderId="0" xfId="1" applyNumberFormat="1" applyFont="1" applyFill="1" applyBorder="1"/>
    <xf numFmtId="0" fontId="11" fillId="0" borderId="0" xfId="1" applyFont="1" applyAlignment="1">
      <alignment horizontal="left"/>
    </xf>
    <xf numFmtId="3" fontId="6" fillId="0" borderId="0" xfId="1" applyNumberFormat="1" applyFont="1" applyFill="1" applyAlignment="1"/>
    <xf numFmtId="169" fontId="2" fillId="0" borderId="0" xfId="0" applyNumberFormat="1" applyFont="1"/>
    <xf numFmtId="168" fontId="0" fillId="0" borderId="4" xfId="0" applyNumberFormat="1" applyBorder="1"/>
    <xf numFmtId="168" fontId="0" fillId="0" borderId="0" xfId="4" applyNumberFormat="1" applyFont="1"/>
    <xf numFmtId="0" fontId="4" fillId="0" borderId="0" xfId="0" applyFont="1" applyAlignment="1">
      <alignment horizontal="center"/>
    </xf>
    <xf numFmtId="172" fontId="4" fillId="0" borderId="0" xfId="0" applyNumberFormat="1" applyFont="1" applyBorder="1"/>
    <xf numFmtId="0" fontId="4" fillId="0" borderId="4" xfId="0" applyFont="1" applyBorder="1" applyAlignment="1">
      <alignment horizontal="centerContinuous"/>
    </xf>
    <xf numFmtId="0" fontId="4" fillId="0" borderId="4" xfId="0" applyFont="1" applyBorder="1" applyAlignment="1">
      <alignment horizontal="center"/>
    </xf>
    <xf numFmtId="44" fontId="4" fillId="0" borderId="2" xfId="0" applyNumberFormat="1" applyFont="1" applyBorder="1"/>
    <xf numFmtId="0" fontId="2" fillId="0" borderId="4" xfId="0" applyFont="1" applyFill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167" fontId="7" fillId="0" borderId="0" xfId="0" applyNumberFormat="1" applyFont="1" applyFill="1" applyBorder="1"/>
    <xf numFmtId="168" fontId="7" fillId="0" borderId="0" xfId="0" applyNumberFormat="1" applyFont="1" applyFill="1"/>
    <xf numFmtId="0" fontId="7" fillId="0" borderId="4" xfId="0" applyFont="1" applyBorder="1" applyAlignment="1">
      <alignment horizontal="left"/>
    </xf>
    <xf numFmtId="168" fontId="7" fillId="0" borderId="2" xfId="0" applyNumberFormat="1" applyFont="1" applyFill="1" applyBorder="1"/>
    <xf numFmtId="42" fontId="0" fillId="0" borderId="0" xfId="0" applyNumberFormat="1" applyBorder="1"/>
    <xf numFmtId="0" fontId="0" fillId="0" borderId="0" xfId="0" applyBorder="1"/>
    <xf numFmtId="44" fontId="2" fillId="0" borderId="0" xfId="3" applyFont="1"/>
    <xf numFmtId="165" fontId="2" fillId="0" borderId="0" xfId="3" applyNumberFormat="1" applyFont="1"/>
    <xf numFmtId="44" fontId="2" fillId="0" borderId="0" xfId="3" applyNumberFormat="1" applyFont="1"/>
    <xf numFmtId="166" fontId="3" fillId="0" borderId="0" xfId="0" applyNumberFormat="1" applyFont="1"/>
    <xf numFmtId="0" fontId="6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9" fontId="3" fillId="0" borderId="0" xfId="3" applyNumberFormat="1" applyFont="1"/>
    <xf numFmtId="169" fontId="0" fillId="0" borderId="2" xfId="3" applyNumberFormat="1" applyFont="1" applyBorder="1"/>
    <xf numFmtId="169" fontId="7" fillId="0" borderId="0" xfId="3" applyNumberFormat="1" applyFont="1" applyFill="1" applyBorder="1"/>
    <xf numFmtId="169" fontId="7" fillId="0" borderId="2" xfId="3" applyNumberFormat="1" applyFont="1" applyBorder="1"/>
    <xf numFmtId="169" fontId="0" fillId="0" borderId="0" xfId="3" applyNumberFormat="1" applyFont="1"/>
    <xf numFmtId="169" fontId="7" fillId="0" borderId="0" xfId="3" applyNumberFormat="1" applyFont="1" applyBorder="1"/>
    <xf numFmtId="169" fontId="7" fillId="0" borderId="0" xfId="3" applyNumberFormat="1" applyFont="1" applyFill="1"/>
    <xf numFmtId="169" fontId="7" fillId="0" borderId="2" xfId="3" applyNumberFormat="1" applyFont="1" applyFill="1" applyBorder="1"/>
    <xf numFmtId="165" fontId="0" fillId="0" borderId="0" xfId="0" applyNumberFormat="1" applyBorder="1"/>
    <xf numFmtId="42" fontId="3" fillId="0" borderId="0" xfId="0" applyNumberFormat="1" applyFont="1" applyBorder="1"/>
    <xf numFmtId="10" fontId="0" fillId="0" borderId="0" xfId="0" applyNumberFormat="1" applyFont="1" applyBorder="1"/>
    <xf numFmtId="10" fontId="7" fillId="0" borderId="0" xfId="0" applyNumberFormat="1" applyFont="1" applyBorder="1"/>
    <xf numFmtId="10" fontId="0" fillId="0" borderId="0" xfId="0" applyNumberFormat="1" applyBorder="1"/>
    <xf numFmtId="0" fontId="0" fillId="0" borderId="0" xfId="0" applyFont="1" applyBorder="1" applyAlignment="1">
      <alignment horizontal="center"/>
    </xf>
    <xf numFmtId="42" fontId="0" fillId="0" borderId="0" xfId="0" applyNumberFormat="1" applyAlignment="1">
      <alignment horizontal="left"/>
    </xf>
    <xf numFmtId="42" fontId="7" fillId="0" borderId="0" xfId="0" applyNumberFormat="1" applyFont="1" applyBorder="1" applyAlignment="1">
      <alignment horizontal="left"/>
    </xf>
    <xf numFmtId="42" fontId="7" fillId="0" borderId="2" xfId="0" applyNumberFormat="1" applyFont="1" applyBorder="1" applyAlignment="1">
      <alignment horizontal="left"/>
    </xf>
    <xf numFmtId="169" fontId="7" fillId="0" borderId="2" xfId="0" applyNumberFormat="1" applyFont="1" applyBorder="1" applyAlignment="1">
      <alignment horizontal="left"/>
    </xf>
    <xf numFmtId="166" fontId="13" fillId="0" borderId="0" xfId="0" applyNumberFormat="1" applyFont="1" applyFill="1" applyBorder="1"/>
    <xf numFmtId="42" fontId="0" fillId="0" borderId="0" xfId="0" applyNumberFormat="1" applyFont="1"/>
    <xf numFmtId="42" fontId="13" fillId="0" borderId="0" xfId="0" applyNumberFormat="1" applyFont="1" applyBorder="1"/>
    <xf numFmtId="169" fontId="13" fillId="0" borderId="0" xfId="0" applyNumberFormat="1" applyFont="1" applyFill="1"/>
    <xf numFmtId="169" fontId="1" fillId="0" borderId="0" xfId="3" applyNumberFormat="1" applyFont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" xfId="0" applyFont="1" applyFill="1" applyBorder="1" applyAlignment="1">
      <alignment horizontal="center"/>
    </xf>
    <xf numFmtId="168" fontId="0" fillId="0" borderId="2" xfId="0" applyNumberFormat="1" applyBorder="1"/>
    <xf numFmtId="165" fontId="1" fillId="0" borderId="0" xfId="3" applyNumberFormat="1" applyFont="1"/>
    <xf numFmtId="165" fontId="0" fillId="0" borderId="2" xfId="3" applyNumberFormat="1" applyFont="1" applyBorder="1"/>
    <xf numFmtId="168" fontId="7" fillId="0" borderId="0" xfId="4" applyNumberFormat="1" applyFont="1" applyFill="1"/>
    <xf numFmtId="168" fontId="7" fillId="0" borderId="2" xfId="4" applyNumberFormat="1" applyFont="1" applyBorder="1" applyAlignment="1">
      <alignment horizontal="left"/>
    </xf>
    <xf numFmtId="168" fontId="7" fillId="0" borderId="0" xfId="0" applyNumberFormat="1" applyFont="1" applyBorder="1" applyAlignment="1">
      <alignment horizontal="left"/>
    </xf>
    <xf numFmtId="165" fontId="7" fillId="0" borderId="0" xfId="0" applyNumberFormat="1" applyFont="1" applyFill="1"/>
    <xf numFmtId="165" fontId="7" fillId="0" borderId="2" xfId="3" applyNumberFormat="1" applyFont="1" applyFill="1" applyBorder="1"/>
    <xf numFmtId="44" fontId="7" fillId="0" borderId="0" xfId="3" applyNumberFormat="1" applyFont="1" applyFill="1"/>
    <xf numFmtId="43" fontId="35" fillId="0" borderId="0" xfId="4" applyFont="1"/>
    <xf numFmtId="0" fontId="0" fillId="0" borderId="4" xfId="0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44" fontId="1" fillId="0" borderId="2" xfId="3" applyNumberFormat="1" applyFont="1" applyFill="1" applyBorder="1"/>
    <xf numFmtId="169" fontId="7" fillId="0" borderId="0" xfId="3" applyNumberFormat="1" applyFont="1" applyFill="1" applyBorder="1" applyAlignment="1">
      <alignment horizontal="center"/>
    </xf>
    <xf numFmtId="168" fontId="3" fillId="0" borderId="0" xfId="4" applyNumberFormat="1" applyFont="1" applyAlignment="1">
      <alignment horizontal="left"/>
    </xf>
    <xf numFmtId="42" fontId="3" fillId="0" borderId="0" xfId="0" applyNumberFormat="1" applyFont="1" applyAlignment="1">
      <alignment horizontal="left"/>
    </xf>
    <xf numFmtId="168" fontId="26" fillId="0" borderId="3" xfId="4" applyNumberFormat="1" applyFont="1" applyBorder="1" applyAlignment="1">
      <alignment horizontal="left"/>
    </xf>
    <xf numFmtId="42" fontId="26" fillId="0" borderId="2" xfId="0" applyNumberFormat="1" applyFont="1" applyBorder="1" applyAlignment="1">
      <alignment horizontal="left"/>
    </xf>
    <xf numFmtId="168" fontId="26" fillId="0" borderId="2" xfId="4" applyNumberFormat="1" applyFont="1" applyBorder="1" applyAlignment="1">
      <alignment horizontal="left"/>
    </xf>
    <xf numFmtId="0" fontId="0" fillId="0" borderId="4" xfId="0" applyBorder="1" applyAlignment="1">
      <alignment horizontal="center"/>
    </xf>
    <xf numFmtId="0" fontId="6" fillId="0" borderId="0" xfId="0" applyFont="1" applyAlignment="1">
      <alignment horizontal="center"/>
    </xf>
    <xf numFmtId="41" fontId="2" fillId="0" borderId="0" xfId="0" applyNumberFormat="1" applyFont="1"/>
    <xf numFmtId="168" fontId="0" fillId="0" borderId="7" xfId="0" applyNumberFormat="1" applyBorder="1"/>
    <xf numFmtId="0" fontId="6" fillId="0" borderId="0" xfId="1" applyNumberFormat="1" applyFont="1" applyFill="1" applyAlignment="1">
      <alignment horizontal="right"/>
    </xf>
    <xf numFmtId="4" fontId="6" fillId="0" borderId="0" xfId="1" applyNumberFormat="1" applyFont="1" applyFill="1"/>
    <xf numFmtId="0" fontId="6" fillId="0" borderId="0" xfId="1" applyNumberFormat="1" applyFont="1" applyFill="1" applyBorder="1" applyAlignment="1">
      <alignment horizontal="right"/>
    </xf>
    <xf numFmtId="0" fontId="6" fillId="0" borderId="0" xfId="1" applyFont="1" applyFill="1" applyAlignment="1">
      <alignment horizontal="left"/>
    </xf>
    <xf numFmtId="0" fontId="6" fillId="0" borderId="0" xfId="1" applyFont="1" applyFill="1" applyBorder="1" applyAlignment="1">
      <alignment horizontal="right"/>
    </xf>
    <xf numFmtId="0" fontId="28" fillId="0" borderId="0" xfId="1" applyFont="1" applyFill="1" applyAlignment="1">
      <alignment horizontal="left"/>
    </xf>
    <xf numFmtId="0" fontId="28" fillId="0" borderId="0" xfId="1" applyFont="1" applyFill="1" applyAlignment="1">
      <alignment horizontal="right"/>
    </xf>
    <xf numFmtId="171" fontId="6" fillId="0" borderId="0" xfId="0" applyNumberFormat="1" applyFont="1" applyAlignment="1">
      <alignment horizontal="center" wrapText="1"/>
    </xf>
    <xf numFmtId="9" fontId="20" fillId="0" borderId="0" xfId="7" applyFont="1"/>
    <xf numFmtId="9" fontId="6" fillId="0" borderId="0" xfId="7" applyFont="1"/>
    <xf numFmtId="9" fontId="0" fillId="0" borderId="0" xfId="7" applyFont="1"/>
    <xf numFmtId="9" fontId="19" fillId="0" borderId="0" xfId="7" applyFont="1"/>
    <xf numFmtId="9" fontId="3" fillId="0" borderId="0" xfId="7" applyFont="1"/>
    <xf numFmtId="3" fontId="9" fillId="0" borderId="0" xfId="0" applyNumberFormat="1" applyFont="1" applyFill="1"/>
    <xf numFmtId="168" fontId="2" fillId="0" borderId="0" xfId="0" applyNumberFormat="1" applyFont="1"/>
    <xf numFmtId="168" fontId="2" fillId="0" borderId="4" xfId="0" applyNumberFormat="1" applyFont="1" applyBorder="1"/>
    <xf numFmtId="171" fontId="6" fillId="0" borderId="4" xfId="0" applyNumberFormat="1" applyFont="1" applyBorder="1" applyAlignment="1">
      <alignment horizontal="center"/>
    </xf>
    <xf numFmtId="17" fontId="6" fillId="0" borderId="4" xfId="0" quotePrefix="1" applyNumberFormat="1" applyFont="1" applyBorder="1" applyAlignment="1">
      <alignment horizontal="center"/>
    </xf>
    <xf numFmtId="171" fontId="6" fillId="0" borderId="4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5" fontId="3" fillId="0" borderId="0" xfId="0" applyNumberFormat="1" applyFont="1"/>
    <xf numFmtId="0" fontId="4" fillId="0" borderId="4" xfId="0" applyFont="1" applyFill="1" applyBorder="1" applyAlignment="1">
      <alignment horizontal="centerContinuous"/>
    </xf>
    <xf numFmtId="44" fontId="3" fillId="0" borderId="0" xfId="0" applyNumberFormat="1" applyFont="1"/>
    <xf numFmtId="44" fontId="3" fillId="0" borderId="0" xfId="0" applyNumberFormat="1" applyFont="1" applyBorder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4" xfId="0" applyBorder="1" applyAlignment="1">
      <alignment horizontal="center"/>
    </xf>
    <xf numFmtId="0" fontId="1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1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6" fillId="0" borderId="0" xfId="1" applyFont="1" applyAlignment="1">
      <alignment horizontal="center"/>
    </xf>
  </cellXfs>
  <cellStyles count="8">
    <cellStyle name="Comma" xfId="4" builtinId="3"/>
    <cellStyle name="Currency" xfId="3" builtinId="4"/>
    <cellStyle name="Normal" xfId="0" builtinId="0"/>
    <cellStyle name="Normal 2" xfId="1"/>
    <cellStyle name="Normal 2 16 2" xfId="5"/>
    <cellStyle name="Normal 2 2" xfId="2"/>
    <cellStyle name="Normal 2 3" xfId="6"/>
    <cellStyle name="Percent" xfId="7" builtinId="5"/>
  </cellStyles>
  <dxfs count="0"/>
  <tableStyles count="0" defaultTableStyle="TableStyleMedium2" defaultPivotStyle="PivotStyleLight16"/>
  <colors>
    <mruColors>
      <color rgb="FF0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3.xml"/><Relationship Id="rId47" Type="http://schemas.openxmlformats.org/officeDocument/2006/relationships/externalLink" Target="externalLinks/externalLink18.xml"/><Relationship Id="rId63" Type="http://schemas.openxmlformats.org/officeDocument/2006/relationships/externalLink" Target="externalLinks/externalLink34.xml"/><Relationship Id="rId68" Type="http://schemas.openxmlformats.org/officeDocument/2006/relationships/externalLink" Target="externalLinks/externalLink39.xml"/><Relationship Id="rId84" Type="http://schemas.openxmlformats.org/officeDocument/2006/relationships/externalLink" Target="externalLinks/externalLink55.xml"/><Relationship Id="rId89" Type="http://schemas.openxmlformats.org/officeDocument/2006/relationships/externalLink" Target="externalLinks/externalLink60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53" Type="http://schemas.openxmlformats.org/officeDocument/2006/relationships/externalLink" Target="externalLinks/externalLink24.xml"/><Relationship Id="rId58" Type="http://schemas.openxmlformats.org/officeDocument/2006/relationships/externalLink" Target="externalLinks/externalLink29.xml"/><Relationship Id="rId74" Type="http://schemas.openxmlformats.org/officeDocument/2006/relationships/externalLink" Target="externalLinks/externalLink45.xml"/><Relationship Id="rId79" Type="http://schemas.openxmlformats.org/officeDocument/2006/relationships/externalLink" Target="externalLinks/externalLink50.xml"/><Relationship Id="rId10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1.xml"/><Relationship Id="rId95" Type="http://schemas.openxmlformats.org/officeDocument/2006/relationships/externalLink" Target="externalLinks/externalLink6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4.xml"/><Relationship Id="rId48" Type="http://schemas.openxmlformats.org/officeDocument/2006/relationships/externalLink" Target="externalLinks/externalLink19.xml"/><Relationship Id="rId64" Type="http://schemas.openxmlformats.org/officeDocument/2006/relationships/externalLink" Target="externalLinks/externalLink35.xml"/><Relationship Id="rId69" Type="http://schemas.openxmlformats.org/officeDocument/2006/relationships/externalLink" Target="externalLinks/externalLink40.xml"/><Relationship Id="rId80" Type="http://schemas.openxmlformats.org/officeDocument/2006/relationships/externalLink" Target="externalLinks/externalLink51.xml"/><Relationship Id="rId85" Type="http://schemas.openxmlformats.org/officeDocument/2006/relationships/externalLink" Target="externalLinks/externalLink5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Relationship Id="rId46" Type="http://schemas.openxmlformats.org/officeDocument/2006/relationships/externalLink" Target="externalLinks/externalLink17.xml"/><Relationship Id="rId59" Type="http://schemas.openxmlformats.org/officeDocument/2006/relationships/externalLink" Target="externalLinks/externalLink30.xml"/><Relationship Id="rId67" Type="http://schemas.openxmlformats.org/officeDocument/2006/relationships/externalLink" Target="externalLinks/externalLink38.xml"/><Relationship Id="rId103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2.xml"/><Relationship Id="rId54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33.xml"/><Relationship Id="rId70" Type="http://schemas.openxmlformats.org/officeDocument/2006/relationships/externalLink" Target="externalLinks/externalLink41.xml"/><Relationship Id="rId75" Type="http://schemas.openxmlformats.org/officeDocument/2006/relationships/externalLink" Target="externalLinks/externalLink46.xml"/><Relationship Id="rId83" Type="http://schemas.openxmlformats.org/officeDocument/2006/relationships/externalLink" Target="externalLinks/externalLink54.xml"/><Relationship Id="rId88" Type="http://schemas.openxmlformats.org/officeDocument/2006/relationships/externalLink" Target="externalLinks/externalLink59.xml"/><Relationship Id="rId91" Type="http://schemas.openxmlformats.org/officeDocument/2006/relationships/externalLink" Target="externalLinks/externalLink62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49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2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.xml"/><Relationship Id="rId44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23.xml"/><Relationship Id="rId60" Type="http://schemas.openxmlformats.org/officeDocument/2006/relationships/externalLink" Target="externalLinks/externalLink31.xml"/><Relationship Id="rId65" Type="http://schemas.openxmlformats.org/officeDocument/2006/relationships/externalLink" Target="externalLinks/externalLink36.xml"/><Relationship Id="rId73" Type="http://schemas.openxmlformats.org/officeDocument/2006/relationships/externalLink" Target="externalLinks/externalLink44.xml"/><Relationship Id="rId78" Type="http://schemas.openxmlformats.org/officeDocument/2006/relationships/externalLink" Target="externalLinks/externalLink49.xml"/><Relationship Id="rId81" Type="http://schemas.openxmlformats.org/officeDocument/2006/relationships/externalLink" Target="externalLinks/externalLink52.xml"/><Relationship Id="rId86" Type="http://schemas.openxmlformats.org/officeDocument/2006/relationships/externalLink" Target="externalLinks/externalLink57.xml"/><Relationship Id="rId94" Type="http://schemas.openxmlformats.org/officeDocument/2006/relationships/externalLink" Target="externalLinks/externalLink65.xml"/><Relationship Id="rId99" Type="http://schemas.openxmlformats.org/officeDocument/2006/relationships/calcChain" Target="calcChain.xml"/><Relationship Id="rId10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5.xml"/><Relationship Id="rId50" Type="http://schemas.openxmlformats.org/officeDocument/2006/relationships/externalLink" Target="externalLinks/externalLink21.xml"/><Relationship Id="rId55" Type="http://schemas.openxmlformats.org/officeDocument/2006/relationships/externalLink" Target="externalLinks/externalLink26.xml"/><Relationship Id="rId76" Type="http://schemas.openxmlformats.org/officeDocument/2006/relationships/externalLink" Target="externalLinks/externalLink47.xml"/><Relationship Id="rId9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2.xml"/><Relationship Id="rId92" Type="http://schemas.openxmlformats.org/officeDocument/2006/relationships/externalLink" Target="externalLinks/externalLink6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1.xml"/><Relationship Id="rId45" Type="http://schemas.openxmlformats.org/officeDocument/2006/relationships/externalLink" Target="externalLinks/externalLink16.xml"/><Relationship Id="rId66" Type="http://schemas.openxmlformats.org/officeDocument/2006/relationships/externalLink" Target="externalLinks/externalLink37.xml"/><Relationship Id="rId87" Type="http://schemas.openxmlformats.org/officeDocument/2006/relationships/externalLink" Target="externalLinks/externalLink58.xml"/><Relationship Id="rId61" Type="http://schemas.openxmlformats.org/officeDocument/2006/relationships/externalLink" Target="externalLinks/externalLink32.xml"/><Relationship Id="rId82" Type="http://schemas.openxmlformats.org/officeDocument/2006/relationships/externalLink" Target="externalLinks/externalLink5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56" Type="http://schemas.openxmlformats.org/officeDocument/2006/relationships/externalLink" Target="externalLinks/externalLink27.xml"/><Relationship Id="rId77" Type="http://schemas.openxmlformats.org/officeDocument/2006/relationships/externalLink" Target="externalLinks/externalLink48.xml"/><Relationship Id="rId100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2.xml"/><Relationship Id="rId72" Type="http://schemas.openxmlformats.org/officeDocument/2006/relationships/externalLink" Target="externalLinks/externalLink43.xml"/><Relationship Id="rId93" Type="http://schemas.openxmlformats.org/officeDocument/2006/relationships/externalLink" Target="externalLinks/externalLink64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upplemental%20Filing%202017%20GRC/NO%20MS%20SUPP%202017%20GRC%20Workpapers/%23Electric%20Model%202017%20GRC%20CONT%20CALCULATION%20(SUPP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Tax%20Reform%20Filing%202018/Filed%203-30-18/Linked/Cost%20Of%20Service/2017%20Gas%20COSS%20September%20TY_Complianc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7/Compliance%20Filing/Cost%20Of%20Service/2017%20Gas%20COSS%20September%20TY_Complianc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COS%20Inputs\COS%20Model\ECOS%20Model%20-%20FINAL%20COMPANY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Gas%20GRC%202011/Cost%20of%20Service/Revenue%20Reqt%20and%20Rate%20Base/May%2016%20235%20pm/Gas%20Rev%20Req%20Model%202011%20GRC%20Orig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DT07-GAS-RATE-SPREAD-DESIGN-19GRC-06-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04-GAS-NORMALIZED-REVENUE-19GRC-06-2019(C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29">
          <cell r="F29">
            <v>7.8E-2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 refreshError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 refreshError="1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>
        <row r="15">
          <cell r="J15">
            <v>2.9899999999999999E-2</v>
          </cell>
        </row>
      </sheetData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>
        <row r="42">
          <cell r="D42">
            <v>63131276.127215527</v>
          </cell>
        </row>
      </sheetData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Spread"/>
      <sheetName val="Rate Design Res"/>
      <sheetName val="Rate Design C&amp;I"/>
      <sheetName val="Rate Design Int &amp; Trans"/>
      <sheetName val="Rate Design Rental"/>
      <sheetName val="Work Papers--&gt;"/>
      <sheetName val="Rate Design Targets"/>
      <sheetName val="Current ERF Rates"/>
    </sheetNames>
    <sheetDataSet>
      <sheetData sheetId="0"/>
      <sheetData sheetId="1">
        <row r="12">
          <cell r="H12">
            <v>11.52</v>
          </cell>
        </row>
        <row r="13">
          <cell r="H13">
            <v>0.44362000000000001</v>
          </cell>
        </row>
        <row r="14">
          <cell r="K14">
            <v>64775982.818858251</v>
          </cell>
        </row>
        <row r="25">
          <cell r="K25">
            <v>7.0624363636363654</v>
          </cell>
        </row>
        <row r="35">
          <cell r="K35">
            <v>983.59000000000015</v>
          </cell>
        </row>
      </sheetData>
      <sheetData sheetId="2">
        <row r="15">
          <cell r="K15">
            <v>28552242.289999995</v>
          </cell>
        </row>
        <row r="27">
          <cell r="K27">
            <v>3924.909999999998</v>
          </cell>
        </row>
        <row r="57">
          <cell r="K57">
            <v>1585484.4512178223</v>
          </cell>
        </row>
        <row r="79">
          <cell r="K79">
            <v>410046.28575402207</v>
          </cell>
        </row>
      </sheetData>
      <sheetData sheetId="3">
        <row r="21">
          <cell r="K21">
            <v>350365.95080162003</v>
          </cell>
        </row>
        <row r="42">
          <cell r="K42">
            <v>1391907.53</v>
          </cell>
        </row>
        <row r="80">
          <cell r="K80">
            <v>-281.22000000000116</v>
          </cell>
        </row>
        <row r="99">
          <cell r="K99">
            <v>302.34999999999582</v>
          </cell>
        </row>
        <row r="141">
          <cell r="K141">
            <v>352242.26000000024</v>
          </cell>
        </row>
        <row r="164">
          <cell r="K164">
            <v>1064195.83</v>
          </cell>
        </row>
        <row r="217">
          <cell r="K217">
            <v>38602.938156811055</v>
          </cell>
        </row>
      </sheetData>
      <sheetData sheetId="4">
        <row r="29">
          <cell r="J29">
            <v>-644531.05999999982</v>
          </cell>
        </row>
      </sheetData>
      <sheetData sheetId="5"/>
      <sheetData sheetId="6"/>
      <sheetData sheetId="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Revenue Exhibit"/>
      <sheetName val="Margin Exhibit"/>
      <sheetName val="Gas Cost Exhibit"/>
      <sheetName val="Volume Exhibit"/>
      <sheetName val="Work Papers --&gt;"/>
      <sheetName val="Revenue Adj. Detail"/>
      <sheetName val="Rider&amp;Tracker Rev"/>
      <sheetName val="(C) Bills &amp; Demand Data"/>
      <sheetName val="Actual Therms"/>
      <sheetName val="(C) Actual Therms By Block"/>
      <sheetName val="(C) Rev at Actual Rates"/>
      <sheetName val="(C) Rev at 2018TR Rates"/>
      <sheetName val="(C) Rev at 2018PGA Rates"/>
      <sheetName val="(C) Norm Rev at 2018TR Rates"/>
      <sheetName val="Actual Rental Revenue"/>
      <sheetName val="Restated Rental Revenue"/>
      <sheetName val="2017 GRC Rates--&gt;"/>
      <sheetName val="Rate Design Res"/>
      <sheetName val="Rate Design C&amp;I"/>
      <sheetName val="Rate Design Int &amp; Trans"/>
      <sheetName val="Rate Design Rental"/>
      <sheetName val="Tax Reform Rates--&gt;"/>
      <sheetName val="Rate Design Res TR"/>
      <sheetName val="Rate Design C&amp;I_TR"/>
      <sheetName val="Rate Design Int &amp; Trans_TR"/>
      <sheetName val="Rate Design Rental_TR"/>
      <sheetName val="Weather Normalization--&gt;"/>
      <sheetName val="Weather Adj"/>
      <sheetName val="SystemWeatherAdj"/>
    </sheetNames>
    <sheetDataSet>
      <sheetData sheetId="0" refreshError="1"/>
      <sheetData sheetId="1">
        <row r="29">
          <cell r="Q29">
            <v>5310380.6899999985</v>
          </cell>
        </row>
      </sheetData>
      <sheetData sheetId="2">
        <row r="12">
          <cell r="E12">
            <v>3054.0466231578944</v>
          </cell>
          <cell r="F12">
            <v>4765.4930399999994</v>
          </cell>
        </row>
        <row r="13">
          <cell r="E13">
            <v>200452727.95384753</v>
          </cell>
          <cell r="F13">
            <v>315760256.31656027</v>
          </cell>
        </row>
        <row r="14">
          <cell r="E14">
            <v>309.99023582000001</v>
          </cell>
          <cell r="F14">
            <v>38.651322340000092</v>
          </cell>
        </row>
        <row r="15">
          <cell r="E15">
            <v>74023519.895873189</v>
          </cell>
          <cell r="F15">
            <v>92776605.726934433</v>
          </cell>
        </row>
        <row r="16">
          <cell r="E16">
            <v>22.048746999999999</v>
          </cell>
          <cell r="F16">
            <v>20250.967397500001</v>
          </cell>
        </row>
        <row r="17">
          <cell r="E17">
            <v>19564303.5988218</v>
          </cell>
          <cell r="F17">
            <v>15320217.588903766</v>
          </cell>
        </row>
        <row r="18">
          <cell r="E18">
            <v>14431.910093999999</v>
          </cell>
          <cell r="F18">
            <v>4134585.1304114936</v>
          </cell>
        </row>
        <row r="20">
          <cell r="E20">
            <v>4356650.7616408002</v>
          </cell>
          <cell r="F20">
            <v>1553046.3044179073</v>
          </cell>
        </row>
        <row r="21">
          <cell r="E21">
            <v>52382.510747000008</v>
          </cell>
          <cell r="F21">
            <v>6939827.0018267175</v>
          </cell>
        </row>
        <row r="22">
          <cell r="E22">
            <v>2431877.92950228</v>
          </cell>
          <cell r="F22">
            <v>1897331.8556931536</v>
          </cell>
        </row>
        <row r="23">
          <cell r="E23">
            <v>245.90170500000005</v>
          </cell>
          <cell r="F23">
            <v>70956.431430000011</v>
          </cell>
        </row>
        <row r="24">
          <cell r="E24">
            <v>6188133.3463399597</v>
          </cell>
          <cell r="F24">
            <v>1075131.9096302763</v>
          </cell>
        </row>
        <row r="25">
          <cell r="E25">
            <v>70159.115411000006</v>
          </cell>
          <cell r="F25">
            <v>3528120.300234559</v>
          </cell>
        </row>
        <row r="26">
          <cell r="F26">
            <v>1719215.5127806603</v>
          </cell>
        </row>
      </sheetData>
      <sheetData sheetId="3" refreshError="1"/>
      <sheetData sheetId="4" refreshError="1"/>
      <sheetData sheetId="5" refreshError="1"/>
      <sheetData sheetId="6">
        <row r="27">
          <cell r="E27">
            <v>-41329081.230000004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21">
          <cell r="Q21">
            <v>628.70833333333326</v>
          </cell>
          <cell r="AV21">
            <v>16245071.132224679</v>
          </cell>
          <cell r="AW21">
            <v>236312.47551807761</v>
          </cell>
          <cell r="AX21">
            <v>728746.42588699982</v>
          </cell>
        </row>
        <row r="22">
          <cell r="Q22">
            <v>672.58333333333303</v>
          </cell>
          <cell r="AV22">
            <v>-10094133.903440788</v>
          </cell>
          <cell r="AW22">
            <v>-142539.83520227671</v>
          </cell>
          <cell r="AX22">
            <v>-409771.28147083148</v>
          </cell>
        </row>
        <row r="23">
          <cell r="Q23">
            <v>589.02083333333303</v>
          </cell>
          <cell r="AV23">
            <v>630373.3332798481</v>
          </cell>
          <cell r="AW23">
            <v>5630.268187135458</v>
          </cell>
          <cell r="AX23">
            <v>12863.452807337046</v>
          </cell>
        </row>
        <row r="24">
          <cell r="Q24">
            <v>419.04166666666703</v>
          </cell>
          <cell r="AV24">
            <v>3139156.0031094402</v>
          </cell>
          <cell r="AW24">
            <v>22930.327251821756</v>
          </cell>
          <cell r="AX24">
            <v>180403.77861916646</v>
          </cell>
        </row>
        <row r="25">
          <cell r="Q25">
            <v>172.458333333333</v>
          </cell>
          <cell r="AV25">
            <v>8688222.5962853134</v>
          </cell>
          <cell r="AW25">
            <v>0</v>
          </cell>
          <cell r="AX25">
            <v>488124.25953488797</v>
          </cell>
        </row>
        <row r="26">
          <cell r="Q26">
            <v>124.833333333333</v>
          </cell>
          <cell r="AV26">
            <v>1709352.0919530019</v>
          </cell>
          <cell r="AW26">
            <v>0</v>
          </cell>
          <cell r="AX26">
            <v>130561.97256299853</v>
          </cell>
        </row>
        <row r="27">
          <cell r="Q27">
            <v>16.5833333333333</v>
          </cell>
          <cell r="AV27">
            <v>0</v>
          </cell>
          <cell r="AW27">
            <v>0</v>
          </cell>
          <cell r="AX27">
            <v>0</v>
          </cell>
        </row>
        <row r="28">
          <cell r="Q28">
            <v>25.0833333333333</v>
          </cell>
          <cell r="AV28">
            <v>0</v>
          </cell>
          <cell r="AW28">
            <v>0</v>
          </cell>
          <cell r="AX28">
            <v>0</v>
          </cell>
        </row>
        <row r="29">
          <cell r="Q29">
            <v>116.666666666667</v>
          </cell>
          <cell r="AV29">
            <v>1067915.4227778688</v>
          </cell>
          <cell r="AW29">
            <v>0</v>
          </cell>
          <cell r="AX29">
            <v>76403.046457555145</v>
          </cell>
        </row>
        <row r="30">
          <cell r="Q30">
            <v>366.375</v>
          </cell>
          <cell r="AV30">
            <v>2175033.5573171079</v>
          </cell>
          <cell r="AW30">
            <v>24555.848958472256</v>
          </cell>
          <cell r="AX30">
            <v>79407.407077778131</v>
          </cell>
        </row>
        <row r="31">
          <cell r="Q31">
            <v>493.60416666666703</v>
          </cell>
          <cell r="AV31">
            <v>14656763.599435285</v>
          </cell>
          <cell r="AW31">
            <v>48593.865574755706</v>
          </cell>
          <cell r="AX31">
            <v>703675.8156241551</v>
          </cell>
        </row>
        <row r="32">
          <cell r="Q32">
            <v>653.20833333333303</v>
          </cell>
          <cell r="AV32">
            <v>15822092.234883398</v>
          </cell>
          <cell r="AW32">
            <v>0</v>
          </cell>
          <cell r="AX32">
            <v>458214.37069199979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45"/>
  <sheetViews>
    <sheetView tabSelected="1" zoomScale="90" zoomScaleNormal="90" workbookViewId="0">
      <pane xSplit="3" ySplit="9" topLeftCell="D10" activePane="bottomRight" state="frozenSplit"/>
      <selection activeCell="V25" sqref="V25"/>
      <selection pane="topRight" activeCell="V25" sqref="V25"/>
      <selection pane="bottomLeft" activeCell="V25" sqref="V25"/>
      <selection pane="bottomRight" activeCell="I15" sqref="I15"/>
    </sheetView>
  </sheetViews>
  <sheetFormatPr defaultRowHeight="15" x14ac:dyDescent="0.25"/>
  <cols>
    <col min="1" max="1" width="2.85546875" customWidth="1"/>
    <col min="2" max="2" width="32.140625" customWidth="1"/>
    <col min="3" max="3" width="9.140625" bestFit="1" customWidth="1"/>
    <col min="4" max="4" width="16" bestFit="1" customWidth="1"/>
    <col min="5" max="5" width="2.42578125" customWidth="1"/>
    <col min="6" max="6" width="16" bestFit="1" customWidth="1"/>
    <col min="7" max="7" width="10.28515625" customWidth="1"/>
    <col min="8" max="8" width="2.42578125" customWidth="1"/>
    <col min="9" max="9" width="16" bestFit="1" customWidth="1"/>
    <col min="10" max="10" width="10.42578125" customWidth="1"/>
    <col min="11" max="11" width="2.42578125" customWidth="1"/>
    <col min="12" max="12" width="16" bestFit="1" customWidth="1"/>
    <col min="13" max="13" width="10.42578125" customWidth="1"/>
    <col min="14" max="14" width="2.42578125" customWidth="1"/>
    <col min="15" max="15" width="16" bestFit="1" customWidth="1"/>
    <col min="16" max="16" width="10.42578125" customWidth="1"/>
    <col min="17" max="17" width="2.42578125" customWidth="1"/>
    <col min="18" max="18" width="16" bestFit="1" customWidth="1"/>
    <col min="19" max="19" width="10.28515625" customWidth="1"/>
    <col min="20" max="20" width="2.42578125" customWidth="1"/>
    <col min="21" max="21" width="15.140625" customWidth="1"/>
    <col min="22" max="22" width="16" bestFit="1" customWidth="1"/>
    <col min="23" max="23" width="10.42578125" customWidth="1"/>
    <col min="24" max="24" width="9.140625" customWidth="1"/>
    <col min="25" max="25" width="9.28515625" customWidth="1"/>
  </cols>
  <sheetData>
    <row r="1" spans="2:24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60"/>
    </row>
    <row r="2" spans="2:24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60"/>
    </row>
    <row r="3" spans="2:24" x14ac:dyDescent="0.25">
      <c r="B3" s="394" t="s">
        <v>359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  <c r="V3" s="394"/>
      <c r="W3" s="394"/>
      <c r="X3" s="340"/>
    </row>
    <row r="4" spans="2:24" x14ac:dyDescent="0.25">
      <c r="B4" s="394" t="s">
        <v>432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4"/>
      <c r="U4" s="394"/>
      <c r="V4" s="394"/>
      <c r="W4" s="394"/>
      <c r="X4" s="340"/>
    </row>
    <row r="5" spans="2:24" x14ac:dyDescent="0.25"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  <c r="M5" s="341"/>
      <c r="N5" s="341"/>
      <c r="O5" s="341"/>
      <c r="P5" s="341"/>
      <c r="Q5" s="341"/>
      <c r="R5" s="391"/>
      <c r="S5" s="391"/>
      <c r="T5" s="391"/>
      <c r="U5" s="341"/>
      <c r="V5" s="341"/>
      <c r="W5" s="341"/>
      <c r="X5" s="340"/>
    </row>
    <row r="6" spans="2:24" x14ac:dyDescent="0.25">
      <c r="D6" s="330" t="s">
        <v>405</v>
      </c>
      <c r="H6" s="316"/>
      <c r="P6" s="316"/>
      <c r="Q6" s="316"/>
      <c r="R6" s="391"/>
      <c r="S6" s="391"/>
      <c r="T6" s="391"/>
      <c r="U6" s="330" t="s">
        <v>405</v>
      </c>
    </row>
    <row r="7" spans="2:24" x14ac:dyDescent="0.25">
      <c r="B7" s="5"/>
      <c r="C7" s="5"/>
      <c r="D7" s="330" t="s">
        <v>393</v>
      </c>
      <c r="E7" s="5"/>
      <c r="F7" s="5"/>
      <c r="G7" s="5" t="s">
        <v>426</v>
      </c>
      <c r="H7" s="5"/>
      <c r="I7" s="5" t="s">
        <v>420</v>
      </c>
      <c r="J7" s="5" t="s">
        <v>420</v>
      </c>
      <c r="K7" s="5"/>
      <c r="L7" s="5" t="s">
        <v>421</v>
      </c>
      <c r="M7" s="5" t="s">
        <v>421</v>
      </c>
      <c r="N7" s="5"/>
      <c r="O7" s="5" t="s">
        <v>425</v>
      </c>
      <c r="P7" s="5" t="s">
        <v>425</v>
      </c>
      <c r="Q7" s="5"/>
      <c r="R7" s="5" t="s">
        <v>433</v>
      </c>
      <c r="S7" s="5" t="s">
        <v>433</v>
      </c>
      <c r="T7" s="5"/>
      <c r="U7" s="5" t="s">
        <v>393</v>
      </c>
      <c r="V7" s="5"/>
      <c r="W7" s="5"/>
      <c r="X7" s="5"/>
    </row>
    <row r="8" spans="2:24" x14ac:dyDescent="0.25">
      <c r="B8" s="5"/>
      <c r="C8" s="5" t="s">
        <v>17</v>
      </c>
      <c r="D8" s="5" t="s">
        <v>378</v>
      </c>
      <c r="E8" s="5"/>
      <c r="F8" s="5" t="s">
        <v>419</v>
      </c>
      <c r="G8" s="5" t="s">
        <v>17</v>
      </c>
      <c r="H8" s="5"/>
      <c r="I8" s="5" t="s">
        <v>212</v>
      </c>
      <c r="J8" s="5" t="s">
        <v>212</v>
      </c>
      <c r="K8" s="5"/>
      <c r="L8" s="5" t="s">
        <v>361</v>
      </c>
      <c r="M8" s="5" t="s">
        <v>361</v>
      </c>
      <c r="N8" s="5"/>
      <c r="O8" s="5" t="s">
        <v>427</v>
      </c>
      <c r="P8" s="5" t="s">
        <v>427</v>
      </c>
      <c r="Q8" s="5"/>
      <c r="R8" s="5" t="s">
        <v>434</v>
      </c>
      <c r="S8" s="5" t="s">
        <v>434</v>
      </c>
      <c r="T8" s="5"/>
      <c r="U8" s="5" t="s">
        <v>377</v>
      </c>
      <c r="V8" s="5" t="s">
        <v>433</v>
      </c>
      <c r="W8" s="5" t="s">
        <v>433</v>
      </c>
      <c r="X8" s="5"/>
    </row>
    <row r="9" spans="2:24" x14ac:dyDescent="0.25">
      <c r="B9" s="218" t="s">
        <v>4</v>
      </c>
      <c r="C9" s="218" t="s">
        <v>21</v>
      </c>
      <c r="D9" s="218" t="s">
        <v>379</v>
      </c>
      <c r="E9" s="218"/>
      <c r="F9" s="218" t="s">
        <v>244</v>
      </c>
      <c r="G9" s="218" t="s">
        <v>370</v>
      </c>
      <c r="H9" s="218"/>
      <c r="I9" s="218" t="s">
        <v>244</v>
      </c>
      <c r="J9" s="218" t="s">
        <v>371</v>
      </c>
      <c r="K9" s="218"/>
      <c r="L9" s="218" t="s">
        <v>244</v>
      </c>
      <c r="M9" s="218" t="s">
        <v>371</v>
      </c>
      <c r="N9" s="218"/>
      <c r="O9" s="218" t="s">
        <v>244</v>
      </c>
      <c r="P9" s="218" t="s">
        <v>371</v>
      </c>
      <c r="Q9" s="218"/>
      <c r="R9" s="392" t="s">
        <v>244</v>
      </c>
      <c r="S9" s="392" t="s">
        <v>371</v>
      </c>
      <c r="T9" s="392"/>
      <c r="U9" s="218" t="s">
        <v>260</v>
      </c>
      <c r="V9" s="218" t="s">
        <v>244</v>
      </c>
      <c r="W9" s="218" t="s">
        <v>371</v>
      </c>
      <c r="X9" s="218"/>
    </row>
    <row r="10" spans="2:24" x14ac:dyDescent="0.25">
      <c r="B10" s="5" t="s">
        <v>25</v>
      </c>
      <c r="C10" s="5" t="s">
        <v>26</v>
      </c>
      <c r="D10" s="5" t="s">
        <v>27</v>
      </c>
      <c r="E10" s="5"/>
      <c r="F10" s="302" t="s">
        <v>28</v>
      </c>
      <c r="G10" s="7" t="s">
        <v>383</v>
      </c>
      <c r="H10" s="5"/>
      <c r="I10" s="302" t="s">
        <v>262</v>
      </c>
      <c r="J10" s="7" t="s">
        <v>384</v>
      </c>
      <c r="K10" s="5"/>
      <c r="L10" s="302" t="s">
        <v>111</v>
      </c>
      <c r="M10" s="7" t="s">
        <v>385</v>
      </c>
      <c r="N10" s="7"/>
      <c r="O10" s="302" t="s">
        <v>29</v>
      </c>
      <c r="P10" s="7" t="s">
        <v>386</v>
      </c>
      <c r="Q10" s="5"/>
      <c r="R10" s="5" t="s">
        <v>438</v>
      </c>
      <c r="S10" s="5" t="s">
        <v>437</v>
      </c>
      <c r="T10" s="5"/>
      <c r="U10" s="5" t="s">
        <v>439</v>
      </c>
      <c r="V10" s="302" t="s">
        <v>440</v>
      </c>
      <c r="W10" s="7" t="s">
        <v>441</v>
      </c>
      <c r="X10" s="5"/>
    </row>
    <row r="11" spans="2:24" x14ac:dyDescent="0.25">
      <c r="B11" t="s">
        <v>7</v>
      </c>
      <c r="C11" s="8" t="s">
        <v>30</v>
      </c>
      <c r="D11" s="331">
        <f>'Base Rate Impacts'!P10</f>
        <v>569360424.86566794</v>
      </c>
      <c r="E11" s="8"/>
      <c r="F11" s="317">
        <f>'Base Rate Impacts'!Q10</f>
        <v>64775989.881294616</v>
      </c>
      <c r="G11" s="224">
        <f>F11/$D11</f>
        <v>0.11376974417668305</v>
      </c>
      <c r="H11" s="9"/>
      <c r="I11" s="317">
        <f>'Sch. 141 Impacts'!Q10</f>
        <v>-19326947.757790502</v>
      </c>
      <c r="J11" s="224">
        <f>I11/$D11</f>
        <v>-3.3945014289235867E-2</v>
      </c>
      <c r="K11" s="155"/>
      <c r="L11" s="317">
        <f>'Sch. 141X Impacts'!Q10</f>
        <v>4349643.2620515758</v>
      </c>
      <c r="M11" s="224">
        <f>L11/$D11</f>
        <v>7.6395251093853405E-3</v>
      </c>
      <c r="N11" s="155"/>
      <c r="O11" s="317">
        <f>'Sch. 149 Impacts'!Q10</f>
        <v>-6879152.9663698804</v>
      </c>
      <c r="P11" s="224">
        <f>O11/$D11</f>
        <v>-1.2082246439929353E-2</v>
      </c>
      <c r="Q11" s="155"/>
      <c r="R11" s="336">
        <f>SUM(I11,L11,O11)</f>
        <v>-21856457.462108806</v>
      </c>
      <c r="S11" s="224">
        <f>R11/$D11</f>
        <v>-3.8387735619779879E-2</v>
      </c>
      <c r="T11" s="155"/>
      <c r="U11" s="336">
        <f>SUM(D11,F11,I11,L11,O11)</f>
        <v>612279957.28485382</v>
      </c>
      <c r="V11" s="339">
        <f>U11-D11</f>
        <v>42919532.419185877</v>
      </c>
      <c r="W11" s="224">
        <f>V11/$D11</f>
        <v>7.5382008556903302E-2</v>
      </c>
      <c r="X11" s="224"/>
    </row>
    <row r="12" spans="2:24" x14ac:dyDescent="0.25">
      <c r="B12" t="s">
        <v>31</v>
      </c>
      <c r="C12" s="8">
        <v>16</v>
      </c>
      <c r="D12" s="331">
        <f>'Base Rate Impacts'!P11</f>
        <v>8394.1226606778928</v>
      </c>
      <c r="E12" s="8"/>
      <c r="F12" s="317">
        <f>'Base Rate Impacts'!Q11</f>
        <v>983.59000000000015</v>
      </c>
      <c r="G12" s="224">
        <f>F12/$D12</f>
        <v>0.11717603372745655</v>
      </c>
      <c r="H12" s="9"/>
      <c r="I12" s="317">
        <f>'Sch. 141 Impacts'!Q11</f>
        <v>-290.15901894736834</v>
      </c>
      <c r="J12" s="224">
        <f t="shared" ref="J12:J27" si="0">I12/$D12</f>
        <v>-3.4566926250269456E-2</v>
      </c>
      <c r="K12" s="155"/>
      <c r="L12" s="317">
        <f>'Sch. 141X Impacts'!Q11</f>
        <v>63.933343157894242</v>
      </c>
      <c r="M12" s="224">
        <f t="shared" ref="M12:M27" si="1">L12/$D12</f>
        <v>7.6164413771779588E-3</v>
      </c>
      <c r="N12" s="155"/>
      <c r="O12" s="317">
        <f>'Sch. 149 Impacts'!Q11</f>
        <v>-104.74740583999998</v>
      </c>
      <c r="P12" s="224">
        <f t="shared" ref="P12:P27" si="2">O12/$D12</f>
        <v>-1.2478660376347275E-2</v>
      </c>
      <c r="Q12" s="155"/>
      <c r="R12" s="336">
        <f t="shared" ref="R12:R23" si="3">SUM(I12,L12,O12)</f>
        <v>-330.97308162947411</v>
      </c>
      <c r="S12" s="224">
        <f t="shared" ref="S12:S23" si="4">R12/$D12</f>
        <v>-3.9429145249438774E-2</v>
      </c>
      <c r="T12" s="155"/>
      <c r="U12" s="336">
        <f t="shared" ref="U12:U23" si="5">SUM(D12,F12,I12,L12,O12)</f>
        <v>9046.7395790484188</v>
      </c>
      <c r="V12" s="339">
        <f t="shared" ref="V12:V23" si="6">U12-D12</f>
        <v>652.61691837052604</v>
      </c>
      <c r="W12" s="224">
        <f t="shared" ref="W12:W26" si="7">V12/$D12</f>
        <v>7.7746888478017778E-2</v>
      </c>
      <c r="X12" s="224"/>
    </row>
    <row r="13" spans="2:24" x14ac:dyDescent="0.25">
      <c r="B13" t="s">
        <v>8</v>
      </c>
      <c r="C13" s="8">
        <v>31</v>
      </c>
      <c r="D13" s="331">
        <f>'Base Rate Impacts'!P12</f>
        <v>179211324.93804225</v>
      </c>
      <c r="E13" s="8"/>
      <c r="F13" s="317">
        <f>'Base Rate Impacts'!Q12</f>
        <v>28552242.289999995</v>
      </c>
      <c r="G13" s="224">
        <f t="shared" ref="G13:G27" si="8">F13/$D13</f>
        <v>0.15932164052618442</v>
      </c>
      <c r="H13" s="9"/>
      <c r="I13" s="317">
        <f>'Sch. 141 Impacts'!Q12</f>
        <v>-6110887.9022791656</v>
      </c>
      <c r="J13" s="224">
        <f t="shared" si="0"/>
        <v>-3.4098782007174207E-2</v>
      </c>
      <c r="K13" s="155"/>
      <c r="L13" s="317">
        <f>'Sch. 141X Impacts'!Q12</f>
        <v>1275527.7649596378</v>
      </c>
      <c r="M13" s="224">
        <f t="shared" si="1"/>
        <v>7.1174506711594206E-3</v>
      </c>
      <c r="N13" s="155"/>
      <c r="O13" s="317">
        <f>'Sch. 149 Impacts'!Q12</f>
        <v>-2526828.0251846407</v>
      </c>
      <c r="P13" s="224">
        <f t="shared" si="2"/>
        <v>-1.4099711756822439E-2</v>
      </c>
      <c r="Q13" s="155"/>
      <c r="R13" s="336">
        <f t="shared" si="3"/>
        <v>-7362188.1625041682</v>
      </c>
      <c r="S13" s="224">
        <f t="shared" si="4"/>
        <v>-4.1081043092837222E-2</v>
      </c>
      <c r="T13" s="155"/>
      <c r="U13" s="336">
        <f t="shared" si="5"/>
        <v>200401379.06553808</v>
      </c>
      <c r="V13" s="339">
        <f t="shared" si="6"/>
        <v>21190054.127495825</v>
      </c>
      <c r="W13" s="224">
        <f t="shared" si="7"/>
        <v>0.11824059743334718</v>
      </c>
      <c r="X13" s="224"/>
    </row>
    <row r="14" spans="2:24" x14ac:dyDescent="0.25">
      <c r="B14" t="s">
        <v>9</v>
      </c>
      <c r="C14" s="8">
        <v>41</v>
      </c>
      <c r="D14" s="331">
        <f>'Base Rate Impacts'!P13</f>
        <v>37596250.87256778</v>
      </c>
      <c r="E14" s="8"/>
      <c r="F14" s="317">
        <f>'Base Rate Impacts'!Q13</f>
        <v>1585484.4512178223</v>
      </c>
      <c r="G14" s="224">
        <f t="shared" si="8"/>
        <v>4.2171344600072234E-2</v>
      </c>
      <c r="H14" s="9"/>
      <c r="I14" s="317">
        <f>'Sch. 141 Impacts'!Q13</f>
        <v>-1231564.7640418469</v>
      </c>
      <c r="J14" s="224">
        <f t="shared" si="0"/>
        <v>-3.2757648314887214E-2</v>
      </c>
      <c r="K14" s="155"/>
      <c r="L14" s="317">
        <f>'Sch. 141X Impacts'!Q13</f>
        <v>212630.16343783514</v>
      </c>
      <c r="M14" s="224">
        <f t="shared" si="1"/>
        <v>5.655621464984462E-3</v>
      </c>
      <c r="N14" s="155"/>
      <c r="O14" s="317">
        <f>'Sch. 149 Impacts'!Q13</f>
        <v>-407396.71755076008</v>
      </c>
      <c r="P14" s="224">
        <f t="shared" si="2"/>
        <v>-1.0836099560342554E-2</v>
      </c>
      <c r="Q14" s="155"/>
      <c r="R14" s="336">
        <f t="shared" si="3"/>
        <v>-1426331.3181547718</v>
      </c>
      <c r="S14" s="224">
        <f t="shared" si="4"/>
        <v>-3.7938126410245306E-2</v>
      </c>
      <c r="T14" s="155"/>
      <c r="U14" s="336">
        <f t="shared" si="5"/>
        <v>37755404.005630828</v>
      </c>
      <c r="V14" s="339">
        <f t="shared" si="6"/>
        <v>159153.13306304812</v>
      </c>
      <c r="W14" s="224">
        <f t="shared" si="7"/>
        <v>4.2332181898268664E-3</v>
      </c>
      <c r="X14" s="224"/>
    </row>
    <row r="15" spans="2:24" x14ac:dyDescent="0.25">
      <c r="B15" t="s">
        <v>10</v>
      </c>
      <c r="C15" s="8">
        <v>85</v>
      </c>
      <c r="D15" s="331">
        <f>'Base Rate Impacts'!P14</f>
        <v>6334641.3946324075</v>
      </c>
      <c r="E15" s="8"/>
      <c r="F15" s="317">
        <f>'Base Rate Impacts'!Q14</f>
        <v>350365.95080162003</v>
      </c>
      <c r="G15" s="224">
        <f t="shared" si="8"/>
        <v>5.5309516194318273E-2</v>
      </c>
      <c r="H15" s="9"/>
      <c r="I15" s="317">
        <f>'Sch. 141 Impacts'!Q14</f>
        <v>-152845.92818257306</v>
      </c>
      <c r="J15" s="224">
        <f t="shared" si="0"/>
        <v>-2.4128584186641641E-2</v>
      </c>
      <c r="K15" s="155"/>
      <c r="L15" s="317">
        <f>'Sch. 141X Impacts'!Q14</f>
        <v>21392.139480227721</v>
      </c>
      <c r="M15" s="224">
        <f t="shared" si="1"/>
        <v>3.3770087598572079E-3</v>
      </c>
      <c r="N15" s="155"/>
      <c r="O15" s="317">
        <f>'Sch. 149 Impacts'!Q14</f>
        <v>-52258.275213740002</v>
      </c>
      <c r="P15" s="224">
        <f t="shared" si="2"/>
        <v>-8.2496027727821351E-3</v>
      </c>
      <c r="Q15" s="155"/>
      <c r="R15" s="336">
        <f t="shared" si="3"/>
        <v>-183712.06391608535</v>
      </c>
      <c r="S15" s="224">
        <f t="shared" si="4"/>
        <v>-2.9001178199566571E-2</v>
      </c>
      <c r="T15" s="155"/>
      <c r="U15" s="336">
        <f t="shared" si="5"/>
        <v>6501295.2815179424</v>
      </c>
      <c r="V15" s="339">
        <f t="shared" si="6"/>
        <v>166653.88688553497</v>
      </c>
      <c r="W15" s="224">
        <f t="shared" si="7"/>
        <v>2.6308337994751747E-2</v>
      </c>
      <c r="X15" s="224"/>
    </row>
    <row r="16" spans="2:24" x14ac:dyDescent="0.25">
      <c r="B16" t="s">
        <v>11</v>
      </c>
      <c r="C16" s="8">
        <v>86</v>
      </c>
      <c r="D16" s="331">
        <f>'Base Rate Impacts'!P15</f>
        <v>4634610.5169545421</v>
      </c>
      <c r="E16" s="8"/>
      <c r="F16" s="317">
        <f>'Base Rate Impacts'!Q15</f>
        <v>-281.22000000000116</v>
      </c>
      <c r="G16" s="224">
        <f t="shared" si="8"/>
        <v>-6.0678238003221505E-5</v>
      </c>
      <c r="H16" s="9"/>
      <c r="I16" s="317">
        <f>'Sch. 141 Impacts'!Q15</f>
        <v>-152181.0190152016</v>
      </c>
      <c r="J16" s="224">
        <f t="shared" si="0"/>
        <v>-3.2835773029575216E-2</v>
      </c>
      <c r="K16" s="155"/>
      <c r="L16" s="317">
        <f>'Sch. 141X Impacts'!Q15</f>
        <v>26020.314480684341</v>
      </c>
      <c r="M16" s="224">
        <f t="shared" si="1"/>
        <v>5.614347610332227E-3</v>
      </c>
      <c r="N16" s="155"/>
      <c r="O16" s="317">
        <f>'Sch. 149 Impacts'!Q15</f>
        <v>-36323.442690949996</v>
      </c>
      <c r="P16" s="224">
        <f t="shared" si="2"/>
        <v>-7.8374315507354787E-3</v>
      </c>
      <c r="Q16" s="155"/>
      <c r="R16" s="336">
        <f t="shared" si="3"/>
        <v>-162484.14722546726</v>
      </c>
      <c r="S16" s="224">
        <f t="shared" si="4"/>
        <v>-3.5058856969978465E-2</v>
      </c>
      <c r="T16" s="155"/>
      <c r="U16" s="336">
        <f t="shared" si="5"/>
        <v>4471845.1497290758</v>
      </c>
      <c r="V16" s="339">
        <f t="shared" si="6"/>
        <v>-162765.3672254663</v>
      </c>
      <c r="W16" s="224">
        <f t="shared" si="7"/>
        <v>-3.511953520798148E-2</v>
      </c>
      <c r="X16" s="224"/>
    </row>
    <row r="17" spans="2:27" x14ac:dyDescent="0.25">
      <c r="B17" t="s">
        <v>12</v>
      </c>
      <c r="C17" s="8">
        <v>87</v>
      </c>
      <c r="D17" s="331">
        <f>'Base Rate Impacts'!P16</f>
        <v>7709847.8877991261</v>
      </c>
      <c r="E17" s="8"/>
      <c r="F17" s="317">
        <f>'Base Rate Impacts'!Q16</f>
        <v>352242.26000000024</v>
      </c>
      <c r="G17" s="224">
        <f t="shared" si="8"/>
        <v>4.5687316420006861E-2</v>
      </c>
      <c r="H17" s="9"/>
      <c r="I17" s="317">
        <f>'Sch. 141 Impacts'!Q16</f>
        <v>-106551.53823372703</v>
      </c>
      <c r="J17" s="224">
        <f t="shared" si="0"/>
        <v>-1.3820186829152023E-2</v>
      </c>
      <c r="K17" s="155"/>
      <c r="L17" s="317">
        <f>'Sch. 141X Impacts'!Q16</f>
        <v>14969.602689134326</v>
      </c>
      <c r="M17" s="224">
        <f t="shared" si="1"/>
        <v>1.9416210160026373E-3</v>
      </c>
      <c r="N17" s="155"/>
      <c r="O17" s="317">
        <f>'Sch. 149 Impacts'!Q16</f>
        <v>-46221.081791180004</v>
      </c>
      <c r="P17" s="224">
        <f t="shared" si="2"/>
        <v>-5.9950705206940728E-3</v>
      </c>
      <c r="Q17" s="155"/>
      <c r="R17" s="336">
        <f t="shared" si="3"/>
        <v>-137803.01733577272</v>
      </c>
      <c r="S17" s="224">
        <f t="shared" si="4"/>
        <v>-1.7873636333843462E-2</v>
      </c>
      <c r="T17" s="155"/>
      <c r="U17" s="336">
        <f t="shared" si="5"/>
        <v>7924287.1304633534</v>
      </c>
      <c r="V17" s="339">
        <f t="shared" si="6"/>
        <v>214439.24266422726</v>
      </c>
      <c r="W17" s="224">
        <f t="shared" si="7"/>
        <v>2.7813680086163368E-2</v>
      </c>
      <c r="X17" s="224"/>
    </row>
    <row r="18" spans="2:27" x14ac:dyDescent="0.25">
      <c r="B18" t="s">
        <v>436</v>
      </c>
      <c r="C18" s="8" t="s">
        <v>33</v>
      </c>
      <c r="D18" s="331">
        <f>'Base Rate Impacts'!P17</f>
        <v>21454.119753599993</v>
      </c>
      <c r="E18" s="8"/>
      <c r="F18" s="317">
        <f>'Base Rate Impacts'!Q17</f>
        <v>3924.909999999998</v>
      </c>
      <c r="G18" s="224">
        <f t="shared" si="8"/>
        <v>0.18294435031954176</v>
      </c>
      <c r="H18" s="9"/>
      <c r="I18" s="317">
        <f>'Sch. 141 Impacts'!Q17</f>
        <v>-866.53242810000165</v>
      </c>
      <c r="J18" s="224">
        <f t="shared" si="0"/>
        <v>-4.0390024762241662E-2</v>
      </c>
      <c r="K18" s="208"/>
      <c r="L18" s="317">
        <f>'Sch. 141X Impacts'!Q17</f>
        <v>278.53775050000007</v>
      </c>
      <c r="M18" s="224">
        <f t="shared" si="1"/>
        <v>1.2982949368186572E-2</v>
      </c>
      <c r="N18" s="155"/>
      <c r="O18" s="317">
        <f>'Sch. 149 Impacts'!Q17</f>
        <v>-342.70052480000004</v>
      </c>
      <c r="P18" s="224">
        <f t="shared" si="2"/>
        <v>-1.5973646494748171E-2</v>
      </c>
      <c r="Q18" s="155"/>
      <c r="R18" s="336">
        <f t="shared" si="3"/>
        <v>-930.69520240000156</v>
      </c>
      <c r="S18" s="224">
        <f t="shared" si="4"/>
        <v>-4.3380721888803257E-2</v>
      </c>
      <c r="T18" s="155"/>
      <c r="U18" s="336">
        <f t="shared" si="5"/>
        <v>24448.334551199991</v>
      </c>
      <c r="V18" s="339">
        <f t="shared" si="6"/>
        <v>2994.2147975999978</v>
      </c>
      <c r="W18" s="224">
        <f t="shared" si="7"/>
        <v>0.13956362843073858</v>
      </c>
      <c r="X18" s="224"/>
    </row>
    <row r="19" spans="2:27" x14ac:dyDescent="0.25">
      <c r="B19" t="s">
        <v>34</v>
      </c>
      <c r="C19" t="s">
        <v>35</v>
      </c>
      <c r="D19" s="331">
        <f>'Base Rate Impacts'!P18</f>
        <v>4507727.2843604945</v>
      </c>
      <c r="F19" s="317">
        <f>'Base Rate Impacts'!Q18</f>
        <v>410046.28575402207</v>
      </c>
      <c r="G19" s="224">
        <f t="shared" si="8"/>
        <v>9.09651937411282E-2</v>
      </c>
      <c r="H19" s="9"/>
      <c r="I19" s="317">
        <f>'Sch. 141 Impacts'!Q18</f>
        <v>-176127.76092043327</v>
      </c>
      <c r="J19" s="224">
        <f t="shared" si="0"/>
        <v>-3.9072408291314878E-2</v>
      </c>
      <c r="K19" s="208"/>
      <c r="L19" s="317">
        <f>'Sch. 141X Impacts'!Q18</f>
        <v>56536.053717578929</v>
      </c>
      <c r="M19" s="224">
        <f t="shared" si="1"/>
        <v>1.2542030640081109E-2</v>
      </c>
      <c r="N19" s="155"/>
      <c r="O19" s="317">
        <f>'Sch. 149 Impacts'!Q18</f>
        <v>-128237.8296924</v>
      </c>
      <c r="P19" s="224">
        <f t="shared" si="2"/>
        <v>-2.8448444549278661E-2</v>
      </c>
      <c r="Q19" s="155"/>
      <c r="R19" s="336">
        <f t="shared" si="3"/>
        <v>-247829.53689525434</v>
      </c>
      <c r="S19" s="224">
        <f t="shared" si="4"/>
        <v>-5.4978822200512423E-2</v>
      </c>
      <c r="T19" s="155"/>
      <c r="U19" s="336">
        <f t="shared" si="5"/>
        <v>4669944.033219262</v>
      </c>
      <c r="V19" s="339">
        <f t="shared" si="6"/>
        <v>162216.74885876756</v>
      </c>
      <c r="W19" s="224">
        <f t="shared" si="7"/>
        <v>3.5986371540615736E-2</v>
      </c>
      <c r="X19" s="224"/>
    </row>
    <row r="20" spans="2:27" x14ac:dyDescent="0.25">
      <c r="B20" t="s">
        <v>36</v>
      </c>
      <c r="C20" t="s">
        <v>37</v>
      </c>
      <c r="D20" s="331">
        <f>'Base Rate Impacts'!P19</f>
        <v>7705038.1222654162</v>
      </c>
      <c r="F20" s="317">
        <f>'Base Rate Impacts'!Q19</f>
        <v>1391907.53</v>
      </c>
      <c r="G20" s="224">
        <f t="shared" si="8"/>
        <v>0.18064901275151055</v>
      </c>
      <c r="H20" s="9"/>
      <c r="I20" s="317">
        <f>'Sch. 141 Impacts'!Q19</f>
        <v>-298624.84595378366</v>
      </c>
      <c r="J20" s="224">
        <f t="shared" si="0"/>
        <v>-3.8757088701591356E-2</v>
      </c>
      <c r="K20" s="208"/>
      <c r="L20" s="317">
        <f>'Sch. 141X Impacts'!Q19</f>
        <v>95474.419652263314</v>
      </c>
      <c r="M20" s="224">
        <f t="shared" si="1"/>
        <v>1.2391167718738315E-2</v>
      </c>
      <c r="N20" s="155"/>
      <c r="O20" s="317">
        <f>'Sch. 149 Impacts'!Q19</f>
        <v>-247694.44367510002</v>
      </c>
      <c r="P20" s="224">
        <f t="shared" si="2"/>
        <v>-3.2147075685366434E-2</v>
      </c>
      <c r="Q20" s="155"/>
      <c r="R20" s="336">
        <f t="shared" si="3"/>
        <v>-450844.86997662036</v>
      </c>
      <c r="S20" s="224">
        <f t="shared" si="4"/>
        <v>-5.8512996668219477E-2</v>
      </c>
      <c r="T20" s="155"/>
      <c r="U20" s="336">
        <f t="shared" si="5"/>
        <v>8646100.7822887953</v>
      </c>
      <c r="V20" s="339">
        <f t="shared" si="6"/>
        <v>941062.66002337914</v>
      </c>
      <c r="W20" s="224">
        <f t="shared" si="7"/>
        <v>0.122136016083291</v>
      </c>
      <c r="X20" s="224"/>
    </row>
    <row r="21" spans="2:27" x14ac:dyDescent="0.25">
      <c r="B21" t="s">
        <v>38</v>
      </c>
      <c r="C21" t="s">
        <v>39</v>
      </c>
      <c r="D21" s="331">
        <f>'Base Rate Impacts'!P20</f>
        <v>76576.498531000005</v>
      </c>
      <c r="F21" s="317">
        <f>'Base Rate Impacts'!Q20</f>
        <v>302.34999999999582</v>
      </c>
      <c r="G21" s="224">
        <f t="shared" si="8"/>
        <v>3.9483393181995296E-3</v>
      </c>
      <c r="H21" s="9"/>
      <c r="I21" s="317">
        <f>'Sch. 141 Impacts'!Q20</f>
        <v>-3382.4162797638301</v>
      </c>
      <c r="J21" s="224">
        <f t="shared" si="0"/>
        <v>-4.4170422318207024E-2</v>
      </c>
      <c r="K21" s="208"/>
      <c r="L21" s="317">
        <f>'Sch. 141X Impacts'!Q20</f>
        <v>1085.8368811878063</v>
      </c>
      <c r="M21" s="224">
        <f t="shared" si="1"/>
        <v>1.4179766664941378E-2</v>
      </c>
      <c r="N21" s="155"/>
      <c r="O21" s="317">
        <f>'Sch. 149 Impacts'!Q20</f>
        <v>-1457.8458224999999</v>
      </c>
      <c r="P21" s="224">
        <f t="shared" si="2"/>
        <v>-1.9037770732097774E-2</v>
      </c>
      <c r="Q21" s="155"/>
      <c r="R21" s="336">
        <f t="shared" si="3"/>
        <v>-3754.4252210760237</v>
      </c>
      <c r="S21" s="224">
        <f t="shared" si="4"/>
        <v>-4.9028426385363422E-2</v>
      </c>
      <c r="T21" s="155"/>
      <c r="U21" s="336">
        <f t="shared" si="5"/>
        <v>73124.423309923965</v>
      </c>
      <c r="V21" s="339">
        <f t="shared" si="6"/>
        <v>-3452.0752210760402</v>
      </c>
      <c r="W21" s="224">
        <f t="shared" si="7"/>
        <v>-4.508008706716405E-2</v>
      </c>
      <c r="X21" s="224"/>
    </row>
    <row r="22" spans="2:27" x14ac:dyDescent="0.25">
      <c r="B22" t="s">
        <v>435</v>
      </c>
      <c r="C22" t="s">
        <v>41</v>
      </c>
      <c r="D22" s="331">
        <f>'Base Rate Impacts'!P21</f>
        <v>4076997.0327608585</v>
      </c>
      <c r="F22" s="317">
        <f>'Base Rate Impacts'!Q21</f>
        <v>1064195.83</v>
      </c>
      <c r="G22" s="224">
        <f t="shared" si="8"/>
        <v>0.26102443083686733</v>
      </c>
      <c r="H22" s="9"/>
      <c r="I22" s="317">
        <f>'Sch. 141 Impacts'!Q21</f>
        <v>-152750.99738961991</v>
      </c>
      <c r="J22" s="224">
        <f t="shared" si="0"/>
        <v>-3.7466546127501124E-2</v>
      </c>
      <c r="K22" s="155"/>
      <c r="L22" s="317">
        <f>'Sch. 141X Impacts'!Q21</f>
        <v>48580.80638737644</v>
      </c>
      <c r="M22" s="224">
        <f t="shared" si="1"/>
        <v>1.1915830695240541E-2</v>
      </c>
      <c r="N22" s="155"/>
      <c r="O22" s="317">
        <f>'Sch. 149 Impacts'!Q21</f>
        <v>-202459.16161459999</v>
      </c>
      <c r="P22" s="224">
        <f t="shared" si="2"/>
        <v>-4.96588935404495E-2</v>
      </c>
      <c r="Q22" s="155"/>
      <c r="R22" s="336">
        <f t="shared" si="3"/>
        <v>-306629.35261684342</v>
      </c>
      <c r="S22" s="224">
        <f t="shared" si="4"/>
        <v>-7.5209608972710076E-2</v>
      </c>
      <c r="T22" s="155"/>
      <c r="U22" s="336">
        <f t="shared" si="5"/>
        <v>4834563.5101440148</v>
      </c>
      <c r="V22" s="339">
        <f t="shared" si="6"/>
        <v>757566.47738315631</v>
      </c>
      <c r="W22" s="224">
        <f t="shared" si="7"/>
        <v>0.18581482186415718</v>
      </c>
      <c r="X22" s="224"/>
    </row>
    <row r="23" spans="2:27" x14ac:dyDescent="0.25">
      <c r="B23" t="s">
        <v>13</v>
      </c>
      <c r="D23" s="331">
        <f>'Base Rate Impacts'!P22</f>
        <v>1897125.6151234768</v>
      </c>
      <c r="F23" s="317">
        <f>'Base Rate Impacts'!Q22</f>
        <v>38602.938156811055</v>
      </c>
      <c r="G23" s="224">
        <f t="shared" si="8"/>
        <v>2.0348119201531383E-2</v>
      </c>
      <c r="H23" s="325"/>
      <c r="I23" s="317">
        <f>'Sch. 141 Impacts'!Q22</f>
        <v>-35274.722042470239</v>
      </c>
      <c r="J23" s="224">
        <f t="shared" si="0"/>
        <v>-1.8593772474140749E-2</v>
      </c>
      <c r="K23" s="326"/>
      <c r="L23" s="317">
        <f>'Sch. 141X Impacts'!Q22</f>
        <v>11662.625379653648</v>
      </c>
      <c r="M23" s="224">
        <f t="shared" si="1"/>
        <v>6.1475240683493545E-3</v>
      </c>
      <c r="N23" s="326"/>
      <c r="O23" s="317">
        <f>'Sch. 149 Impacts'!Q22</f>
        <v>-91614.440872499996</v>
      </c>
      <c r="P23" s="224">
        <f t="shared" si="2"/>
        <v>-4.8291183326064129E-2</v>
      </c>
      <c r="Q23" s="326"/>
      <c r="R23" s="336">
        <f t="shared" si="3"/>
        <v>-115226.53753531659</v>
      </c>
      <c r="S23" s="224">
        <f t="shared" si="4"/>
        <v>-6.0737431731855522E-2</v>
      </c>
      <c r="T23" s="326"/>
      <c r="U23" s="336">
        <f t="shared" si="5"/>
        <v>1820502.0157449713</v>
      </c>
      <c r="V23" s="339">
        <f t="shared" si="6"/>
        <v>-76623.599378505489</v>
      </c>
      <c r="W23" s="224">
        <f t="shared" si="7"/>
        <v>-4.0389312530324115E-2</v>
      </c>
      <c r="X23" s="327"/>
      <c r="Y23" s="308"/>
    </row>
    <row r="24" spans="2:27" x14ac:dyDescent="0.25">
      <c r="B24" t="s">
        <v>6</v>
      </c>
      <c r="D24" s="16">
        <f>SUM(D11:D23)</f>
        <v>823140413.27111971</v>
      </c>
      <c r="F24" s="318">
        <f>SUM(F11:F23)</f>
        <v>98526007.047224894</v>
      </c>
      <c r="G24" s="225">
        <f t="shared" si="8"/>
        <v>0.11969526153586284</v>
      </c>
      <c r="H24" s="325"/>
      <c r="I24" s="318">
        <f>SUM(I11:I23)</f>
        <v>-27748296.343576133</v>
      </c>
      <c r="J24" s="225">
        <f t="shared" si="0"/>
        <v>-3.3710283077106808E-2</v>
      </c>
      <c r="K24" s="307"/>
      <c r="L24" s="318">
        <f>SUM(L11:L23)</f>
        <v>6113865.4602108132</v>
      </c>
      <c r="M24" s="225">
        <f t="shared" si="1"/>
        <v>7.4274879007757751E-3</v>
      </c>
      <c r="N24" s="307"/>
      <c r="O24" s="318">
        <f>SUM(O11:O23)</f>
        <v>-10620091.678408891</v>
      </c>
      <c r="P24" s="225">
        <f t="shared" si="2"/>
        <v>-1.2901919899917399E-2</v>
      </c>
      <c r="Q24" s="307"/>
      <c r="R24" s="318">
        <f>SUM(R11:R23)</f>
        <v>-32254522.561774209</v>
      </c>
      <c r="S24" s="225">
        <f>R24/$D24</f>
        <v>-3.9184715076248433E-2</v>
      </c>
      <c r="T24" s="307"/>
      <c r="U24" s="318">
        <f>SUM(U11:U23)</f>
        <v>889411897.75657034</v>
      </c>
      <c r="V24" s="318">
        <f>SUM(V11:V23)</f>
        <v>66271484.485450737</v>
      </c>
      <c r="W24" s="225">
        <f t="shared" si="7"/>
        <v>8.0510546459614474E-2</v>
      </c>
      <c r="X24" s="327"/>
      <c r="Y24" s="307"/>
    </row>
    <row r="25" spans="2:27" s="24" customFormat="1" x14ac:dyDescent="0.25">
      <c r="B25" s="17"/>
      <c r="C25" s="18"/>
      <c r="D25" s="18"/>
      <c r="E25" s="18"/>
      <c r="F25" s="319"/>
      <c r="G25" s="335"/>
      <c r="H25" s="20"/>
      <c r="I25" s="319"/>
      <c r="J25" s="335"/>
      <c r="K25" s="20"/>
      <c r="L25" s="319"/>
      <c r="M25" s="335"/>
      <c r="N25" s="20"/>
      <c r="O25" s="319"/>
      <c r="P25" s="335"/>
      <c r="Q25" s="20"/>
      <c r="R25" s="20"/>
      <c r="S25" s="20"/>
      <c r="T25" s="20"/>
      <c r="U25" s="20"/>
      <c r="V25" s="319"/>
      <c r="W25" s="335"/>
      <c r="X25" s="328"/>
      <c r="Y25" s="39"/>
    </row>
    <row r="26" spans="2:27" s="24" customFormat="1" x14ac:dyDescent="0.25">
      <c r="B26" s="17" t="s">
        <v>340</v>
      </c>
      <c r="C26" s="17"/>
      <c r="D26" s="332">
        <f>'Base Rate Impacts'!P25</f>
        <v>5622676.1599999992</v>
      </c>
      <c r="E26" s="17"/>
      <c r="F26" s="317">
        <f>'Base Rate Impacts'!Q25</f>
        <v>-644531.05999999982</v>
      </c>
      <c r="G26" s="224">
        <f t="shared" si="8"/>
        <v>-0.11463065658755632</v>
      </c>
      <c r="H26" s="303"/>
      <c r="I26" s="317">
        <f>'Sch. 141 Impacts'!Q25</f>
        <v>-227387.04999999987</v>
      </c>
      <c r="J26" s="224">
        <f t="shared" si="0"/>
        <v>-4.0441071747585745E-2</v>
      </c>
      <c r="K26" s="19"/>
      <c r="L26" s="317">
        <f>'Sch. 141X Impacts'!Q25</f>
        <v>73243.629999999961</v>
      </c>
      <c r="M26" s="224">
        <f t="shared" si="1"/>
        <v>1.3026471366261288E-2</v>
      </c>
      <c r="N26" s="326"/>
      <c r="O26" s="317"/>
      <c r="P26" s="224">
        <f>O26/$D26</f>
        <v>0</v>
      </c>
      <c r="Q26" s="229"/>
      <c r="R26" s="336">
        <f t="shared" ref="R26" si="9">SUM(I26,L26,O26)</f>
        <v>-154143.41999999993</v>
      </c>
      <c r="S26" s="224">
        <f>R26/$D26</f>
        <v>-2.7414600381324459E-2</v>
      </c>
      <c r="T26" s="229"/>
      <c r="U26" s="336">
        <f>SUM(D26,F26,I26,L26,O26)</f>
        <v>4824001.68</v>
      </c>
      <c r="V26" s="339">
        <f>U26-D26</f>
        <v>-798674.47999999952</v>
      </c>
      <c r="W26" s="224">
        <f t="shared" si="7"/>
        <v>-0.14204525696888073</v>
      </c>
      <c r="X26" s="327"/>
      <c r="Y26" s="328"/>
      <c r="Z26" s="25"/>
      <c r="AA26" s="28"/>
    </row>
    <row r="27" spans="2:27" s="24" customFormat="1" x14ac:dyDescent="0.25">
      <c r="B27" s="197" t="s">
        <v>381</v>
      </c>
      <c r="C27" s="197"/>
      <c r="D27" s="333">
        <f>D24+D26</f>
        <v>828763089.43111968</v>
      </c>
      <c r="E27" s="197"/>
      <c r="F27" s="320">
        <f>F24+F26</f>
        <v>97881475.987224892</v>
      </c>
      <c r="G27" s="225">
        <f t="shared" si="8"/>
        <v>0.11810549629377533</v>
      </c>
      <c r="H27" s="38"/>
      <c r="I27" s="320">
        <f>I24+I26</f>
        <v>-27975683.393576134</v>
      </c>
      <c r="J27" s="225">
        <f t="shared" si="0"/>
        <v>-3.3755947568537621E-2</v>
      </c>
      <c r="K27" s="19"/>
      <c r="L27" s="320">
        <f>L24+L26</f>
        <v>6187109.0902108131</v>
      </c>
      <c r="M27" s="225">
        <f t="shared" si="1"/>
        <v>7.4654737513199024E-3</v>
      </c>
      <c r="N27" s="19"/>
      <c r="O27" s="320">
        <f>O24+O26</f>
        <v>-10620091.678408891</v>
      </c>
      <c r="P27" s="225">
        <f t="shared" si="2"/>
        <v>-1.2814387867706251E-2</v>
      </c>
      <c r="Q27" s="19"/>
      <c r="R27" s="320">
        <f>R24+R26</f>
        <v>-32408665.981774211</v>
      </c>
      <c r="S27" s="225">
        <f t="shared" ref="S27" si="10">R27/$D27</f>
        <v>-3.9104861684923969E-2</v>
      </c>
      <c r="T27" s="19"/>
      <c r="U27" s="320">
        <f>U24+U26</f>
        <v>894235899.43657029</v>
      </c>
      <c r="V27" s="320">
        <f>V24+V26</f>
        <v>65472810.00545074</v>
      </c>
      <c r="W27" s="225">
        <f>V27/$D27</f>
        <v>7.9000634608851428E-2</v>
      </c>
      <c r="X27" s="327"/>
      <c r="Y27" s="328"/>
    </row>
    <row r="28" spans="2:27" x14ac:dyDescent="0.25">
      <c r="F28" s="321"/>
      <c r="G28" s="336"/>
      <c r="H28" s="308"/>
      <c r="I28" s="321"/>
      <c r="J28" s="336"/>
      <c r="K28" s="308"/>
      <c r="L28" s="321"/>
      <c r="M28" s="336"/>
      <c r="N28" s="307"/>
      <c r="O28" s="321"/>
      <c r="P28" s="336"/>
      <c r="Q28" s="308"/>
      <c r="R28" s="308"/>
      <c r="S28" s="308"/>
      <c r="T28" s="308"/>
      <c r="U28" s="308"/>
      <c r="V28" s="321"/>
      <c r="W28" s="336"/>
      <c r="X28" s="329"/>
      <c r="Y28" s="308"/>
    </row>
    <row r="29" spans="2:27" x14ac:dyDescent="0.25">
      <c r="F29" s="321"/>
      <c r="G29" s="336"/>
      <c r="H29" s="308"/>
      <c r="I29" s="321"/>
      <c r="J29" s="336"/>
      <c r="K29" s="308"/>
      <c r="L29" s="321"/>
      <c r="M29" s="336"/>
      <c r="N29" s="307"/>
      <c r="O29" s="321"/>
      <c r="P29" s="336"/>
      <c r="Q29" s="308"/>
      <c r="R29" s="308"/>
      <c r="S29" s="308"/>
      <c r="T29" s="308"/>
      <c r="U29" s="308"/>
      <c r="V29" s="321"/>
      <c r="W29" s="336"/>
      <c r="X29" s="329"/>
      <c r="Y29" s="308"/>
    </row>
    <row r="30" spans="2:27" s="24" customFormat="1" x14ac:dyDescent="0.25">
      <c r="B30" s="33" t="s">
        <v>42</v>
      </c>
      <c r="C30" s="33"/>
      <c r="D30" s="33"/>
      <c r="E30" s="33"/>
      <c r="F30" s="322"/>
      <c r="G30" s="337"/>
      <c r="H30" s="39"/>
      <c r="I30" s="322"/>
      <c r="J30" s="337"/>
      <c r="K30" s="39"/>
      <c r="L30" s="322"/>
      <c r="M30" s="337"/>
      <c r="N30" s="39"/>
      <c r="O30" s="322"/>
      <c r="P30" s="337"/>
      <c r="Q30" s="39"/>
      <c r="R30" s="39"/>
      <c r="S30" s="39"/>
      <c r="T30" s="39"/>
      <c r="U30" s="39"/>
      <c r="V30" s="322"/>
      <c r="W30" s="337"/>
      <c r="X30" s="328"/>
      <c r="Y30" s="39"/>
    </row>
    <row r="31" spans="2:27" s="24" customFormat="1" x14ac:dyDescent="0.25">
      <c r="B31" s="197" t="s">
        <v>43</v>
      </c>
      <c r="C31" s="197"/>
      <c r="D31" s="35">
        <f>D11+D12</f>
        <v>569368818.98832858</v>
      </c>
      <c r="E31" s="197"/>
      <c r="F31" s="35">
        <f>F11+F12</f>
        <v>64776973.471294619</v>
      </c>
      <c r="G31" s="224">
        <f t="shared" ref="G31:G38" si="11">F31/$D31</f>
        <v>0.11376979439512032</v>
      </c>
      <c r="H31" s="38"/>
      <c r="I31" s="35">
        <f>I11+I12</f>
        <v>-19327237.916809451</v>
      </c>
      <c r="J31" s="224">
        <f t="shared" ref="J31:J38" si="12">I31/$D31</f>
        <v>-3.3945023457994522E-2</v>
      </c>
      <c r="K31" s="39"/>
      <c r="L31" s="35">
        <f>L11+L12</f>
        <v>4349707.1953947339</v>
      </c>
      <c r="M31" s="224">
        <f t="shared" ref="M31:M38" si="13">L31/$D31</f>
        <v>7.6395247690651952E-3</v>
      </c>
      <c r="N31" s="195"/>
      <c r="O31" s="35">
        <f>O11+O12</f>
        <v>-6879257.7137757204</v>
      </c>
      <c r="P31" s="224">
        <f t="shared" ref="P31:P38" si="14">O31/$D31</f>
        <v>-1.2082252284203041E-2</v>
      </c>
      <c r="Q31" s="39"/>
      <c r="R31" s="35">
        <f>R11+R12</f>
        <v>-21856788.435190435</v>
      </c>
      <c r="S31" s="224">
        <f t="shared" ref="S31:S32" si="15">R31/$D31</f>
        <v>-3.8387750973132365E-2</v>
      </c>
      <c r="T31" s="39"/>
      <c r="U31" s="35">
        <f>U11+U12</f>
        <v>612289004.0244329</v>
      </c>
      <c r="V31" s="35">
        <f>V11+V12</f>
        <v>42920185.036104247</v>
      </c>
      <c r="W31" s="224">
        <f t="shared" ref="W31:W38" si="16">V31/$D31</f>
        <v>7.5382043421988065E-2</v>
      </c>
      <c r="X31" s="327"/>
      <c r="Y31" s="36"/>
    </row>
    <row r="32" spans="2:27" s="24" customFormat="1" x14ac:dyDescent="0.25">
      <c r="B32" s="37" t="s">
        <v>44</v>
      </c>
      <c r="C32" s="37"/>
      <c r="D32" s="35">
        <f>D13+D18</f>
        <v>179232779.05779585</v>
      </c>
      <c r="E32" s="37"/>
      <c r="F32" s="35">
        <f>F13+F18</f>
        <v>28556167.199999996</v>
      </c>
      <c r="G32" s="224">
        <f t="shared" si="11"/>
        <v>0.15932446815876075</v>
      </c>
      <c r="H32" s="38"/>
      <c r="I32" s="35">
        <f>I13+I18</f>
        <v>-6111754.4347072653</v>
      </c>
      <c r="J32" s="224">
        <f t="shared" si="12"/>
        <v>-3.4099535067391072E-2</v>
      </c>
      <c r="K32" s="39"/>
      <c r="L32" s="35">
        <f>L13+L18</f>
        <v>1275806.3027101378</v>
      </c>
      <c r="M32" s="224">
        <f t="shared" si="13"/>
        <v>7.1181527699168134E-3</v>
      </c>
      <c r="N32" s="195"/>
      <c r="O32" s="35">
        <f>O13+O18</f>
        <v>-2527170.7257094407</v>
      </c>
      <c r="P32" s="224">
        <f t="shared" si="14"/>
        <v>-1.4099936066351584E-2</v>
      </c>
      <c r="Q32" s="39"/>
      <c r="R32" s="35">
        <f>R13+R18</f>
        <v>-7363118.8577065682</v>
      </c>
      <c r="S32" s="224">
        <f t="shared" si="15"/>
        <v>-4.1081318363825843E-2</v>
      </c>
      <c r="T32" s="39"/>
      <c r="U32" s="35">
        <f t="shared" ref="U32:V36" si="17">U13+U18</f>
        <v>200425827.40008926</v>
      </c>
      <c r="V32" s="35">
        <f t="shared" si="17"/>
        <v>21193048.342293426</v>
      </c>
      <c r="W32" s="224">
        <f t="shared" si="16"/>
        <v>0.1182431497949349</v>
      </c>
      <c r="X32" s="327"/>
      <c r="Y32" s="39"/>
    </row>
    <row r="33" spans="2:25" s="24" customFormat="1" x14ac:dyDescent="0.25">
      <c r="B33" s="197" t="s">
        <v>45</v>
      </c>
      <c r="C33" s="197"/>
      <c r="D33" s="35">
        <f>D14+D19</f>
        <v>42103978.156928271</v>
      </c>
      <c r="E33" s="197"/>
      <c r="F33" s="35">
        <f>F14+F19</f>
        <v>1995530.7369718445</v>
      </c>
      <c r="G33" s="224">
        <f t="shared" si="11"/>
        <v>4.7395301449525307E-2</v>
      </c>
      <c r="H33" s="38"/>
      <c r="I33" s="35">
        <f>I14+I19</f>
        <v>-1407692.5249622802</v>
      </c>
      <c r="J33" s="224">
        <f t="shared" si="12"/>
        <v>-3.3433717823897417E-2</v>
      </c>
      <c r="K33" s="39"/>
      <c r="L33" s="35">
        <f>L14+L19</f>
        <v>269166.21715541405</v>
      </c>
      <c r="M33" s="224">
        <f t="shared" si="13"/>
        <v>6.3928927606837632E-3</v>
      </c>
      <c r="N33" s="195"/>
      <c r="O33" s="35">
        <f>O14+O19</f>
        <v>-535634.54724316008</v>
      </c>
      <c r="P33" s="224">
        <f>O33/$D33</f>
        <v>-1.2721708747965913E-2</v>
      </c>
      <c r="Q33" s="39"/>
      <c r="R33" s="35">
        <f>R14+R19</f>
        <v>-1674160.8550500262</v>
      </c>
      <c r="S33" s="224">
        <f>R33/$D33</f>
        <v>-3.9762533811179564E-2</v>
      </c>
      <c r="T33" s="39"/>
      <c r="U33" s="35">
        <f t="shared" si="17"/>
        <v>42425348.038850091</v>
      </c>
      <c r="V33" s="35">
        <f t="shared" si="17"/>
        <v>321369.88192181569</v>
      </c>
      <c r="W33" s="224">
        <f t="shared" si="16"/>
        <v>7.6327676383456848E-3</v>
      </c>
      <c r="X33" s="327"/>
      <c r="Y33" s="39"/>
    </row>
    <row r="34" spans="2:25" s="24" customFormat="1" x14ac:dyDescent="0.25">
      <c r="B34" s="197" t="s">
        <v>46</v>
      </c>
      <c r="C34" s="197"/>
      <c r="D34" s="35">
        <f>D15+D20</f>
        <v>14039679.516897824</v>
      </c>
      <c r="E34" s="197"/>
      <c r="F34" s="35">
        <f>F15+F20</f>
        <v>1742273.4808016201</v>
      </c>
      <c r="G34" s="224">
        <f t="shared" si="11"/>
        <v>0.12409638544132444</v>
      </c>
      <c r="H34" s="38"/>
      <c r="I34" s="35">
        <f>I15+I20</f>
        <v>-451470.77413635672</v>
      </c>
      <c r="J34" s="224">
        <f t="shared" si="12"/>
        <v>-3.2156772068263902E-2</v>
      </c>
      <c r="K34" s="39"/>
      <c r="L34" s="35">
        <f>L15+L20</f>
        <v>116866.55913249103</v>
      </c>
      <c r="M34" s="224">
        <f t="shared" si="13"/>
        <v>8.3240190056926323E-3</v>
      </c>
      <c r="N34" s="195"/>
      <c r="O34" s="35">
        <f>O15+O20</f>
        <v>-299952.71888884</v>
      </c>
      <c r="P34" s="224">
        <f t="shared" si="14"/>
        <v>-2.1364641445541833E-2</v>
      </c>
      <c r="Q34" s="39"/>
      <c r="R34" s="35">
        <f>R15+R20</f>
        <v>-634556.93389270571</v>
      </c>
      <c r="S34" s="224">
        <f t="shared" ref="S34:S38" si="18">R34/$D34</f>
        <v>-4.5197394508113102E-2</v>
      </c>
      <c r="T34" s="39"/>
      <c r="U34" s="35">
        <f t="shared" si="17"/>
        <v>15147396.063806739</v>
      </c>
      <c r="V34" s="35">
        <f t="shared" si="17"/>
        <v>1107716.5469089141</v>
      </c>
      <c r="W34" s="224">
        <f t="shared" si="16"/>
        <v>7.8898990933211316E-2</v>
      </c>
      <c r="X34" s="327"/>
      <c r="Y34" s="39"/>
    </row>
    <row r="35" spans="2:25" s="24" customFormat="1" x14ac:dyDescent="0.25">
      <c r="B35" s="197" t="s">
        <v>47</v>
      </c>
      <c r="C35" s="197"/>
      <c r="D35" s="35">
        <f>D16+D21</f>
        <v>4711187.0154855419</v>
      </c>
      <c r="E35" s="197"/>
      <c r="F35" s="35">
        <f>F16+F21</f>
        <v>21.129999999994652</v>
      </c>
      <c r="G35" s="224">
        <f t="shared" si="11"/>
        <v>4.485069246994637E-6</v>
      </c>
      <c r="H35" s="38"/>
      <c r="I35" s="35">
        <f>I16+I21</f>
        <v>-155563.43529496543</v>
      </c>
      <c r="J35" s="224">
        <f t="shared" si="12"/>
        <v>-3.3020008499690778E-2</v>
      </c>
      <c r="K35" s="39"/>
      <c r="L35" s="35">
        <f>L16+L21</f>
        <v>27106.151361872147</v>
      </c>
      <c r="M35" s="224">
        <f t="shared" si="13"/>
        <v>5.7535715039065474E-3</v>
      </c>
      <c r="N35" s="195"/>
      <c r="O35" s="35">
        <f>O16+O21</f>
        <v>-37781.288513449996</v>
      </c>
      <c r="P35" s="224">
        <f t="shared" si="14"/>
        <v>-8.0194839197136394E-3</v>
      </c>
      <c r="Q35" s="39"/>
      <c r="R35" s="35">
        <f>R16+R21</f>
        <v>-166238.57244654329</v>
      </c>
      <c r="S35" s="224">
        <f t="shared" si="18"/>
        <v>-3.528592091549787E-2</v>
      </c>
      <c r="T35" s="39"/>
      <c r="U35" s="35">
        <f t="shared" si="17"/>
        <v>4544969.5730389999</v>
      </c>
      <c r="V35" s="35">
        <f t="shared" si="17"/>
        <v>-166217.44244654232</v>
      </c>
      <c r="W35" s="224">
        <f t="shared" si="16"/>
        <v>-3.5281435846250674E-2</v>
      </c>
      <c r="X35" s="327"/>
      <c r="Y35" s="39"/>
    </row>
    <row r="36" spans="2:25" s="24" customFormat="1" x14ac:dyDescent="0.25">
      <c r="B36" s="17" t="s">
        <v>48</v>
      </c>
      <c r="C36" s="17"/>
      <c r="D36" s="35">
        <f>D17+D22</f>
        <v>11786844.920559984</v>
      </c>
      <c r="E36" s="17"/>
      <c r="F36" s="35">
        <f>F17+F22</f>
        <v>1416438.0900000003</v>
      </c>
      <c r="G36" s="224">
        <f t="shared" si="11"/>
        <v>0.12017109748591707</v>
      </c>
      <c r="H36" s="38"/>
      <c r="I36" s="35">
        <f>I17+I22</f>
        <v>-259302.53562334692</v>
      </c>
      <c r="J36" s="224">
        <f t="shared" si="12"/>
        <v>-2.199931681217264E-2</v>
      </c>
      <c r="K36" s="38"/>
      <c r="L36" s="35">
        <f>L17+L22</f>
        <v>63550.409076510769</v>
      </c>
      <c r="M36" s="224">
        <f t="shared" si="13"/>
        <v>5.3916386874369379E-3</v>
      </c>
      <c r="N36" s="195"/>
      <c r="O36" s="35">
        <f>O17+O22</f>
        <v>-248680.24340578</v>
      </c>
      <c r="P36" s="224">
        <f t="shared" si="14"/>
        <v>-2.109811786630051E-2</v>
      </c>
      <c r="Q36" s="38"/>
      <c r="R36" s="35">
        <f>R17+R22</f>
        <v>-444432.36995261617</v>
      </c>
      <c r="S36" s="224">
        <f t="shared" si="18"/>
        <v>-3.7705795991036212E-2</v>
      </c>
      <c r="T36" s="38"/>
      <c r="U36" s="35">
        <f t="shared" si="17"/>
        <v>12758850.640607368</v>
      </c>
      <c r="V36" s="35">
        <f t="shared" si="17"/>
        <v>972005.72004738357</v>
      </c>
      <c r="W36" s="224">
        <f t="shared" si="16"/>
        <v>8.2465301494880822E-2</v>
      </c>
      <c r="X36" s="327"/>
      <c r="Y36" s="39"/>
    </row>
    <row r="37" spans="2:25" s="24" customFormat="1" x14ac:dyDescent="0.25">
      <c r="B37" s="305" t="s">
        <v>13</v>
      </c>
      <c r="C37" s="17"/>
      <c r="D37" s="35">
        <f>D23</f>
        <v>1897125.6151234768</v>
      </c>
      <c r="E37" s="17"/>
      <c r="F37" s="35">
        <f>F23</f>
        <v>38602.938156811055</v>
      </c>
      <c r="G37" s="224">
        <f t="shared" si="11"/>
        <v>2.0348119201531383E-2</v>
      </c>
      <c r="H37" s="38"/>
      <c r="I37" s="35">
        <f>I23</f>
        <v>-35274.722042470239</v>
      </c>
      <c r="J37" s="224">
        <f t="shared" si="12"/>
        <v>-1.8593772474140749E-2</v>
      </c>
      <c r="K37" s="38"/>
      <c r="L37" s="35">
        <f>L23</f>
        <v>11662.625379653648</v>
      </c>
      <c r="M37" s="224">
        <f t="shared" si="13"/>
        <v>6.1475240683493545E-3</v>
      </c>
      <c r="N37" s="195"/>
      <c r="O37" s="35">
        <f>O23</f>
        <v>-91614.440872499996</v>
      </c>
      <c r="P37" s="224">
        <f t="shared" si="14"/>
        <v>-4.8291183326064129E-2</v>
      </c>
      <c r="Q37" s="38"/>
      <c r="R37" s="35">
        <f>R23</f>
        <v>-115226.53753531659</v>
      </c>
      <c r="S37" s="224">
        <f t="shared" si="18"/>
        <v>-6.0737431731855522E-2</v>
      </c>
      <c r="T37" s="38"/>
      <c r="U37" s="35">
        <f>U23</f>
        <v>1820502.0157449713</v>
      </c>
      <c r="V37" s="35">
        <f>V23</f>
        <v>-76623.599378505489</v>
      </c>
      <c r="W37" s="224">
        <f t="shared" si="16"/>
        <v>-4.0389312530324115E-2</v>
      </c>
      <c r="X37" s="327"/>
      <c r="Y37" s="39"/>
    </row>
    <row r="38" spans="2:25" s="24" customFormat="1" x14ac:dyDescent="0.25">
      <c r="B38" s="40" t="s">
        <v>14</v>
      </c>
      <c r="C38" s="40"/>
      <c r="D38" s="334">
        <f>SUM(D31:D37)</f>
        <v>823140413.27111959</v>
      </c>
      <c r="E38" s="17"/>
      <c r="F38" s="324">
        <f>SUM(F31:F37)</f>
        <v>98526007.047224894</v>
      </c>
      <c r="G38" s="225">
        <f t="shared" si="11"/>
        <v>0.11969526153586285</v>
      </c>
      <c r="H38" s="38"/>
      <c r="I38" s="324">
        <f>SUM(I31:I37)</f>
        <v>-27748296.343576137</v>
      </c>
      <c r="J38" s="225">
        <f t="shared" si="12"/>
        <v>-3.3710283077106822E-2</v>
      </c>
      <c r="K38" s="38"/>
      <c r="L38" s="324">
        <f>SUM(L31:L37)</f>
        <v>6113865.4602108141</v>
      </c>
      <c r="M38" s="225">
        <f t="shared" si="13"/>
        <v>7.4274879007757777E-3</v>
      </c>
      <c r="N38" s="195"/>
      <c r="O38" s="324">
        <f>SUM(O31:O37)</f>
        <v>-10620091.678408889</v>
      </c>
      <c r="P38" s="225">
        <f t="shared" si="14"/>
        <v>-1.2901919899917399E-2</v>
      </c>
      <c r="Q38" s="38"/>
      <c r="R38" s="324">
        <f>SUM(R31:R37)</f>
        <v>-32254522.561774213</v>
      </c>
      <c r="S38" s="225">
        <f t="shared" si="18"/>
        <v>-3.918471507624844E-2</v>
      </c>
      <c r="T38" s="38"/>
      <c r="U38" s="324">
        <f>SUM(U31:U37)</f>
        <v>889411897.75657034</v>
      </c>
      <c r="V38" s="324">
        <f>SUM(V31:V37)</f>
        <v>66271484.485450737</v>
      </c>
      <c r="W38" s="225">
        <f t="shared" si="16"/>
        <v>8.0510546459614474E-2</v>
      </c>
      <c r="X38" s="327"/>
      <c r="Y38" s="39"/>
    </row>
    <row r="39" spans="2:25" s="24" customFormat="1" x14ac:dyDescent="0.25">
      <c r="B39" s="17"/>
      <c r="C39" s="17"/>
      <c r="D39" s="17"/>
      <c r="E39" s="17"/>
      <c r="F39" s="323"/>
      <c r="G39" s="338"/>
      <c r="H39" s="38"/>
      <c r="I39" s="323"/>
      <c r="J39" s="338"/>
      <c r="K39" s="38"/>
      <c r="L39" s="323"/>
      <c r="M39" s="338"/>
      <c r="N39" s="195"/>
      <c r="O39" s="323"/>
      <c r="P39" s="338"/>
      <c r="Q39" s="38"/>
      <c r="R39" s="323"/>
      <c r="S39" s="338"/>
      <c r="T39" s="38"/>
      <c r="U39" s="38"/>
      <c r="V39" s="323"/>
      <c r="W39" s="338"/>
      <c r="X39" s="327"/>
      <c r="Y39" s="39"/>
    </row>
    <row r="40" spans="2:25" s="24" customFormat="1" x14ac:dyDescent="0.25">
      <c r="B40" s="17" t="s">
        <v>340</v>
      </c>
      <c r="C40" s="17"/>
      <c r="D40" s="332">
        <f>D26</f>
        <v>5622676.1599999992</v>
      </c>
      <c r="E40" s="17"/>
      <c r="F40" s="323">
        <f>F26</f>
        <v>-644531.05999999982</v>
      </c>
      <c r="G40" s="224">
        <f t="shared" ref="G40:G41" si="19">F40/$D40</f>
        <v>-0.11463065658755632</v>
      </c>
      <c r="H40" s="38"/>
      <c r="I40" s="323">
        <f>I26</f>
        <v>-227387.04999999987</v>
      </c>
      <c r="J40" s="224">
        <f t="shared" ref="J40:J41" si="20">I40/$D40</f>
        <v>-4.0441071747585745E-2</v>
      </c>
      <c r="K40" s="38"/>
      <c r="L40" s="323">
        <f>L26</f>
        <v>73243.629999999961</v>
      </c>
      <c r="M40" s="224">
        <f t="shared" ref="M40:M41" si="21">L40/$D40</f>
        <v>1.3026471366261288E-2</v>
      </c>
      <c r="N40" s="195"/>
      <c r="O40" s="323">
        <f>O26</f>
        <v>0</v>
      </c>
      <c r="P40" s="224">
        <f t="shared" ref="P40:P41" si="22">O40/$D40</f>
        <v>0</v>
      </c>
      <c r="Q40" s="38"/>
      <c r="R40" s="323">
        <f>R26</f>
        <v>-154143.41999999993</v>
      </c>
      <c r="S40" s="224">
        <f t="shared" ref="S40:S41" si="23">R40/$D40</f>
        <v>-2.7414600381324459E-2</v>
      </c>
      <c r="T40" s="38"/>
      <c r="U40" s="323">
        <f>U26</f>
        <v>4824001.68</v>
      </c>
      <c r="V40" s="323">
        <f>V26</f>
        <v>-798674.47999999952</v>
      </c>
      <c r="W40" s="224">
        <f t="shared" ref="W40:W41" si="24">V40/$D40</f>
        <v>-0.14204525696888073</v>
      </c>
      <c r="X40" s="327"/>
      <c r="Y40" s="39"/>
    </row>
    <row r="41" spans="2:25" s="31" customFormat="1" x14ac:dyDescent="0.25">
      <c r="B41" s="197" t="s">
        <v>381</v>
      </c>
      <c r="C41" s="197"/>
      <c r="D41" s="334">
        <f>D38+D40</f>
        <v>828763089.43111956</v>
      </c>
      <c r="E41" s="197"/>
      <c r="F41" s="324">
        <f>F38+F40</f>
        <v>97881475.987224892</v>
      </c>
      <c r="G41" s="225">
        <f t="shared" si="19"/>
        <v>0.11810549629377534</v>
      </c>
      <c r="H41" s="38"/>
      <c r="I41" s="324">
        <f>I38+I40</f>
        <v>-27975683.393576138</v>
      </c>
      <c r="J41" s="225">
        <f t="shared" si="20"/>
        <v>-3.3755947568537635E-2</v>
      </c>
      <c r="K41" s="38"/>
      <c r="L41" s="324">
        <f>L38+L40</f>
        <v>6187109.090210814</v>
      </c>
      <c r="M41" s="225">
        <f t="shared" si="21"/>
        <v>7.465473751319905E-3</v>
      </c>
      <c r="N41" s="195"/>
      <c r="O41" s="324">
        <f>O38+O40</f>
        <v>-10620091.678408889</v>
      </c>
      <c r="P41" s="225">
        <f t="shared" si="22"/>
        <v>-1.2814387867706251E-2</v>
      </c>
      <c r="Q41" s="38"/>
      <c r="R41" s="324">
        <f>R38+R40</f>
        <v>-32408665.981774211</v>
      </c>
      <c r="S41" s="225">
        <f t="shared" si="23"/>
        <v>-3.9104861684923976E-2</v>
      </c>
      <c r="T41" s="38"/>
      <c r="U41" s="324">
        <f>U38+U40</f>
        <v>894235899.43657029</v>
      </c>
      <c r="V41" s="324">
        <f>V38+V40</f>
        <v>65472810.00545074</v>
      </c>
      <c r="W41" s="225">
        <f t="shared" si="24"/>
        <v>7.9000634608851428E-2</v>
      </c>
      <c r="X41" s="327"/>
      <c r="Y41" s="38"/>
    </row>
    <row r="42" spans="2:25" s="24" customFormat="1" x14ac:dyDescent="0.25">
      <c r="B42" s="31"/>
      <c r="C42" s="31"/>
      <c r="D42" s="31"/>
      <c r="E42" s="31"/>
      <c r="F42" s="31"/>
      <c r="G42" s="31"/>
      <c r="H42" s="31"/>
      <c r="K42" s="39"/>
      <c r="N42" s="31"/>
      <c r="P42" s="31"/>
      <c r="Q42" s="31"/>
      <c r="R42" s="31"/>
      <c r="S42" s="31"/>
      <c r="T42" s="31"/>
      <c r="U42" s="31"/>
      <c r="V42" s="31"/>
      <c r="W42" s="42"/>
    </row>
    <row r="43" spans="2:25" x14ac:dyDescent="0.25">
      <c r="B43" s="197" t="s">
        <v>428</v>
      </c>
      <c r="F43" s="32"/>
      <c r="G43" s="32"/>
      <c r="J43" s="165"/>
      <c r="N43" s="32"/>
      <c r="V43" s="32"/>
    </row>
    <row r="44" spans="2:25" x14ac:dyDescent="0.25">
      <c r="F44" s="32"/>
      <c r="G44" s="32"/>
      <c r="N44" s="32"/>
      <c r="V44" s="32"/>
    </row>
    <row r="45" spans="2:25" x14ac:dyDescent="0.25">
      <c r="B45" s="166"/>
    </row>
  </sheetData>
  <mergeCells count="4">
    <mergeCell ref="B1:W1"/>
    <mergeCell ref="B2:W2"/>
    <mergeCell ref="B3:W3"/>
    <mergeCell ref="B4:W4"/>
  </mergeCells>
  <printOptions horizontalCentered="1"/>
  <pageMargins left="0.45" right="0.45" top="0.75" bottom="0.75" header="0.3" footer="0.3"/>
  <pageSetup scale="52" orientation="landscape" blackAndWhite="1" r:id="rId1"/>
  <headerFooter>
    <oddFooter>&amp;L&amp;F 
&amp;A&amp;RExhibit No. ___(JAP-15)
                   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T29" sqref="T29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Normal="100" workbookViewId="0">
      <selection activeCell="C7" sqref="C7"/>
    </sheetView>
  </sheetViews>
  <sheetFormatPr defaultRowHeight="15" x14ac:dyDescent="0.25"/>
  <cols>
    <col min="1" max="1" width="37.7109375" customWidth="1"/>
    <col min="3" max="3" width="16.5703125" bestFit="1" customWidth="1"/>
    <col min="4" max="5" width="10.7109375" bestFit="1" customWidth="1"/>
    <col min="6" max="6" width="15.7109375" bestFit="1" customWidth="1"/>
    <col min="7" max="7" width="13.7109375" bestFit="1" customWidth="1"/>
    <col min="8" max="8" width="7.85546875" bestFit="1" customWidth="1"/>
  </cols>
  <sheetData>
    <row r="1" spans="1:8" x14ac:dyDescent="0.25">
      <c r="A1" s="397" t="s">
        <v>0</v>
      </c>
      <c r="B1" s="397"/>
      <c r="C1" s="397"/>
      <c r="D1" s="397"/>
      <c r="E1" s="397"/>
      <c r="F1" s="397"/>
      <c r="G1" s="397"/>
      <c r="H1" s="397"/>
    </row>
    <row r="2" spans="1:8" x14ac:dyDescent="0.25">
      <c r="A2" s="397" t="s">
        <v>369</v>
      </c>
      <c r="B2" s="397"/>
      <c r="C2" s="397"/>
      <c r="D2" s="397"/>
      <c r="E2" s="397"/>
      <c r="F2" s="397"/>
      <c r="G2" s="397"/>
      <c r="H2" s="397"/>
    </row>
    <row r="3" spans="1:8" x14ac:dyDescent="0.25">
      <c r="A3" s="398" t="s">
        <v>390</v>
      </c>
      <c r="B3" s="399"/>
      <c r="C3" s="399"/>
      <c r="D3" s="399"/>
      <c r="E3" s="399"/>
      <c r="F3" s="399"/>
      <c r="G3" s="399"/>
      <c r="H3" s="399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19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19</v>
      </c>
      <c r="E6" s="5" t="s">
        <v>19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>
        <v>23</v>
      </c>
      <c r="C8" s="183">
        <f>'Normalized Therms'!P9</f>
        <v>613662109.14999998</v>
      </c>
      <c r="D8" s="11">
        <v>-3.8500000000000001E-3</v>
      </c>
      <c r="E8" s="11">
        <v>-3.8500000000000001E-3</v>
      </c>
      <c r="F8" s="161">
        <f>ROUND(C8*D8,2)</f>
        <v>-2362599.12</v>
      </c>
      <c r="G8" s="12">
        <f>ROUND((E8-D8)*C8,2)</f>
        <v>0</v>
      </c>
      <c r="H8" s="2">
        <f>-G8/F8</f>
        <v>0</v>
      </c>
    </row>
    <row r="9" spans="1:8" x14ac:dyDescent="0.25">
      <c r="A9" t="s">
        <v>31</v>
      </c>
      <c r="B9" s="8">
        <v>16</v>
      </c>
      <c r="C9" s="183">
        <f>'Normalized Therms'!P10</f>
        <v>9344.1039999999994</v>
      </c>
      <c r="D9" s="11">
        <v>-3.8500000000000001E-3</v>
      </c>
      <c r="E9" s="11">
        <v>-3.8500000000000001E-3</v>
      </c>
      <c r="F9" s="161">
        <f t="shared" ref="F9:F14" si="0">ROUND(C9*D9,2)</f>
        <v>-35.97</v>
      </c>
      <c r="G9" s="12">
        <f t="shared" ref="G9:G14" si="1">ROUND((E9-D9)*C9,2)</f>
        <v>0</v>
      </c>
      <c r="H9" s="2">
        <f t="shared" ref="H9:H14" si="2">-G9/F9</f>
        <v>0</v>
      </c>
    </row>
    <row r="10" spans="1:8" x14ac:dyDescent="0.25">
      <c r="A10" t="s">
        <v>8</v>
      </c>
      <c r="B10" s="8">
        <v>31</v>
      </c>
      <c r="C10" s="183">
        <f>'Normalized Therms'!P12</f>
        <v>232245222.90300003</v>
      </c>
      <c r="D10" s="11">
        <v>-3.8400000000000001E-3</v>
      </c>
      <c r="E10" s="11">
        <v>-3.8400000000000001E-3</v>
      </c>
      <c r="F10" s="161">
        <f t="shared" si="0"/>
        <v>-891821.66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83">
        <f>'Normalized Therms'!P13</f>
        <v>65497864.558000013</v>
      </c>
      <c r="D11" s="11">
        <v>-3.7799999999999999E-3</v>
      </c>
      <c r="E11" s="11">
        <v>-3.7799999999999999E-3</v>
      </c>
      <c r="F11" s="161">
        <f t="shared" si="0"/>
        <v>-247581.93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83">
        <f>'Normalized Therms'!P14</f>
        <v>15787998.554000001</v>
      </c>
      <c r="D12" s="11">
        <v>-3.7599999999999999E-3</v>
      </c>
      <c r="E12" s="11">
        <v>-3.7599999999999999E-3</v>
      </c>
      <c r="F12" s="161">
        <f>ROUND(C12*D12,2)</f>
        <v>-59362.87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83">
        <f>'Normalized Therms'!P15</f>
        <v>8752636.7929999996</v>
      </c>
      <c r="D13" s="11">
        <v>-3.7599999999999999E-3</v>
      </c>
      <c r="E13" s="11">
        <v>-3.7599999999999999E-3</v>
      </c>
      <c r="F13" s="161">
        <f t="shared" si="0"/>
        <v>-32909.910000000003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83">
        <f>'Normalized Therms'!P16</f>
        <v>22881723.659000002</v>
      </c>
      <c r="D14" s="11">
        <v>-3.7399999999999998E-3</v>
      </c>
      <c r="E14" s="11">
        <v>-3.7399999999999998E-3</v>
      </c>
      <c r="F14" s="161">
        <f t="shared" si="0"/>
        <v>-85577.65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958836899.72099996</v>
      </c>
      <c r="D15" s="9"/>
      <c r="E15" s="9"/>
      <c r="F15" s="162">
        <f>SUM(F8:F14)</f>
        <v>-3679889.1100000008</v>
      </c>
      <c r="G15" s="16">
        <f>SUM(G8:G14)</f>
        <v>0</v>
      </c>
      <c r="H15" s="3">
        <f>-G15/F15</f>
        <v>0</v>
      </c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selection activeCell="C7" sqref="C7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" bestFit="1" customWidth="1"/>
    <col min="6" max="6" width="15.7109375" bestFit="1" customWidth="1"/>
    <col min="7" max="7" width="11.5703125" bestFit="1" customWidth="1"/>
    <col min="8" max="8" width="7.85546875" bestFit="1" customWidth="1"/>
  </cols>
  <sheetData>
    <row r="1" spans="1:8" x14ac:dyDescent="0.25">
      <c r="A1" s="397" t="s">
        <v>0</v>
      </c>
      <c r="B1" s="397"/>
      <c r="C1" s="397"/>
      <c r="D1" s="397"/>
      <c r="E1" s="397"/>
      <c r="F1" s="397"/>
      <c r="G1" s="397"/>
      <c r="H1" s="397"/>
    </row>
    <row r="2" spans="1:8" x14ac:dyDescent="0.25">
      <c r="A2" s="397" t="s">
        <v>337</v>
      </c>
      <c r="B2" s="397"/>
      <c r="C2" s="397"/>
      <c r="D2" s="397"/>
      <c r="E2" s="397"/>
      <c r="F2" s="397"/>
      <c r="G2" s="397"/>
      <c r="H2" s="397"/>
    </row>
    <row r="3" spans="1:8" x14ac:dyDescent="0.25">
      <c r="A3" s="397" t="s">
        <v>390</v>
      </c>
      <c r="B3" s="397"/>
      <c r="C3" s="397"/>
      <c r="D3" s="397"/>
      <c r="E3" s="397"/>
      <c r="F3" s="397"/>
      <c r="G3" s="397"/>
      <c r="H3" s="397"/>
    </row>
    <row r="4" spans="1:8" x14ac:dyDescent="0.25">
      <c r="D4" s="4"/>
      <c r="E4" s="4"/>
    </row>
    <row r="5" spans="1:8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50</v>
      </c>
      <c r="H5" s="5"/>
    </row>
    <row r="6" spans="1:8" x14ac:dyDescent="0.25">
      <c r="A6" s="5"/>
      <c r="B6" s="5" t="s">
        <v>17</v>
      </c>
      <c r="C6" s="5" t="s">
        <v>3</v>
      </c>
      <c r="D6" s="5" t="s">
        <v>50</v>
      </c>
      <c r="E6" s="5" t="s">
        <v>50</v>
      </c>
      <c r="F6" s="5" t="s">
        <v>15</v>
      </c>
      <c r="G6" s="5" t="s">
        <v>2</v>
      </c>
      <c r="H6" s="5" t="s">
        <v>20</v>
      </c>
    </row>
    <row r="7" spans="1:8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8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1">
        <v>1.8149999999999999E-2</v>
      </c>
      <c r="E8" s="11">
        <v>1.8149999999999999E-2</v>
      </c>
      <c r="F8" s="161">
        <f>C8*D8</f>
        <v>11137968.4513482</v>
      </c>
      <c r="G8" s="12">
        <f>(E8-D8)*C8</f>
        <v>0</v>
      </c>
      <c r="H8" s="2">
        <f>G8/F8</f>
        <v>0</v>
      </c>
    </row>
    <row r="9" spans="1:8" x14ac:dyDescent="0.25">
      <c r="A9" t="s">
        <v>31</v>
      </c>
      <c r="B9" s="8">
        <v>16</v>
      </c>
      <c r="C9" s="198">
        <f>'Normalized Therms'!P10</f>
        <v>9344.1039999999994</v>
      </c>
      <c r="D9" s="11">
        <v>1.8149999999999999E-2</v>
      </c>
      <c r="E9" s="11">
        <v>1.8149999999999999E-2</v>
      </c>
      <c r="F9" s="161">
        <f t="shared" ref="F9:F14" si="0">C9*D9</f>
        <v>169.59548759999998</v>
      </c>
      <c r="G9" s="12">
        <f t="shared" ref="G9:G14" si="1">(E9-D9)*C9</f>
        <v>0</v>
      </c>
      <c r="H9" s="2">
        <f t="shared" ref="H9:H15" si="2">G9/F9</f>
        <v>0</v>
      </c>
    </row>
    <row r="10" spans="1:8" x14ac:dyDescent="0.25">
      <c r="A10" t="s">
        <v>8</v>
      </c>
      <c r="B10" s="8">
        <v>31</v>
      </c>
      <c r="C10" s="183">
        <f>'Normalized Therms'!P12</f>
        <v>232245222.90300003</v>
      </c>
      <c r="D10" s="11">
        <v>1.8149999999999999E-2</v>
      </c>
      <c r="E10" s="11">
        <v>1.8149999999999999E-2</v>
      </c>
      <c r="F10" s="161">
        <f t="shared" si="0"/>
        <v>4215250.7956894506</v>
      </c>
      <c r="G10" s="12">
        <f t="shared" si="1"/>
        <v>0</v>
      </c>
      <c r="H10" s="2">
        <f t="shared" si="2"/>
        <v>0</v>
      </c>
    </row>
    <row r="11" spans="1:8" x14ac:dyDescent="0.25">
      <c r="A11" t="s">
        <v>9</v>
      </c>
      <c r="B11" s="8">
        <v>41</v>
      </c>
      <c r="C11" s="183">
        <f>'Normalized Therms'!P13</f>
        <v>65497864.558000013</v>
      </c>
      <c r="D11" s="11">
        <v>1.8149999999999999E-2</v>
      </c>
      <c r="E11" s="11">
        <v>1.8149999999999999E-2</v>
      </c>
      <c r="F11" s="161">
        <f t="shared" si="0"/>
        <v>1188786.2417277002</v>
      </c>
      <c r="G11" s="12">
        <f t="shared" si="1"/>
        <v>0</v>
      </c>
      <c r="H11" s="2">
        <f t="shared" si="2"/>
        <v>0</v>
      </c>
    </row>
    <row r="12" spans="1:8" x14ac:dyDescent="0.25">
      <c r="A12" t="s">
        <v>10</v>
      </c>
      <c r="B12" s="8">
        <v>85</v>
      </c>
      <c r="C12" s="183">
        <f>'Normalized Therms'!P14</f>
        <v>15787998.554000001</v>
      </c>
      <c r="D12" s="11">
        <v>1.5429999999999999E-2</v>
      </c>
      <c r="E12" s="11">
        <v>1.5429999999999999E-2</v>
      </c>
      <c r="F12" s="161">
        <f t="shared" si="0"/>
        <v>243608.81768822001</v>
      </c>
      <c r="G12" s="12">
        <f t="shared" si="1"/>
        <v>0</v>
      </c>
      <c r="H12" s="2">
        <f t="shared" si="2"/>
        <v>0</v>
      </c>
    </row>
    <row r="13" spans="1:8" x14ac:dyDescent="0.25">
      <c r="A13" t="s">
        <v>11</v>
      </c>
      <c r="B13" s="8">
        <v>86</v>
      </c>
      <c r="C13" s="183">
        <f>'Normalized Therms'!P15</f>
        <v>8752636.7929999996</v>
      </c>
      <c r="D13" s="11">
        <v>1.5429999999999999E-2</v>
      </c>
      <c r="E13" s="11">
        <v>1.5429999999999999E-2</v>
      </c>
      <c r="F13" s="161">
        <f>C13*D13</f>
        <v>135053.18571599</v>
      </c>
      <c r="G13" s="12">
        <f t="shared" si="1"/>
        <v>0</v>
      </c>
      <c r="H13" s="2">
        <f t="shared" si="2"/>
        <v>0</v>
      </c>
    </row>
    <row r="14" spans="1:8" x14ac:dyDescent="0.25">
      <c r="A14" t="s">
        <v>12</v>
      </c>
      <c r="B14" s="8">
        <v>87</v>
      </c>
      <c r="C14" s="183">
        <f>'Normalized Therms'!P16</f>
        <v>22881723.659000002</v>
      </c>
      <c r="D14" s="11">
        <v>1.5429999999999999E-2</v>
      </c>
      <c r="E14" s="11">
        <v>1.5429999999999999E-2</v>
      </c>
      <c r="F14" s="161">
        <f t="shared" si="0"/>
        <v>353064.99605836999</v>
      </c>
      <c r="G14" s="12">
        <f t="shared" si="1"/>
        <v>0</v>
      </c>
      <c r="H14" s="2">
        <f t="shared" si="2"/>
        <v>0</v>
      </c>
    </row>
    <row r="15" spans="1:8" x14ac:dyDescent="0.25">
      <c r="A15" t="s">
        <v>6</v>
      </c>
      <c r="C15" s="15">
        <f>SUM(C8:C14)</f>
        <v>958836964.199</v>
      </c>
      <c r="D15" s="9"/>
      <c r="E15" s="9"/>
      <c r="F15" s="162">
        <f>SUM(F8:F14)</f>
        <v>17273902.083715532</v>
      </c>
      <c r="G15" s="16">
        <f>SUM(G8:G14)</f>
        <v>0</v>
      </c>
      <c r="H15" s="3">
        <f t="shared" si="2"/>
        <v>0</v>
      </c>
    </row>
    <row r="16" spans="1:8" x14ac:dyDescent="0.25">
      <c r="A16" s="17"/>
      <c r="B16" s="18"/>
      <c r="C16" s="21"/>
      <c r="D16" s="20"/>
      <c r="E16" s="20"/>
      <c r="F16" s="20"/>
      <c r="G16" s="23"/>
      <c r="H16" s="24"/>
    </row>
  </sheetData>
  <mergeCells count="3">
    <mergeCell ref="A1:H1"/>
    <mergeCell ref="A2:H2"/>
    <mergeCell ref="A3:H3"/>
  </mergeCells>
  <pageMargins left="0.7" right="0.7" top="0.75" bottom="0.75" header="0.3" footer="0.3"/>
  <pageSetup orientation="landscape" blackAndWhite="1" r:id="rId1"/>
  <headerFooter>
    <oddFooter>&amp;L&amp;F
&amp;A&amp;C&amp;P&amp;R&amp;D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zoomScaleNormal="100" workbookViewId="0">
      <pane ySplit="7" topLeftCell="A23" activePane="bottomLeft" state="frozen"/>
      <selection pane="bottomLeft" activeCell="K17" sqref="K17"/>
    </sheetView>
  </sheetViews>
  <sheetFormatPr defaultColWidth="9.140625" defaultRowHeight="12.75" x14ac:dyDescent="0.2"/>
  <cols>
    <col min="1" max="1" width="3.5703125" style="75" customWidth="1"/>
    <col min="2" max="2" width="17.85546875" style="75" customWidth="1"/>
    <col min="3" max="3" width="8.7109375" style="75" bestFit="1" customWidth="1"/>
    <col min="4" max="4" width="18.7109375" style="75" customWidth="1"/>
    <col min="5" max="6" width="12.85546875" style="75" customWidth="1"/>
    <col min="7" max="7" width="15.42578125" style="75" bestFit="1" customWidth="1"/>
    <col min="8" max="8" width="16.5703125" style="75" bestFit="1" customWidth="1"/>
    <col min="9" max="9" width="15.42578125" style="75" bestFit="1" customWidth="1"/>
    <col min="10" max="10" width="15.42578125" style="75" customWidth="1"/>
    <col min="11" max="11" width="11.85546875" style="75" bestFit="1" customWidth="1"/>
    <col min="12" max="12" width="11.28515625" style="75" bestFit="1" customWidth="1"/>
    <col min="13" max="13" width="10.5703125" style="75" customWidth="1"/>
    <col min="14" max="16384" width="9.140625" style="75"/>
  </cols>
  <sheetData>
    <row r="1" spans="1:10" ht="15" customHeight="1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397"/>
      <c r="J1" s="74"/>
    </row>
    <row r="2" spans="1:10" ht="15" customHeight="1" x14ac:dyDescent="0.2">
      <c r="A2" s="397" t="s">
        <v>338</v>
      </c>
      <c r="B2" s="397"/>
      <c r="C2" s="397"/>
      <c r="D2" s="397"/>
      <c r="E2" s="397"/>
      <c r="F2" s="397"/>
      <c r="G2" s="397"/>
      <c r="H2" s="397"/>
      <c r="I2" s="397"/>
      <c r="J2" s="74"/>
    </row>
    <row r="3" spans="1:10" ht="15" customHeight="1" x14ac:dyDescent="0.2">
      <c r="A3" s="397" t="s">
        <v>356</v>
      </c>
      <c r="B3" s="397"/>
      <c r="C3" s="397"/>
      <c r="D3" s="397"/>
      <c r="E3" s="397"/>
      <c r="F3" s="397"/>
      <c r="G3" s="397"/>
      <c r="H3" s="397"/>
      <c r="I3" s="397"/>
      <c r="J3" s="74"/>
    </row>
    <row r="5" spans="1:10" ht="15" x14ac:dyDescent="0.25">
      <c r="D5" s="5" t="s">
        <v>15</v>
      </c>
      <c r="E5" s="76"/>
      <c r="F5" s="76"/>
      <c r="G5" s="76" t="s">
        <v>116</v>
      </c>
      <c r="H5" s="76" t="s">
        <v>116</v>
      </c>
      <c r="I5" s="76" t="s">
        <v>1</v>
      </c>
    </row>
    <row r="6" spans="1:10" ht="15" x14ac:dyDescent="0.25">
      <c r="C6" s="76" t="s">
        <v>17</v>
      </c>
      <c r="D6" s="5" t="s">
        <v>3</v>
      </c>
      <c r="E6" s="313" t="s">
        <v>5</v>
      </c>
      <c r="F6" s="76" t="s">
        <v>73</v>
      </c>
      <c r="G6" s="76" t="s">
        <v>2</v>
      </c>
      <c r="H6" s="76" t="s">
        <v>2</v>
      </c>
      <c r="I6" s="76" t="s">
        <v>2</v>
      </c>
    </row>
    <row r="7" spans="1:10" ht="15" x14ac:dyDescent="0.25">
      <c r="A7" s="400" t="s">
        <v>117</v>
      </c>
      <c r="B7" s="400"/>
      <c r="C7" s="78" t="s">
        <v>21</v>
      </c>
      <c r="D7" s="238" t="str">
        <f>'Base Rate Impacts'!$D$8</f>
        <v>Jan 18 - Dec 18</v>
      </c>
      <c r="E7" s="78" t="s">
        <v>246</v>
      </c>
      <c r="F7" s="154" t="s">
        <v>17</v>
      </c>
      <c r="G7" s="78" t="s">
        <v>208</v>
      </c>
      <c r="H7" s="154" t="s">
        <v>209</v>
      </c>
      <c r="I7" s="154" t="s">
        <v>210</v>
      </c>
    </row>
    <row r="8" spans="1:10" ht="15" x14ac:dyDescent="0.25">
      <c r="A8" s="75" t="s">
        <v>7</v>
      </c>
      <c r="C8" s="76" t="s">
        <v>75</v>
      </c>
      <c r="D8" s="138">
        <f>SUM('Normalized Therms'!P9,'Normalized Therms'!P11)</f>
        <v>613662173.62800002</v>
      </c>
      <c r="E8" s="135">
        <v>5.3699999999999998E-3</v>
      </c>
      <c r="F8" s="135">
        <v>5.3699999999999998E-3</v>
      </c>
      <c r="G8" s="79">
        <f>D8*(E8)</f>
        <v>3295365.87238236</v>
      </c>
      <c r="H8" s="79">
        <f>D8*(F8)</f>
        <v>3295365.87238236</v>
      </c>
      <c r="I8" s="157">
        <f>H8-G8</f>
        <v>0</v>
      </c>
    </row>
    <row r="9" spans="1:10" ht="15" x14ac:dyDescent="0.25">
      <c r="C9" s="76"/>
      <c r="D9" s="139"/>
      <c r="E9" s="135"/>
      <c r="F9" s="135"/>
      <c r="G9" s="79"/>
      <c r="H9" s="79"/>
      <c r="I9" s="157"/>
    </row>
    <row r="10" spans="1:10" ht="15" x14ac:dyDescent="0.25">
      <c r="A10" s="75" t="s">
        <v>76</v>
      </c>
      <c r="C10" s="77">
        <v>31</v>
      </c>
      <c r="D10" s="140">
        <f>'Normalized Therms'!P12</f>
        <v>232245222.90300003</v>
      </c>
      <c r="E10" s="135">
        <v>4.28E-3</v>
      </c>
      <c r="F10" s="135">
        <v>4.28E-3</v>
      </c>
      <c r="G10" s="79">
        <f>D10*(E10)</f>
        <v>994009.55402484012</v>
      </c>
      <c r="H10" s="79">
        <f>D10*(F10)</f>
        <v>994009.55402484012</v>
      </c>
      <c r="I10" s="157">
        <f t="shared" ref="I10:I47" si="0">H10-G10</f>
        <v>0</v>
      </c>
    </row>
    <row r="11" spans="1:10" ht="15" x14ac:dyDescent="0.25">
      <c r="A11" s="75" t="s">
        <v>76</v>
      </c>
      <c r="C11" s="77" t="s">
        <v>33</v>
      </c>
      <c r="D11" s="140">
        <f>'Normalized Therms'!P17</f>
        <v>31498.21</v>
      </c>
      <c r="E11" s="135">
        <v>4.28E-3</v>
      </c>
      <c r="F11" s="135">
        <v>4.28E-3</v>
      </c>
      <c r="G11" s="79">
        <f>D11*(E11)</f>
        <v>134.81233879999999</v>
      </c>
      <c r="H11" s="79">
        <f>D11*(F11)</f>
        <v>134.81233879999999</v>
      </c>
      <c r="I11" s="157">
        <f t="shared" si="0"/>
        <v>0</v>
      </c>
    </row>
    <row r="12" spans="1:10" ht="15" x14ac:dyDescent="0.25">
      <c r="C12" s="76"/>
      <c r="D12" s="139"/>
      <c r="E12" s="135"/>
      <c r="F12" s="135"/>
      <c r="G12" s="79"/>
      <c r="H12" s="79"/>
      <c r="I12" s="157"/>
    </row>
    <row r="13" spans="1:10" ht="15" x14ac:dyDescent="0.25">
      <c r="A13" s="75" t="s">
        <v>77</v>
      </c>
      <c r="C13" s="76">
        <v>41</v>
      </c>
      <c r="D13" s="140">
        <f>'Normalized Therms'!P13</f>
        <v>65497864.558000013</v>
      </c>
      <c r="E13" s="135">
        <v>2.2499999999999998E-3</v>
      </c>
      <c r="F13" s="135">
        <v>2.2499999999999998E-3</v>
      </c>
      <c r="G13" s="79">
        <f>D13*(E13)</f>
        <v>147370.19525550003</v>
      </c>
      <c r="H13" s="79">
        <f>D13*(F13)</f>
        <v>147370.19525550003</v>
      </c>
      <c r="I13" s="157">
        <f t="shared" si="0"/>
        <v>0</v>
      </c>
    </row>
    <row r="14" spans="1:10" ht="15" x14ac:dyDescent="0.25">
      <c r="A14" s="75" t="s">
        <v>77</v>
      </c>
      <c r="C14" s="76" t="s">
        <v>35</v>
      </c>
      <c r="D14" s="156">
        <f>'Normalized Therms'!P18</f>
        <v>20617014.420000002</v>
      </c>
      <c r="E14" s="135">
        <v>2.2499999999999998E-3</v>
      </c>
      <c r="F14" s="135">
        <v>2.2499999999999998E-3</v>
      </c>
      <c r="G14" s="79">
        <f>D14*(E14)</f>
        <v>46388.282444999997</v>
      </c>
      <c r="H14" s="79">
        <f>D14*(F14)</f>
        <v>46388.282444999997</v>
      </c>
      <c r="I14" s="157">
        <f t="shared" si="0"/>
        <v>0</v>
      </c>
    </row>
    <row r="15" spans="1:10" ht="15" x14ac:dyDescent="0.25">
      <c r="C15" s="76"/>
      <c r="D15" s="80"/>
      <c r="E15" s="135"/>
      <c r="F15" s="135"/>
      <c r="G15" s="79"/>
      <c r="H15" s="79"/>
      <c r="I15" s="157"/>
    </row>
    <row r="16" spans="1:10" ht="15" x14ac:dyDescent="0.25">
      <c r="A16" s="75" t="s">
        <v>10</v>
      </c>
      <c r="C16" s="76">
        <v>85</v>
      </c>
      <c r="D16" s="81"/>
      <c r="E16" s="135"/>
      <c r="F16" s="135"/>
      <c r="G16" s="79"/>
      <c r="H16" s="79"/>
      <c r="I16" s="157"/>
    </row>
    <row r="17" spans="1:10" ht="15" x14ac:dyDescent="0.25">
      <c r="B17" s="75" t="s">
        <v>88</v>
      </c>
      <c r="C17" s="76"/>
      <c r="D17" s="81">
        <f>'Normalized Therms'!$P$14*'12ME Dec18 Bill Freq'!N13</f>
        <v>7617621.6730000013</v>
      </c>
      <c r="E17" s="136">
        <v>1.5299999999999999E-3</v>
      </c>
      <c r="F17" s="136">
        <v>1.5299999999999999E-3</v>
      </c>
      <c r="G17" s="79"/>
      <c r="H17" s="79"/>
      <c r="I17" s="157"/>
      <c r="J17" s="142"/>
    </row>
    <row r="18" spans="1:10" ht="15" x14ac:dyDescent="0.25">
      <c r="B18" s="75" t="s">
        <v>89</v>
      </c>
      <c r="C18" s="76"/>
      <c r="D18" s="81">
        <f>'Normalized Therms'!$P$14*'12ME Dec18 Bill Freq'!N14</f>
        <v>4021281.8229999999</v>
      </c>
      <c r="E18" s="136">
        <v>9.5E-4</v>
      </c>
      <c r="F18" s="136">
        <v>9.5E-4</v>
      </c>
      <c r="G18" s="79"/>
      <c r="H18" s="79"/>
      <c r="I18" s="157"/>
      <c r="J18" s="142"/>
    </row>
    <row r="19" spans="1:10" ht="15" x14ac:dyDescent="0.25">
      <c r="B19" s="75" t="s">
        <v>90</v>
      </c>
      <c r="C19" s="76"/>
      <c r="D19" s="81">
        <f>'Normalized Therms'!$P$14*'12ME Dec18 Bill Freq'!N15</f>
        <v>4149095.0579999997</v>
      </c>
      <c r="E19" s="136">
        <v>5.2999999999999998E-4</v>
      </c>
      <c r="F19" s="136">
        <v>5.2999999999999998E-4</v>
      </c>
      <c r="G19" s="79"/>
      <c r="H19" s="79"/>
      <c r="I19" s="157"/>
      <c r="J19" s="142"/>
    </row>
    <row r="20" spans="1:10" ht="15" x14ac:dyDescent="0.25">
      <c r="B20" s="75" t="s">
        <v>6</v>
      </c>
      <c r="C20" s="76"/>
      <c r="D20" s="82">
        <f>SUM(D17:D19)</f>
        <v>15787998.554000001</v>
      </c>
      <c r="E20" s="135"/>
      <c r="F20" s="135"/>
      <c r="G20" s="164">
        <f>SUMPRODUCT(D17:D19,E17:E19)</f>
        <v>17674.199272280002</v>
      </c>
      <c r="H20" s="164">
        <f>SUMPRODUCT(D17:D19,F17:F19)</f>
        <v>17674.199272280002</v>
      </c>
      <c r="I20" s="157">
        <f t="shared" si="0"/>
        <v>0</v>
      </c>
    </row>
    <row r="21" spans="1:10" ht="15" x14ac:dyDescent="0.25">
      <c r="C21" s="76"/>
      <c r="D21" s="80"/>
      <c r="E21" s="135"/>
      <c r="F21" s="135"/>
      <c r="G21" s="79"/>
      <c r="H21" s="79"/>
      <c r="I21" s="157"/>
    </row>
    <row r="22" spans="1:10" ht="15" x14ac:dyDescent="0.25">
      <c r="A22" s="75" t="s">
        <v>10</v>
      </c>
      <c r="C22" s="76">
        <v>86</v>
      </c>
      <c r="D22" s="140">
        <f>'Normalized Therms'!P15</f>
        <v>8752636.7929999996</v>
      </c>
      <c r="E22" s="135">
        <v>2.1900000000000001E-3</v>
      </c>
      <c r="F22" s="135">
        <v>2.1900000000000001E-3</v>
      </c>
      <c r="G22" s="79">
        <f>D22*(E22)</f>
        <v>19168.274576669999</v>
      </c>
      <c r="H22" s="79">
        <f>D22*(F22)</f>
        <v>19168.274576669999</v>
      </c>
      <c r="I22" s="157">
        <f t="shared" si="0"/>
        <v>0</v>
      </c>
    </row>
    <row r="23" spans="1:10" ht="15" x14ac:dyDescent="0.25">
      <c r="A23" s="75" t="s">
        <v>10</v>
      </c>
      <c r="C23" s="76" t="s">
        <v>39</v>
      </c>
      <c r="D23" s="156">
        <f>'Normalized Therms'!P20</f>
        <v>351288.14999999997</v>
      </c>
      <c r="E23" s="135">
        <v>2.1900000000000001E-3</v>
      </c>
      <c r="F23" s="135">
        <v>2.1900000000000001E-3</v>
      </c>
      <c r="G23" s="79">
        <f>D23*(E23)</f>
        <v>769.32104849999996</v>
      </c>
      <c r="H23" s="79">
        <f>D23*(F23)</f>
        <v>769.32104849999996</v>
      </c>
      <c r="I23" s="157">
        <f t="shared" si="0"/>
        <v>0</v>
      </c>
    </row>
    <row r="24" spans="1:10" ht="15" x14ac:dyDescent="0.25">
      <c r="C24" s="76"/>
      <c r="D24" s="80"/>
      <c r="E24" s="135"/>
      <c r="F24" s="135"/>
      <c r="G24" s="79"/>
      <c r="H24" s="79"/>
      <c r="I24" s="157"/>
    </row>
    <row r="25" spans="1:10" ht="15" x14ac:dyDescent="0.25">
      <c r="A25" s="75" t="s">
        <v>10</v>
      </c>
      <c r="C25" s="76">
        <v>87</v>
      </c>
      <c r="D25" s="80"/>
      <c r="E25" s="135"/>
      <c r="F25" s="135"/>
      <c r="G25" s="79"/>
      <c r="H25" s="79"/>
      <c r="I25" s="157"/>
    </row>
    <row r="26" spans="1:10" ht="15" x14ac:dyDescent="0.25">
      <c r="B26" s="75" t="s">
        <v>88</v>
      </c>
      <c r="C26" s="76"/>
      <c r="D26" s="81">
        <f>'Normalized Therms'!$P$16*'12ME Dec18 Bill Freq'!N26</f>
        <v>1500625.1840000001</v>
      </c>
      <c r="E26" s="136">
        <v>1.5299999999999999E-3</v>
      </c>
      <c r="F26" s="136">
        <v>1.5299999999999999E-3</v>
      </c>
      <c r="G26" s="79"/>
      <c r="H26" s="79"/>
      <c r="I26" s="157"/>
    </row>
    <row r="27" spans="1:10" ht="15" x14ac:dyDescent="0.25">
      <c r="B27" s="75" t="s">
        <v>89</v>
      </c>
      <c r="C27" s="76"/>
      <c r="D27" s="81">
        <f>'Normalized Therms'!$P$16*'12ME Dec18 Bill Freq'!N27</f>
        <v>1470839.4029999999</v>
      </c>
      <c r="E27" s="136">
        <v>9.5E-4</v>
      </c>
      <c r="F27" s="136">
        <v>9.5E-4</v>
      </c>
      <c r="G27" s="79"/>
      <c r="H27" s="79"/>
      <c r="I27" s="157"/>
    </row>
    <row r="28" spans="1:10" ht="15" x14ac:dyDescent="0.25">
      <c r="B28" s="75" t="s">
        <v>99</v>
      </c>
      <c r="C28" s="76"/>
      <c r="D28" s="81">
        <f>'Normalized Therms'!$P$16*'12ME Dec18 Bill Freq'!N28</f>
        <v>2603460.2510000002</v>
      </c>
      <c r="E28" s="136">
        <v>6.2E-4</v>
      </c>
      <c r="F28" s="136">
        <v>6.2E-4</v>
      </c>
      <c r="G28" s="79"/>
      <c r="H28" s="79"/>
      <c r="I28" s="157"/>
      <c r="J28" s="84"/>
    </row>
    <row r="29" spans="1:10" ht="15" x14ac:dyDescent="0.25">
      <c r="B29" s="75" t="s">
        <v>100</v>
      </c>
      <c r="C29" s="76"/>
      <c r="D29" s="81">
        <f>'Normalized Therms'!$P$16*'12ME Dec18 Bill Freq'!N29</f>
        <v>3197116.5289999996</v>
      </c>
      <c r="E29" s="136">
        <v>4.2000000000000002E-4</v>
      </c>
      <c r="F29" s="136">
        <v>4.2000000000000002E-4</v>
      </c>
      <c r="G29" s="79"/>
      <c r="H29" s="79"/>
      <c r="I29" s="157"/>
    </row>
    <row r="30" spans="1:10" ht="15" x14ac:dyDescent="0.25">
      <c r="B30" s="75" t="s">
        <v>101</v>
      </c>
      <c r="C30" s="76"/>
      <c r="D30" s="81">
        <f>'Normalized Therms'!$P$16*'12ME Dec18 Bill Freq'!N30</f>
        <v>3739136.7420000001</v>
      </c>
      <c r="E30" s="136">
        <v>3.1E-4</v>
      </c>
      <c r="F30" s="136">
        <v>3.1E-4</v>
      </c>
      <c r="G30" s="79"/>
      <c r="H30" s="79"/>
      <c r="I30" s="157"/>
      <c r="J30" s="85"/>
    </row>
    <row r="31" spans="1:10" ht="15" x14ac:dyDescent="0.25">
      <c r="B31" s="75" t="s">
        <v>102</v>
      </c>
      <c r="C31" s="76"/>
      <c r="D31" s="81">
        <f>'Normalized Therms'!$P$16*'12ME Dec18 Bill Freq'!N31</f>
        <v>10370545.550000001</v>
      </c>
      <c r="E31" s="136">
        <v>2.5000000000000001E-4</v>
      </c>
      <c r="F31" s="136">
        <v>2.5000000000000001E-4</v>
      </c>
      <c r="G31" s="79"/>
      <c r="H31" s="79"/>
      <c r="I31" s="157"/>
    </row>
    <row r="32" spans="1:10" ht="15" x14ac:dyDescent="0.25">
      <c r="B32" s="75" t="s">
        <v>6</v>
      </c>
      <c r="C32" s="76"/>
      <c r="D32" s="82">
        <f>SUM(D26:D31)</f>
        <v>22881723.659000002</v>
      </c>
      <c r="E32" s="135"/>
      <c r="F32" s="135"/>
      <c r="G32" s="114">
        <f>SUMPRODUCT(D26:D31,E26:E31)</f>
        <v>10401.957039690002</v>
      </c>
      <c r="H32" s="164">
        <f>SUMPRODUCT(D26:D31,F26:F31)</f>
        <v>10401.957039690002</v>
      </c>
      <c r="I32" s="157">
        <f t="shared" si="0"/>
        <v>0</v>
      </c>
    </row>
    <row r="33" spans="1:10" ht="15" x14ac:dyDescent="0.25">
      <c r="C33" s="76"/>
      <c r="D33" s="82"/>
      <c r="E33" s="135"/>
      <c r="F33" s="135"/>
      <c r="G33" s="83"/>
      <c r="H33" s="79"/>
      <c r="I33" s="157"/>
      <c r="J33" s="86"/>
    </row>
    <row r="34" spans="1:10" ht="15" x14ac:dyDescent="0.25">
      <c r="A34" s="75" t="s">
        <v>118</v>
      </c>
      <c r="C34" s="76" t="s">
        <v>37</v>
      </c>
      <c r="D34" s="82"/>
      <c r="E34" s="135"/>
      <c r="F34" s="135"/>
      <c r="G34" s="83"/>
      <c r="H34" s="79"/>
      <c r="I34" s="157"/>
      <c r="J34" s="86"/>
    </row>
    <row r="35" spans="1:10" ht="15" x14ac:dyDescent="0.25">
      <c r="B35" s="75" t="s">
        <v>88</v>
      </c>
      <c r="C35" s="76"/>
      <c r="D35" s="87">
        <f>'Normalized Therms'!$P$19*'12ME Dec18 Bill Freq'!N43</f>
        <v>28123063.68</v>
      </c>
      <c r="E35" s="136">
        <v>1.5299999999999999E-3</v>
      </c>
      <c r="F35" s="136">
        <v>1.5299999999999999E-3</v>
      </c>
      <c r="G35" s="83"/>
      <c r="H35" s="79"/>
      <c r="I35" s="157"/>
      <c r="J35" s="86"/>
    </row>
    <row r="36" spans="1:10" ht="15" x14ac:dyDescent="0.25">
      <c r="B36" s="75" t="s">
        <v>89</v>
      </c>
      <c r="C36" s="76"/>
      <c r="D36" s="87">
        <f>'Normalized Therms'!$P$19*'12ME Dec18 Bill Freq'!N44</f>
        <v>18732272.720000003</v>
      </c>
      <c r="E36" s="136">
        <v>9.5E-4</v>
      </c>
      <c r="F36" s="136">
        <v>9.5E-4</v>
      </c>
      <c r="G36" s="83"/>
      <c r="H36" s="79"/>
      <c r="I36" s="157"/>
      <c r="J36" s="88"/>
    </row>
    <row r="37" spans="1:10" ht="15" x14ac:dyDescent="0.25">
      <c r="B37" s="75" t="s">
        <v>90</v>
      </c>
      <c r="C37" s="76"/>
      <c r="D37" s="87">
        <f>'Normalized Therms'!$P$19*'12ME Dec18 Bill Freq'!N45</f>
        <v>27976821.810000002</v>
      </c>
      <c r="E37" s="136">
        <v>5.2999999999999998E-4</v>
      </c>
      <c r="F37" s="136">
        <v>5.2999999999999998E-4</v>
      </c>
      <c r="G37" s="83"/>
      <c r="H37" s="79"/>
      <c r="I37" s="157"/>
      <c r="J37" s="86"/>
    </row>
    <row r="38" spans="1:10" ht="15" x14ac:dyDescent="0.25">
      <c r="B38" s="75" t="s">
        <v>6</v>
      </c>
      <c r="C38" s="76"/>
      <c r="D38" s="82">
        <f>SUM(D35:D37)</f>
        <v>74832158.210000008</v>
      </c>
      <c r="E38" s="135"/>
      <c r="F38" s="135"/>
      <c r="G38" s="114">
        <f>SUMPRODUCT(D35:D37,E35:E37)</f>
        <v>75651.662073700005</v>
      </c>
      <c r="H38" s="164">
        <f>SUMPRODUCT(D35:D37,F35:F37)</f>
        <v>75651.662073700005</v>
      </c>
      <c r="I38" s="157">
        <f t="shared" si="0"/>
        <v>0</v>
      </c>
      <c r="J38" s="86"/>
    </row>
    <row r="39" spans="1:10" ht="15" x14ac:dyDescent="0.25">
      <c r="C39" s="76"/>
      <c r="D39" s="82"/>
      <c r="E39" s="135"/>
      <c r="F39" s="135"/>
      <c r="G39" s="83"/>
      <c r="H39" s="79"/>
      <c r="I39" s="157"/>
      <c r="J39" s="86"/>
    </row>
    <row r="40" spans="1:10" ht="15" x14ac:dyDescent="0.25">
      <c r="A40" s="75" t="s">
        <v>118</v>
      </c>
      <c r="C40" s="76" t="s">
        <v>41</v>
      </c>
      <c r="D40" s="82"/>
      <c r="E40" s="135"/>
      <c r="F40" s="135"/>
      <c r="G40" s="83"/>
      <c r="H40" s="79"/>
      <c r="I40" s="157"/>
    </row>
    <row r="41" spans="1:10" ht="15" x14ac:dyDescent="0.25">
      <c r="B41" s="75" t="s">
        <v>88</v>
      </c>
      <c r="C41" s="76"/>
      <c r="D41" s="87">
        <f>'Normalized Therms'!$P$21*'12ME Dec18 Bill Freq'!N56</f>
        <v>2999999.9999999995</v>
      </c>
      <c r="E41" s="136">
        <v>1.5299999999999999E-3</v>
      </c>
      <c r="F41" s="136">
        <v>1.5299999999999999E-3</v>
      </c>
      <c r="G41" s="83"/>
      <c r="H41" s="79"/>
      <c r="I41" s="157"/>
    </row>
    <row r="42" spans="1:10" ht="15" x14ac:dyDescent="0.25">
      <c r="B42" s="75" t="s">
        <v>89</v>
      </c>
      <c r="C42" s="76"/>
      <c r="D42" s="87">
        <f>'Normalized Therms'!$P$21*'12ME Dec18 Bill Freq'!N57</f>
        <v>2999999.9999999995</v>
      </c>
      <c r="E42" s="136">
        <v>9.5E-4</v>
      </c>
      <c r="F42" s="136">
        <v>9.5E-4</v>
      </c>
      <c r="G42" s="83"/>
      <c r="H42" s="79"/>
      <c r="I42" s="157"/>
    </row>
    <row r="43" spans="1:10" ht="15" x14ac:dyDescent="0.25">
      <c r="B43" s="75" t="s">
        <v>99</v>
      </c>
      <c r="C43" s="76"/>
      <c r="D43" s="87">
        <f>'Normalized Therms'!$P$21*'12ME Dec18 Bill Freq'!N58</f>
        <v>5983755.4799999986</v>
      </c>
      <c r="E43" s="136">
        <v>6.2E-4</v>
      </c>
      <c r="F43" s="136">
        <v>6.2E-4</v>
      </c>
      <c r="G43" s="83"/>
      <c r="H43" s="79"/>
      <c r="I43" s="157"/>
    </row>
    <row r="44" spans="1:10" ht="15" x14ac:dyDescent="0.25">
      <c r="B44" s="75" t="s">
        <v>100</v>
      </c>
      <c r="C44" s="76"/>
      <c r="D44" s="87">
        <f>'Normalized Therms'!$P$21*'12ME Dec18 Bill Freq'!N59</f>
        <v>11737512.85</v>
      </c>
      <c r="E44" s="136">
        <v>4.2000000000000002E-4</v>
      </c>
      <c r="F44" s="136">
        <v>4.2000000000000002E-4</v>
      </c>
      <c r="G44" s="83"/>
      <c r="H44" s="79"/>
      <c r="I44" s="157"/>
    </row>
    <row r="45" spans="1:10" ht="15" x14ac:dyDescent="0.25">
      <c r="B45" s="75" t="s">
        <v>101</v>
      </c>
      <c r="C45" s="76"/>
      <c r="D45" s="87">
        <f>'Normalized Therms'!$P$21*'12ME Dec18 Bill Freq'!N60</f>
        <v>26253607.009999998</v>
      </c>
      <c r="E45" s="136">
        <v>3.1E-4</v>
      </c>
      <c r="F45" s="136">
        <v>3.1E-4</v>
      </c>
      <c r="G45" s="83"/>
      <c r="H45" s="79"/>
      <c r="I45" s="157"/>
    </row>
    <row r="46" spans="1:10" ht="15" x14ac:dyDescent="0.25">
      <c r="B46" s="75" t="s">
        <v>102</v>
      </c>
      <c r="C46" s="76"/>
      <c r="D46" s="87">
        <f>'Normalized Therms'!$P$21*'12ME Dec18 Bill Freq'!N61</f>
        <v>50252432.389999993</v>
      </c>
      <c r="E46" s="136">
        <v>2.5000000000000001E-4</v>
      </c>
      <c r="F46" s="136">
        <v>2.5000000000000001E-4</v>
      </c>
      <c r="G46" s="83"/>
      <c r="H46" s="79"/>
      <c r="I46" s="157"/>
      <c r="J46" s="86"/>
    </row>
    <row r="47" spans="1:10" ht="15" x14ac:dyDescent="0.25">
      <c r="B47" s="75" t="s">
        <v>6</v>
      </c>
      <c r="C47" s="76"/>
      <c r="D47" s="82">
        <f>SUM(D41:D46)</f>
        <v>100227307.72999999</v>
      </c>
      <c r="E47" s="135"/>
      <c r="F47" s="135"/>
      <c r="G47" s="114">
        <f>SUMPRODUCT(D41:D46,E41:E46)</f>
        <v>36781.410065199998</v>
      </c>
      <c r="H47" s="164">
        <f>SUMPRODUCT(D41:D46,F41:F46)</f>
        <v>36781.410065199998</v>
      </c>
      <c r="I47" s="157">
        <f t="shared" si="0"/>
        <v>0</v>
      </c>
      <c r="J47" s="86"/>
    </row>
    <row r="48" spans="1:10" ht="15" x14ac:dyDescent="0.25">
      <c r="D48" s="89"/>
      <c r="E48" s="137"/>
      <c r="F48" s="137"/>
      <c r="G48" s="90"/>
      <c r="H48" s="163"/>
      <c r="I48" s="157"/>
      <c r="J48" s="91"/>
    </row>
    <row r="49" spans="2:12" ht="15" x14ac:dyDescent="0.25">
      <c r="B49" s="75" t="s">
        <v>6</v>
      </c>
      <c r="D49" s="92">
        <f>D8+D10+D13+D20+D22+D32+D38+D47+D11+D14+D23</f>
        <v>1154886886.8150003</v>
      </c>
      <c r="E49" s="135"/>
      <c r="F49" s="135"/>
      <c r="G49" s="93">
        <f>G8+G10+G13+G20+G22+G32+G38+G47+G11+G14+G23</f>
        <v>4643715.5405225391</v>
      </c>
      <c r="H49" s="93">
        <f>H8+H10+H13+H20+H22+H32+H38+H47+H11+H14+H23</f>
        <v>4643715.5405225391</v>
      </c>
      <c r="I49" s="93">
        <f>I8+I10+I13+I20+I22+I32+I38+I47+I11+I14+I23</f>
        <v>0</v>
      </c>
      <c r="J49" s="94"/>
    </row>
    <row r="50" spans="2:12" x14ac:dyDescent="0.2">
      <c r="D50" s="91"/>
      <c r="E50" s="91"/>
      <c r="F50" s="91"/>
      <c r="G50" s="91"/>
      <c r="H50" s="91"/>
      <c r="J50" s="86"/>
    </row>
    <row r="51" spans="2:12" x14ac:dyDescent="0.2">
      <c r="D51" s="91"/>
      <c r="E51" s="91"/>
      <c r="F51" s="91"/>
      <c r="G51" s="95"/>
      <c r="H51" s="95"/>
    </row>
    <row r="52" spans="2:12" x14ac:dyDescent="0.2">
      <c r="L52" s="86"/>
    </row>
    <row r="53" spans="2:12" x14ac:dyDescent="0.2">
      <c r="B53" s="96"/>
      <c r="D53" s="97"/>
      <c r="E53" s="97"/>
      <c r="F53" s="97"/>
    </row>
    <row r="54" spans="2:12" x14ac:dyDescent="0.2">
      <c r="C54" s="98"/>
      <c r="D54" s="98"/>
    </row>
    <row r="55" spans="2:12" x14ac:dyDescent="0.2">
      <c r="C55" s="98"/>
      <c r="D55" s="99"/>
      <c r="E55" s="91"/>
      <c r="F55" s="91"/>
    </row>
    <row r="56" spans="2:12" x14ac:dyDescent="0.2">
      <c r="C56" s="98"/>
      <c r="D56" s="91"/>
      <c r="E56" s="98"/>
      <c r="F56" s="98"/>
    </row>
    <row r="57" spans="2:12" x14ac:dyDescent="0.2">
      <c r="C57" s="98"/>
      <c r="D57" s="91"/>
      <c r="E57" s="100"/>
      <c r="F57" s="101"/>
    </row>
    <row r="58" spans="2:12" x14ac:dyDescent="0.2">
      <c r="C58" s="97"/>
      <c r="D58" s="97"/>
      <c r="E58" s="100"/>
      <c r="F58" s="101"/>
    </row>
    <row r="59" spans="2:12" x14ac:dyDescent="0.2">
      <c r="E59" s="100"/>
      <c r="F59" s="101"/>
    </row>
    <row r="60" spans="2:12" x14ac:dyDescent="0.2">
      <c r="E60" s="91"/>
      <c r="F60" s="91"/>
    </row>
    <row r="61" spans="2:12" x14ac:dyDescent="0.2">
      <c r="E61" s="91"/>
      <c r="F61" s="91"/>
    </row>
    <row r="62" spans="2:12" x14ac:dyDescent="0.2">
      <c r="E62" s="91"/>
      <c r="F62" s="91"/>
    </row>
  </sheetData>
  <mergeCells count="4">
    <mergeCell ref="A7:B7"/>
    <mergeCell ref="A1:I1"/>
    <mergeCell ref="A2:I2"/>
    <mergeCell ref="A3:I3"/>
  </mergeCells>
  <printOptions horizontalCentered="1"/>
  <pageMargins left="0.75" right="0.75" top="1" bottom="1" header="0.5" footer="0.5"/>
  <pageSetup scale="65" orientation="landscape" blackAndWhite="1" horizontalDpi="300" verticalDpi="300" r:id="rId1"/>
  <headerFooter alignWithMargins="0">
    <oddFooter>&amp;L&amp;F 
&amp;A&amp;C&amp;P&amp;R&amp;D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"/>
  <sheetViews>
    <sheetView zoomScaleNormal="100" workbookViewId="0">
      <selection activeCell="C23" sqref="C23"/>
    </sheetView>
  </sheetViews>
  <sheetFormatPr defaultRowHeight="15" x14ac:dyDescent="0.25"/>
  <cols>
    <col min="1" max="1" width="40" bestFit="1" customWidth="1"/>
    <col min="3" max="3" width="16.5703125" bestFit="1" customWidth="1"/>
    <col min="4" max="5" width="10.7109375" bestFit="1" customWidth="1"/>
    <col min="6" max="6" width="15.7109375" bestFit="1" customWidth="1"/>
    <col min="7" max="7" width="15.7109375" customWidth="1"/>
    <col min="8" max="8" width="7.85546875" bestFit="1" customWidth="1"/>
  </cols>
  <sheetData>
    <row r="1" spans="1:11" x14ac:dyDescent="0.25">
      <c r="A1" s="397" t="s">
        <v>0</v>
      </c>
      <c r="B1" s="397"/>
      <c r="C1" s="397"/>
      <c r="D1" s="397"/>
      <c r="E1" s="397"/>
      <c r="F1" s="397"/>
      <c r="G1" s="397"/>
      <c r="H1" s="397"/>
    </row>
    <row r="2" spans="1:11" x14ac:dyDescent="0.25">
      <c r="A2" s="397" t="s">
        <v>339</v>
      </c>
      <c r="B2" s="397"/>
      <c r="C2" s="397"/>
      <c r="D2" s="397"/>
      <c r="E2" s="397"/>
      <c r="F2" s="397"/>
      <c r="G2" s="397"/>
      <c r="H2" s="397"/>
    </row>
    <row r="3" spans="1:11" x14ac:dyDescent="0.25">
      <c r="A3" s="397" t="s">
        <v>368</v>
      </c>
      <c r="B3" s="397"/>
      <c r="C3" s="397"/>
      <c r="D3" s="397"/>
      <c r="E3" s="397"/>
      <c r="F3" s="397"/>
      <c r="G3" s="397"/>
      <c r="H3" s="397"/>
    </row>
    <row r="4" spans="1:11" x14ac:dyDescent="0.25">
      <c r="D4" s="4"/>
      <c r="E4" s="4"/>
    </row>
    <row r="5" spans="1:11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114</v>
      </c>
      <c r="H5" s="5"/>
    </row>
    <row r="6" spans="1:11" x14ac:dyDescent="0.25">
      <c r="A6" s="5"/>
      <c r="B6" s="5" t="s">
        <v>17</v>
      </c>
      <c r="C6" s="5" t="s">
        <v>3</v>
      </c>
      <c r="D6" s="5" t="s">
        <v>114</v>
      </c>
      <c r="E6" s="5" t="s">
        <v>114</v>
      </c>
      <c r="F6" s="5" t="s">
        <v>15</v>
      </c>
      <c r="G6" s="5" t="s">
        <v>2</v>
      </c>
      <c r="H6" s="5" t="s">
        <v>20</v>
      </c>
    </row>
    <row r="7" spans="1:11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11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1">
        <v>0</v>
      </c>
      <c r="E8" s="11">
        <v>0</v>
      </c>
      <c r="F8" s="161">
        <f>C8*D8</f>
        <v>0</v>
      </c>
      <c r="G8" s="12">
        <f>(E8-D8)*C8</f>
        <v>0</v>
      </c>
      <c r="H8" s="2" t="e">
        <f>G8/F8</f>
        <v>#DIV/0!</v>
      </c>
      <c r="K8" s="8"/>
    </row>
    <row r="9" spans="1:11" x14ac:dyDescent="0.25">
      <c r="A9" t="s">
        <v>31</v>
      </c>
      <c r="B9" s="8">
        <v>16</v>
      </c>
      <c r="C9" s="183">
        <f>'Normalized Therms'!P10</f>
        <v>9344.1039999999994</v>
      </c>
      <c r="D9" s="11">
        <v>0</v>
      </c>
      <c r="E9" s="11">
        <v>0</v>
      </c>
      <c r="F9" s="161">
        <f t="shared" ref="F9:F20" si="0">C9*D9</f>
        <v>0</v>
      </c>
      <c r="G9" s="12">
        <f t="shared" ref="G9:G20" si="1">(E9-D9)*C9</f>
        <v>0</v>
      </c>
      <c r="H9" s="2" t="e">
        <f t="shared" ref="H9:H24" si="2">G9/F9</f>
        <v>#DIV/0!</v>
      </c>
      <c r="K9" s="8"/>
    </row>
    <row r="10" spans="1:11" x14ac:dyDescent="0.25">
      <c r="A10" t="s">
        <v>8</v>
      </c>
      <c r="B10" s="8">
        <v>31</v>
      </c>
      <c r="C10" s="183">
        <f>'Normalized Therms'!P12</f>
        <v>232245222.90300003</v>
      </c>
      <c r="D10" s="11">
        <v>0</v>
      </c>
      <c r="E10" s="11">
        <v>0</v>
      </c>
      <c r="F10" s="161">
        <f t="shared" si="0"/>
        <v>0</v>
      </c>
      <c r="G10" s="12">
        <f t="shared" si="1"/>
        <v>0</v>
      </c>
      <c r="H10" s="2" t="e">
        <f t="shared" si="2"/>
        <v>#DIV/0!</v>
      </c>
      <c r="K10" s="8"/>
    </row>
    <row r="11" spans="1:11" x14ac:dyDescent="0.25">
      <c r="A11" t="s">
        <v>9</v>
      </c>
      <c r="B11" s="8">
        <v>41</v>
      </c>
      <c r="C11" s="183">
        <f>'Normalized Therms'!P13</f>
        <v>65497864.558000013</v>
      </c>
      <c r="D11" s="11">
        <v>0</v>
      </c>
      <c r="E11" s="11">
        <v>0</v>
      </c>
      <c r="F11" s="161">
        <f t="shared" si="0"/>
        <v>0</v>
      </c>
      <c r="G11" s="12">
        <f t="shared" si="1"/>
        <v>0</v>
      </c>
      <c r="H11" s="2" t="e">
        <f t="shared" si="2"/>
        <v>#DIV/0!</v>
      </c>
      <c r="K11" s="8"/>
    </row>
    <row r="12" spans="1:11" x14ac:dyDescent="0.25">
      <c r="A12" t="s">
        <v>10</v>
      </c>
      <c r="B12" s="8">
        <v>85</v>
      </c>
      <c r="C12" s="183">
        <f>'Normalized Therms'!P14</f>
        <v>15787998.554000001</v>
      </c>
      <c r="D12" s="11">
        <v>0</v>
      </c>
      <c r="E12" s="11">
        <v>0</v>
      </c>
      <c r="F12" s="161">
        <f t="shared" si="0"/>
        <v>0</v>
      </c>
      <c r="G12" s="12">
        <f t="shared" si="1"/>
        <v>0</v>
      </c>
      <c r="H12" s="2" t="e">
        <f t="shared" si="2"/>
        <v>#DIV/0!</v>
      </c>
      <c r="K12" s="8"/>
    </row>
    <row r="13" spans="1:11" x14ac:dyDescent="0.25">
      <c r="A13" t="s">
        <v>11</v>
      </c>
      <c r="B13" s="8">
        <v>86</v>
      </c>
      <c r="C13" s="183">
        <f>'Normalized Therms'!P15</f>
        <v>8752636.7929999996</v>
      </c>
      <c r="D13" s="11">
        <v>0</v>
      </c>
      <c r="E13" s="11">
        <v>0</v>
      </c>
      <c r="F13" s="161">
        <f t="shared" si="0"/>
        <v>0</v>
      </c>
      <c r="G13" s="12">
        <f t="shared" si="1"/>
        <v>0</v>
      </c>
      <c r="H13" s="2" t="e">
        <f t="shared" si="2"/>
        <v>#DIV/0!</v>
      </c>
      <c r="K13" s="8"/>
    </row>
    <row r="14" spans="1:11" x14ac:dyDescent="0.25">
      <c r="A14" t="s">
        <v>12</v>
      </c>
      <c r="B14" s="8">
        <v>87</v>
      </c>
      <c r="C14" s="183">
        <f>'Normalized Therms'!P16</f>
        <v>22881723.659000002</v>
      </c>
      <c r="D14" s="11">
        <v>0</v>
      </c>
      <c r="E14" s="11">
        <v>0</v>
      </c>
      <c r="F14" s="161">
        <f t="shared" si="0"/>
        <v>0</v>
      </c>
      <c r="G14" s="12">
        <f t="shared" si="1"/>
        <v>0</v>
      </c>
      <c r="H14" s="2" t="e">
        <f t="shared" si="2"/>
        <v>#DIV/0!</v>
      </c>
      <c r="K14" s="8"/>
    </row>
    <row r="15" spans="1:11" x14ac:dyDescent="0.25">
      <c r="A15" t="s">
        <v>32</v>
      </c>
      <c r="B15" s="8" t="s">
        <v>33</v>
      </c>
      <c r="C15" s="183">
        <f>'Normalized Therms'!P17</f>
        <v>31498.21</v>
      </c>
      <c r="D15" s="11">
        <v>0</v>
      </c>
      <c r="E15" s="11">
        <v>0</v>
      </c>
      <c r="F15" s="161">
        <f t="shared" si="0"/>
        <v>0</v>
      </c>
      <c r="G15" s="12">
        <f t="shared" si="1"/>
        <v>0</v>
      </c>
      <c r="H15" s="2" t="e">
        <f t="shared" si="2"/>
        <v>#DIV/0!</v>
      </c>
      <c r="K15" s="8"/>
    </row>
    <row r="16" spans="1:11" x14ac:dyDescent="0.25">
      <c r="A16" t="s">
        <v>34</v>
      </c>
      <c r="B16" t="s">
        <v>35</v>
      </c>
      <c r="C16" s="183">
        <f>'Normalized Therms'!P18</f>
        <v>20617014.420000002</v>
      </c>
      <c r="D16" s="11">
        <v>0</v>
      </c>
      <c r="E16" s="11">
        <v>0</v>
      </c>
      <c r="F16" s="161">
        <f t="shared" si="0"/>
        <v>0</v>
      </c>
      <c r="G16" s="12">
        <f t="shared" si="1"/>
        <v>0</v>
      </c>
      <c r="H16" s="2" t="e">
        <f t="shared" si="2"/>
        <v>#DIV/0!</v>
      </c>
    </row>
    <row r="17" spans="1:8" x14ac:dyDescent="0.25">
      <c r="A17" t="s">
        <v>36</v>
      </c>
      <c r="B17" t="s">
        <v>37</v>
      </c>
      <c r="C17" s="183">
        <f>'Normalized Therms'!P19</f>
        <v>74832158.210000008</v>
      </c>
      <c r="D17" s="11">
        <v>0</v>
      </c>
      <c r="E17" s="11">
        <v>0</v>
      </c>
      <c r="F17" s="161">
        <f t="shared" si="0"/>
        <v>0</v>
      </c>
      <c r="G17" s="12">
        <f t="shared" si="1"/>
        <v>0</v>
      </c>
      <c r="H17" s="2" t="e">
        <f t="shared" si="2"/>
        <v>#DIV/0!</v>
      </c>
    </row>
    <row r="18" spans="1:8" x14ac:dyDescent="0.25">
      <c r="A18" t="s">
        <v>38</v>
      </c>
      <c r="B18" t="s">
        <v>39</v>
      </c>
      <c r="C18" s="183">
        <f>'Normalized Therms'!P20</f>
        <v>351288.14999999997</v>
      </c>
      <c r="D18" s="11">
        <v>0</v>
      </c>
      <c r="E18" s="11">
        <v>0</v>
      </c>
      <c r="F18" s="161">
        <f t="shared" si="0"/>
        <v>0</v>
      </c>
      <c r="G18" s="12">
        <f t="shared" si="1"/>
        <v>0</v>
      </c>
      <c r="H18" s="2" t="e">
        <f t="shared" si="2"/>
        <v>#DIV/0!</v>
      </c>
    </row>
    <row r="19" spans="1:8" x14ac:dyDescent="0.25">
      <c r="A19" t="s">
        <v>40</v>
      </c>
      <c r="B19" t="s">
        <v>41</v>
      </c>
      <c r="C19" s="183">
        <f>'Normalized Therms'!P21</f>
        <v>100227307.72999999</v>
      </c>
      <c r="D19" s="11">
        <v>0</v>
      </c>
      <c r="E19" s="11">
        <v>0</v>
      </c>
      <c r="F19" s="161">
        <f t="shared" si="0"/>
        <v>0</v>
      </c>
      <c r="G19" s="12">
        <f t="shared" si="1"/>
        <v>0</v>
      </c>
      <c r="H19" s="2" t="e">
        <f t="shared" si="2"/>
        <v>#DIV/0!</v>
      </c>
    </row>
    <row r="20" spans="1:8" x14ac:dyDescent="0.25">
      <c r="A20" t="s">
        <v>13</v>
      </c>
      <c r="C20" s="183">
        <f>'Normalized Therms'!P22</f>
        <v>37090866.75</v>
      </c>
      <c r="D20" s="14">
        <v>0</v>
      </c>
      <c r="E20" s="14">
        <v>0</v>
      </c>
      <c r="F20" s="161">
        <f t="shared" si="0"/>
        <v>0</v>
      </c>
      <c r="G20" s="12">
        <f t="shared" si="1"/>
        <v>0</v>
      </c>
      <c r="H20" s="2" t="e">
        <f t="shared" si="2"/>
        <v>#DIV/0!</v>
      </c>
    </row>
    <row r="21" spans="1:8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0</v>
      </c>
      <c r="G21" s="16">
        <f t="shared" si="3"/>
        <v>0</v>
      </c>
      <c r="H21" s="3" t="e">
        <f t="shared" si="2"/>
        <v>#DIV/0!</v>
      </c>
    </row>
    <row r="22" spans="1:8" x14ac:dyDescent="0.25">
      <c r="A22" s="17"/>
      <c r="B22" s="18"/>
      <c r="C22" s="21"/>
      <c r="D22" s="20"/>
      <c r="E22" s="20"/>
      <c r="F22" s="20"/>
      <c r="G22" s="23"/>
      <c r="H22" s="24"/>
    </row>
    <row r="23" spans="1:8" x14ac:dyDescent="0.25">
      <c r="A23" s="17" t="s">
        <v>340</v>
      </c>
      <c r="B23" s="17"/>
      <c r="C23" s="207">
        <f>'12ME Dec18 Rentals'!$O$30</f>
        <v>351449</v>
      </c>
      <c r="D23" s="103">
        <v>0</v>
      </c>
      <c r="E23" s="103">
        <v>0</v>
      </c>
      <c r="F23" s="161">
        <f>D23*C23</f>
        <v>0</v>
      </c>
      <c r="G23" s="12">
        <v>0</v>
      </c>
      <c r="H23" s="2" t="e">
        <f t="shared" si="2"/>
        <v>#DIV/0!</v>
      </c>
    </row>
    <row r="24" spans="1:8" x14ac:dyDescent="0.25">
      <c r="A24" s="29" t="s">
        <v>6</v>
      </c>
      <c r="B24" s="29"/>
      <c r="C24" s="31"/>
      <c r="D24" s="31"/>
      <c r="E24" s="31"/>
      <c r="F24" s="30">
        <f t="shared" ref="F24:G24" si="4">F21+F23</f>
        <v>0</v>
      </c>
      <c r="G24" s="30">
        <f t="shared" si="4"/>
        <v>0</v>
      </c>
      <c r="H24" s="3" t="e">
        <f t="shared" si="2"/>
        <v>#DIV/0!</v>
      </c>
    </row>
  </sheetData>
  <mergeCells count="3">
    <mergeCell ref="A1:H1"/>
    <mergeCell ref="A2:H2"/>
    <mergeCell ref="A3:H3"/>
  </mergeCells>
  <pageMargins left="0.7" right="0.7" top="0.75" bottom="0.75" header="0.3" footer="0.3"/>
  <pageSetup scale="96" orientation="landscape" blackAndWhite="1" r:id="rId1"/>
  <headerFooter>
    <oddFooter>&amp;L&amp;F
&amp;A&amp;C&amp;P&amp;R&amp;D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3" sqref="C23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75" customFormat="1" ht="12.75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74"/>
    </row>
    <row r="2" spans="1:9" s="75" customFormat="1" ht="12.75" x14ac:dyDescent="0.2">
      <c r="A2" s="397" t="s">
        <v>341</v>
      </c>
      <c r="B2" s="397"/>
      <c r="C2" s="397"/>
      <c r="D2" s="397"/>
      <c r="E2" s="397"/>
      <c r="F2" s="397"/>
      <c r="G2" s="397"/>
      <c r="H2" s="397"/>
      <c r="I2" s="74"/>
    </row>
    <row r="3" spans="1:9" s="75" customFormat="1" ht="12.75" x14ac:dyDescent="0.2">
      <c r="A3" s="397" t="s">
        <v>390</v>
      </c>
      <c r="B3" s="397"/>
      <c r="C3" s="397"/>
      <c r="D3" s="397"/>
      <c r="E3" s="397"/>
      <c r="F3" s="397"/>
      <c r="G3" s="397"/>
      <c r="H3" s="397"/>
      <c r="I3" s="74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16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16</v>
      </c>
      <c r="E6" s="5" t="s">
        <v>16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35">
        <v>2.2350000000000002E-2</v>
      </c>
      <c r="E8" s="10">
        <v>2.2350000000000002E-2</v>
      </c>
      <c r="F8" s="161">
        <f>C8*D8</f>
        <v>13715349.580585802</v>
      </c>
      <c r="G8" s="12">
        <f>(E8-D8)*C8</f>
        <v>0</v>
      </c>
      <c r="H8" s="2">
        <f>G8/F8</f>
        <v>0</v>
      </c>
    </row>
    <row r="9" spans="1:9" x14ac:dyDescent="0.25">
      <c r="A9" t="s">
        <v>31</v>
      </c>
      <c r="B9" s="8">
        <v>16</v>
      </c>
      <c r="C9" s="198">
        <f>'Normalized Therms'!P10</f>
        <v>9344.1039999999994</v>
      </c>
      <c r="D9" s="135">
        <v>2.2350000000000002E-2</v>
      </c>
      <c r="E9" s="135">
        <v>2.2350000000000002E-2</v>
      </c>
      <c r="F9" s="161">
        <f t="shared" ref="F9:F19" si="0">C9*D9</f>
        <v>208.8407244</v>
      </c>
      <c r="G9" s="12">
        <f t="shared" ref="G9:G20" si="1">(E9-D9)*C9</f>
        <v>0</v>
      </c>
      <c r="H9" s="2">
        <f t="shared" ref="H9:H24" si="2">G9/F9</f>
        <v>0</v>
      </c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35">
        <v>2.528E-2</v>
      </c>
      <c r="E10" s="10">
        <v>2.528E-2</v>
      </c>
      <c r="F10" s="161">
        <f t="shared" si="0"/>
        <v>5871159.234987841</v>
      </c>
      <c r="G10" s="12">
        <f>(E10-D10)*C10</f>
        <v>0</v>
      </c>
      <c r="H10" s="2">
        <f t="shared" si="2"/>
        <v>0</v>
      </c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35">
        <v>8.94E-3</v>
      </c>
      <c r="E11" s="10">
        <v>8.94E-3</v>
      </c>
      <c r="F11" s="161">
        <f t="shared" si="0"/>
        <v>585550.90914852009</v>
      </c>
      <c r="G11" s="12">
        <f t="shared" si="1"/>
        <v>0</v>
      </c>
      <c r="H11" s="2">
        <f t="shared" si="2"/>
        <v>0</v>
      </c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35">
        <v>5.0499999999999998E-3</v>
      </c>
      <c r="E12" s="10">
        <v>5.0499999999999998E-3</v>
      </c>
      <c r="F12" s="161">
        <f t="shared" si="0"/>
        <v>79729.392697700008</v>
      </c>
      <c r="G12" s="12">
        <f t="shared" si="1"/>
        <v>0</v>
      </c>
      <c r="H12" s="2">
        <f t="shared" si="2"/>
        <v>0</v>
      </c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35">
        <v>7.6699999999999997E-3</v>
      </c>
      <c r="E13" s="10">
        <v>7.6699999999999997E-3</v>
      </c>
      <c r="F13" s="161">
        <f t="shared" si="0"/>
        <v>67132.724202309997</v>
      </c>
      <c r="G13" s="12">
        <f t="shared" si="1"/>
        <v>0</v>
      </c>
      <c r="H13" s="2">
        <f t="shared" si="2"/>
        <v>0</v>
      </c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35">
        <v>2.7299999999999998E-3</v>
      </c>
      <c r="E14" s="10">
        <v>2.7299999999999998E-3</v>
      </c>
      <c r="F14" s="161">
        <f t="shared" si="0"/>
        <v>62467.105589070001</v>
      </c>
      <c r="G14" s="12">
        <f t="shared" si="1"/>
        <v>0</v>
      </c>
      <c r="H14" s="2">
        <f t="shared" si="2"/>
        <v>0</v>
      </c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35">
        <v>2.528E-2</v>
      </c>
      <c r="E15" s="135">
        <v>2.528E-2</v>
      </c>
      <c r="F15" s="161">
        <f t="shared" si="0"/>
        <v>796.2747488</v>
      </c>
      <c r="G15" s="12">
        <f t="shared" si="1"/>
        <v>0</v>
      </c>
      <c r="H15" s="2">
        <f t="shared" si="2"/>
        <v>0</v>
      </c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35">
        <v>8.94E-3</v>
      </c>
      <c r="E16" s="135">
        <v>8.94E-3</v>
      </c>
      <c r="F16" s="161">
        <f t="shared" si="0"/>
        <v>184316.10891480002</v>
      </c>
      <c r="G16" s="12">
        <f t="shared" si="1"/>
        <v>0</v>
      </c>
      <c r="H16" s="2">
        <f t="shared" si="2"/>
        <v>0</v>
      </c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35">
        <v>5.0499999999999998E-3</v>
      </c>
      <c r="E17" s="135">
        <v>5.0499999999999998E-3</v>
      </c>
      <c r="F17" s="161">
        <f t="shared" si="0"/>
        <v>377902.39896050002</v>
      </c>
      <c r="G17" s="12">
        <f t="shared" si="1"/>
        <v>0</v>
      </c>
      <c r="H17" s="2">
        <f t="shared" si="2"/>
        <v>0</v>
      </c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35">
        <v>7.6699999999999997E-3</v>
      </c>
      <c r="E18" s="135">
        <v>7.6699999999999997E-3</v>
      </c>
      <c r="F18" s="161">
        <f t="shared" si="0"/>
        <v>2694.3801104999998</v>
      </c>
      <c r="G18" s="12">
        <f t="shared" si="1"/>
        <v>0</v>
      </c>
      <c r="H18" s="2">
        <f t="shared" si="2"/>
        <v>0</v>
      </c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35">
        <v>2.7299999999999998E-3</v>
      </c>
      <c r="E19" s="135">
        <v>2.7299999999999998E-3</v>
      </c>
      <c r="F19" s="161">
        <f t="shared" si="0"/>
        <v>273620.55010289996</v>
      </c>
      <c r="G19" s="12">
        <f t="shared" si="1"/>
        <v>0</v>
      </c>
      <c r="H19" s="2">
        <f t="shared" si="2"/>
        <v>0</v>
      </c>
    </row>
    <row r="20" spans="1:11" x14ac:dyDescent="0.25">
      <c r="A20" t="s">
        <v>13</v>
      </c>
      <c r="C20" s="183">
        <f>'Normalized Therms'!P22</f>
        <v>37090866.75</v>
      </c>
      <c r="D20" s="14">
        <v>3.4299999999999999E-3</v>
      </c>
      <c r="E20" s="14">
        <v>3.4299999999999999E-3</v>
      </c>
      <c r="F20" s="161">
        <f>C20*D20</f>
        <v>127221.6729525</v>
      </c>
      <c r="G20" s="12">
        <f t="shared" si="1"/>
        <v>0</v>
      </c>
      <c r="H20" s="2">
        <f t="shared" si="2"/>
        <v>0</v>
      </c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21348149.173725639</v>
      </c>
      <c r="G21" s="16">
        <f t="shared" si="3"/>
        <v>0</v>
      </c>
      <c r="H21" s="3">
        <f t="shared" si="2"/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0.52</v>
      </c>
      <c r="E23" s="26">
        <v>0.52</v>
      </c>
      <c r="F23" s="161">
        <f>D23*C23</f>
        <v>182753.48</v>
      </c>
      <c r="G23" s="12">
        <f t="shared" ref="G23" si="4">(E23-D23)*C23</f>
        <v>0</v>
      </c>
      <c r="H23" s="2">
        <f t="shared" si="2"/>
        <v>0</v>
      </c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21530902.653725639</v>
      </c>
      <c r="G24" s="30">
        <f t="shared" si="5"/>
        <v>0</v>
      </c>
      <c r="H24" s="3">
        <f t="shared" si="2"/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zoomScaleNormal="100" workbookViewId="0">
      <pane ySplit="7" topLeftCell="A8" activePane="bottomLeft" state="frozen"/>
      <selection pane="bottomLeft" activeCell="G42" sqref="G42:G51"/>
    </sheetView>
  </sheetViews>
  <sheetFormatPr defaultColWidth="9.140625" defaultRowHeight="15" x14ac:dyDescent="0.25"/>
  <cols>
    <col min="1" max="1" width="3.28515625" style="168" customWidth="1"/>
    <col min="2" max="2" width="43.7109375" style="168" bestFit="1" customWidth="1"/>
    <col min="3" max="3" width="9.140625" style="168"/>
    <col min="4" max="4" width="16.5703125" style="168" bestFit="1" customWidth="1"/>
    <col min="5" max="5" width="13.7109375" style="168" bestFit="1" customWidth="1"/>
    <col min="6" max="6" width="13.7109375" style="168" customWidth="1"/>
    <col min="7" max="7" width="15" style="168" bestFit="1" customWidth="1"/>
    <col min="8" max="8" width="16" style="168" bestFit="1" customWidth="1"/>
    <col min="9" max="16384" width="9.140625" style="168"/>
  </cols>
  <sheetData>
    <row r="1" spans="1:8" x14ac:dyDescent="0.25">
      <c r="A1" s="393" t="s">
        <v>0</v>
      </c>
      <c r="B1" s="393"/>
      <c r="C1" s="393"/>
      <c r="D1" s="393"/>
      <c r="E1" s="393"/>
      <c r="F1" s="393"/>
      <c r="G1" s="393"/>
      <c r="H1" s="393"/>
    </row>
    <row r="2" spans="1:8" x14ac:dyDescent="0.25">
      <c r="A2" s="393" t="s">
        <v>348</v>
      </c>
      <c r="B2" s="393"/>
      <c r="C2" s="393"/>
      <c r="D2" s="393"/>
      <c r="E2" s="393"/>
      <c r="F2" s="393"/>
      <c r="G2" s="393"/>
      <c r="H2" s="393"/>
    </row>
    <row r="3" spans="1:8" x14ac:dyDescent="0.25">
      <c r="A3" s="393" t="s">
        <v>260</v>
      </c>
      <c r="B3" s="393"/>
      <c r="C3" s="393"/>
      <c r="D3" s="393"/>
      <c r="E3" s="393"/>
      <c r="F3" s="393"/>
      <c r="G3" s="393"/>
      <c r="H3" s="393"/>
    </row>
    <row r="4" spans="1:8" x14ac:dyDescent="0.25">
      <c r="A4" s="167"/>
      <c r="B4" s="167"/>
      <c r="C4" s="167"/>
      <c r="D4" s="167"/>
      <c r="E4" s="167"/>
      <c r="F4" s="167"/>
    </row>
    <row r="5" spans="1:8" x14ac:dyDescent="0.2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102" t="s">
        <v>232</v>
      </c>
    </row>
    <row r="6" spans="1:8" x14ac:dyDescent="0.25">
      <c r="B6" s="184"/>
      <c r="C6" s="184"/>
      <c r="D6" s="5" t="s">
        <v>3</v>
      </c>
      <c r="E6" s="184" t="s">
        <v>232</v>
      </c>
      <c r="F6" s="184" t="s">
        <v>232</v>
      </c>
      <c r="G6" s="5" t="s">
        <v>15</v>
      </c>
      <c r="H6" s="102" t="s">
        <v>212</v>
      </c>
    </row>
    <row r="7" spans="1:8" x14ac:dyDescent="0.2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25">
      <c r="A8" s="172" t="s">
        <v>214</v>
      </c>
      <c r="C8" s="172"/>
      <c r="D8" s="172"/>
    </row>
    <row r="9" spans="1:8" x14ac:dyDescent="0.25">
      <c r="B9" s="188" t="s">
        <v>234</v>
      </c>
      <c r="C9" s="188" t="s">
        <v>235</v>
      </c>
      <c r="D9" s="209">
        <f>'12ME Dec18 Data'!N23</f>
        <v>9401341.5170350727</v>
      </c>
      <c r="E9" s="194">
        <v>0.66999999999999993</v>
      </c>
      <c r="F9" s="309">
        <v>0</v>
      </c>
      <c r="G9" s="192">
        <f>ROUND(E9*D9,2)</f>
        <v>6298898.8200000003</v>
      </c>
      <c r="H9" s="192">
        <f>(F9-E9)*D9</f>
        <v>-6298898.8164134985</v>
      </c>
    </row>
    <row r="10" spans="1:8" x14ac:dyDescent="0.25">
      <c r="B10" s="173" t="s">
        <v>236</v>
      </c>
      <c r="C10" s="173" t="s">
        <v>237</v>
      </c>
      <c r="D10" s="209">
        <f>'Normalized Therms'!P9</f>
        <v>613662109.14999998</v>
      </c>
      <c r="E10" s="135">
        <v>2.1230000000000027E-2</v>
      </c>
      <c r="F10" s="310">
        <v>0</v>
      </c>
      <c r="G10" s="192">
        <f t="shared" ref="G10:G73" si="0">ROUND(E10*D10,2)</f>
        <v>13028046.58</v>
      </c>
      <c r="H10" s="192">
        <f t="shared" ref="H10:H73" si="1">(F10-E10)*D10</f>
        <v>-13028046.577254515</v>
      </c>
    </row>
    <row r="11" spans="1:8" x14ac:dyDescent="0.25">
      <c r="B11" s="150"/>
      <c r="C11" s="150"/>
      <c r="D11" s="174"/>
      <c r="E11" s="212"/>
      <c r="F11" s="212"/>
      <c r="G11" s="192"/>
      <c r="H11" s="192"/>
    </row>
    <row r="12" spans="1:8" x14ac:dyDescent="0.25">
      <c r="A12" s="175" t="s">
        <v>215</v>
      </c>
      <c r="C12" s="175"/>
      <c r="D12" s="174"/>
      <c r="E12" s="212"/>
      <c r="F12" s="212"/>
      <c r="G12" s="192"/>
      <c r="H12" s="192"/>
    </row>
    <row r="13" spans="1:8" x14ac:dyDescent="0.2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0.66999999999999993</v>
      </c>
      <c r="F13" s="311">
        <v>0</v>
      </c>
      <c r="G13" s="192">
        <f t="shared" si="0"/>
        <v>1</v>
      </c>
      <c r="H13" s="192">
        <f t="shared" si="1"/>
        <v>-0.99525454545454528</v>
      </c>
    </row>
    <row r="14" spans="1:8" x14ac:dyDescent="0.25">
      <c r="A14" s="169"/>
      <c r="B14" s="173" t="s">
        <v>236</v>
      </c>
      <c r="C14" s="173" t="s">
        <v>237</v>
      </c>
      <c r="D14" s="209">
        <f>'Normalized Therms'!P11</f>
        <v>64.477999999999994</v>
      </c>
      <c r="E14" s="135">
        <v>2.1230000000000027E-2</v>
      </c>
      <c r="F14" s="310">
        <v>0</v>
      </c>
      <c r="G14" s="192">
        <f t="shared" si="0"/>
        <v>1.37</v>
      </c>
      <c r="H14" s="192">
        <f t="shared" si="1"/>
        <v>-1.3688679400000017</v>
      </c>
    </row>
    <row r="15" spans="1:8" x14ac:dyDescent="0.25">
      <c r="A15" s="169"/>
      <c r="B15" s="176"/>
      <c r="C15" s="176"/>
      <c r="D15" s="209"/>
      <c r="E15" s="212"/>
      <c r="F15" s="310"/>
      <c r="G15" s="192"/>
      <c r="H15" s="192"/>
    </row>
    <row r="16" spans="1:8" x14ac:dyDescent="0.25">
      <c r="A16" s="175" t="s">
        <v>216</v>
      </c>
      <c r="C16" s="172"/>
      <c r="D16" s="209"/>
      <c r="E16" s="212"/>
      <c r="F16" s="310"/>
      <c r="G16" s="192"/>
      <c r="H16" s="192"/>
    </row>
    <row r="17" spans="1:8" x14ac:dyDescent="0.25">
      <c r="B17" s="173" t="s">
        <v>236</v>
      </c>
      <c r="C17" s="189" t="s">
        <v>238</v>
      </c>
      <c r="D17" s="209">
        <f>'Normalized Therms'!P10/19</f>
        <v>491.79494736842099</v>
      </c>
      <c r="E17" s="194">
        <v>0.58999999999999986</v>
      </c>
      <c r="F17" s="311">
        <v>0</v>
      </c>
      <c r="G17" s="192">
        <f t="shared" si="0"/>
        <v>290.16000000000003</v>
      </c>
      <c r="H17" s="192">
        <f t="shared" si="1"/>
        <v>-290.15901894736834</v>
      </c>
    </row>
    <row r="18" spans="1:8" x14ac:dyDescent="0.25">
      <c r="B18" s="173"/>
      <c r="C18" s="173"/>
      <c r="D18" s="209"/>
      <c r="E18" s="212"/>
      <c r="F18" s="310"/>
      <c r="G18" s="192"/>
      <c r="H18" s="192"/>
    </row>
    <row r="19" spans="1:8" x14ac:dyDescent="0.25">
      <c r="A19" s="147" t="s">
        <v>217</v>
      </c>
      <c r="B19" s="177"/>
      <c r="C19" s="178"/>
      <c r="D19" s="209"/>
      <c r="E19" s="212"/>
      <c r="F19" s="310"/>
      <c r="G19" s="192"/>
      <c r="H19" s="192"/>
    </row>
    <row r="20" spans="1:8" x14ac:dyDescent="0.25">
      <c r="A20" s="177"/>
      <c r="B20" s="182" t="s">
        <v>234</v>
      </c>
      <c r="C20" s="182" t="s">
        <v>235</v>
      </c>
      <c r="D20" s="209">
        <f>'12ME Dec18 Data'!N25</f>
        <v>692597.12096613029</v>
      </c>
      <c r="E20" s="194">
        <v>2.1200000000000045</v>
      </c>
      <c r="F20" s="311">
        <v>0</v>
      </c>
      <c r="G20" s="192">
        <f t="shared" si="0"/>
        <v>1468305.9</v>
      </c>
      <c r="H20" s="192">
        <f t="shared" si="1"/>
        <v>-1468305.8964481994</v>
      </c>
    </row>
    <row r="21" spans="1:8" x14ac:dyDescent="0.25">
      <c r="A21" s="177"/>
      <c r="B21" s="179" t="s">
        <v>236</v>
      </c>
      <c r="C21" s="179" t="s">
        <v>237</v>
      </c>
      <c r="D21" s="209">
        <f>'Normalized Therms'!$P$12</f>
        <v>232245222.90300003</v>
      </c>
      <c r="E21" s="135">
        <v>1.9409999999999983E-2</v>
      </c>
      <c r="F21" s="310">
        <v>0</v>
      </c>
      <c r="G21" s="192">
        <f t="shared" si="0"/>
        <v>4507879.78</v>
      </c>
      <c r="H21" s="192">
        <f t="shared" si="1"/>
        <v>-4507879.7765472261</v>
      </c>
    </row>
    <row r="22" spans="1:8" s="190" customFormat="1" x14ac:dyDescent="0.25">
      <c r="B22" s="191" t="s">
        <v>87</v>
      </c>
      <c r="C22" s="191" t="s">
        <v>237</v>
      </c>
      <c r="D22" s="209">
        <f>'Normalized Therms'!$P$12</f>
        <v>232245222.90300003</v>
      </c>
      <c r="E22" s="135">
        <v>5.8000000000000065E-4</v>
      </c>
      <c r="F22" s="310">
        <v>0</v>
      </c>
      <c r="G22" s="192">
        <f t="shared" ref="G22" si="2">ROUND(E22*D22,2)</f>
        <v>134702.23000000001</v>
      </c>
      <c r="H22" s="192">
        <f>(F22-E22)*D22</f>
        <v>-134702.22928374016</v>
      </c>
    </row>
    <row r="23" spans="1:8" x14ac:dyDescent="0.25">
      <c r="A23" s="177"/>
      <c r="B23" s="179"/>
      <c r="C23" s="179"/>
      <c r="D23" s="209"/>
      <c r="E23" s="212"/>
      <c r="F23" s="310"/>
      <c r="G23" s="192"/>
      <c r="H23" s="192"/>
    </row>
    <row r="24" spans="1:8" x14ac:dyDescent="0.25">
      <c r="A24" s="180" t="s">
        <v>218</v>
      </c>
      <c r="B24" s="177"/>
      <c r="C24" s="178"/>
      <c r="D24" s="209"/>
      <c r="E24" s="212"/>
      <c r="F24" s="310"/>
      <c r="G24" s="192"/>
      <c r="H24" s="192"/>
    </row>
    <row r="25" spans="1:8" x14ac:dyDescent="0.25">
      <c r="A25" s="179"/>
      <c r="B25" s="182" t="s">
        <v>234</v>
      </c>
      <c r="C25" s="182" t="s">
        <v>235</v>
      </c>
      <c r="D25" s="209">
        <f>'12ME Dec18 Data'!N26</f>
        <v>31</v>
      </c>
      <c r="E25" s="194">
        <v>15.140000000000043</v>
      </c>
      <c r="F25" s="311">
        <v>0</v>
      </c>
      <c r="G25" s="192">
        <f t="shared" si="0"/>
        <v>469.34</v>
      </c>
      <c r="H25" s="192">
        <f t="shared" si="1"/>
        <v>-469.34000000000134</v>
      </c>
    </row>
    <row r="26" spans="1:8" x14ac:dyDescent="0.25">
      <c r="A26" s="179"/>
      <c r="B26" s="179" t="s">
        <v>236</v>
      </c>
      <c r="C26" s="179" t="s">
        <v>237</v>
      </c>
      <c r="D26" s="209">
        <f>'Normalized Therms'!P17</f>
        <v>31498.21</v>
      </c>
      <c r="E26" s="135">
        <v>1.261000000000001E-2</v>
      </c>
      <c r="F26" s="310">
        <v>0</v>
      </c>
      <c r="G26" s="192">
        <f t="shared" si="0"/>
        <v>397.19</v>
      </c>
      <c r="H26" s="192">
        <f t="shared" si="1"/>
        <v>-397.19242810000031</v>
      </c>
    </row>
    <row r="27" spans="1:8" x14ac:dyDescent="0.25">
      <c r="A27" s="179"/>
      <c r="B27" s="179"/>
      <c r="C27" s="179"/>
      <c r="D27" s="209"/>
      <c r="E27" s="212"/>
      <c r="F27" s="310"/>
      <c r="G27" s="192"/>
      <c r="H27" s="192"/>
    </row>
    <row r="28" spans="1:8" x14ac:dyDescent="0.25">
      <c r="A28" s="180" t="s">
        <v>219</v>
      </c>
      <c r="B28" s="177"/>
      <c r="C28" s="178"/>
      <c r="D28" s="209"/>
      <c r="E28" s="194"/>
      <c r="F28" s="310"/>
      <c r="G28" s="192"/>
      <c r="H28" s="192"/>
    </row>
    <row r="29" spans="1:8" x14ac:dyDescent="0.25">
      <c r="A29" s="177"/>
      <c r="B29" s="179" t="s">
        <v>204</v>
      </c>
      <c r="C29" s="179"/>
      <c r="D29" s="209"/>
      <c r="E29" s="194">
        <v>9.999999999999995E-3</v>
      </c>
      <c r="F29" s="311">
        <v>0</v>
      </c>
      <c r="G29" s="192">
        <f t="shared" si="0"/>
        <v>0</v>
      </c>
      <c r="H29" s="192">
        <f t="shared" si="1"/>
        <v>0</v>
      </c>
    </row>
    <row r="30" spans="1:8" x14ac:dyDescent="0.25">
      <c r="A30" s="177"/>
      <c r="B30" s="181"/>
      <c r="C30" s="179"/>
      <c r="D30" s="209"/>
      <c r="E30" s="212"/>
      <c r="F30" s="310"/>
      <c r="G30" s="192"/>
      <c r="H30" s="192"/>
    </row>
    <row r="31" spans="1:8" x14ac:dyDescent="0.25">
      <c r="A31" s="180" t="s">
        <v>220</v>
      </c>
      <c r="B31" s="177"/>
      <c r="C31" s="178"/>
      <c r="D31" s="209"/>
      <c r="E31" s="212"/>
      <c r="F31" s="310"/>
      <c r="G31" s="192"/>
      <c r="H31" s="192"/>
    </row>
    <row r="32" spans="1:8" x14ac:dyDescent="0.25">
      <c r="A32" s="177"/>
      <c r="B32" s="182" t="s">
        <v>234</v>
      </c>
      <c r="C32" s="182" t="s">
        <v>235</v>
      </c>
      <c r="D32" s="209">
        <f>'12ME Dec18 Data'!$N$27</f>
        <v>15978.11692331859</v>
      </c>
      <c r="E32" s="194">
        <v>8.3300000000000125</v>
      </c>
      <c r="F32" s="311">
        <v>0</v>
      </c>
      <c r="G32" s="192">
        <f t="shared" si="0"/>
        <v>133097.71</v>
      </c>
      <c r="H32" s="192">
        <f t="shared" si="1"/>
        <v>-133097.71397124405</v>
      </c>
    </row>
    <row r="33" spans="1:8" x14ac:dyDescent="0.25">
      <c r="A33" s="177"/>
      <c r="B33" s="181" t="s">
        <v>239</v>
      </c>
      <c r="C33" s="182" t="s">
        <v>235</v>
      </c>
      <c r="D33" s="209">
        <f>'12ME Dec18 Data'!$N$27</f>
        <v>15978.11692331859</v>
      </c>
      <c r="E33" s="194">
        <v>9.0799999999999983</v>
      </c>
      <c r="F33" s="311">
        <v>0</v>
      </c>
      <c r="G33" s="192">
        <f t="shared" si="0"/>
        <v>145081.29999999999</v>
      </c>
      <c r="H33" s="192">
        <f t="shared" si="1"/>
        <v>-145081.30166373277</v>
      </c>
    </row>
    <row r="34" spans="1:8" x14ac:dyDescent="0.25">
      <c r="A34" s="177"/>
      <c r="B34" s="181" t="s">
        <v>78</v>
      </c>
      <c r="C34" s="179" t="s">
        <v>204</v>
      </c>
      <c r="D34" s="209">
        <f>'12ME Dec18 Data'!N9</f>
        <v>4466417.6739999996</v>
      </c>
      <c r="E34" s="194">
        <v>0.10000000000000009</v>
      </c>
      <c r="F34" s="311">
        <v>0</v>
      </c>
      <c r="G34" s="192">
        <f t="shared" si="0"/>
        <v>446641.77</v>
      </c>
      <c r="H34" s="192">
        <f t="shared" si="1"/>
        <v>-446641.76740000036</v>
      </c>
    </row>
    <row r="35" spans="1:8" x14ac:dyDescent="0.25">
      <c r="A35" s="177"/>
      <c r="B35" s="181"/>
      <c r="C35" s="179"/>
      <c r="D35" s="209"/>
      <c r="E35" s="212"/>
      <c r="F35" s="310"/>
      <c r="G35" s="192"/>
      <c r="H35" s="192"/>
    </row>
    <row r="36" spans="1:8" x14ac:dyDescent="0.25">
      <c r="A36" s="177"/>
      <c r="B36" s="181" t="s">
        <v>79</v>
      </c>
      <c r="C36" s="179"/>
      <c r="D36" s="209"/>
      <c r="E36" s="212"/>
      <c r="F36" s="310"/>
      <c r="G36" s="192"/>
      <c r="H36" s="192"/>
    </row>
    <row r="37" spans="1:8" x14ac:dyDescent="0.25">
      <c r="A37" s="177"/>
      <c r="B37" s="181" t="s">
        <v>164</v>
      </c>
      <c r="C37" s="179" t="s">
        <v>237</v>
      </c>
      <c r="D37" s="209">
        <f>'Normalized Therms'!$P$13*'12ME Dec18 Bill Freq'!N6</f>
        <v>13387853.839000005</v>
      </c>
      <c r="E37" s="135">
        <v>1.0089999999999988E-2</v>
      </c>
      <c r="F37" s="310">
        <v>0</v>
      </c>
      <c r="G37" s="192" t="s">
        <v>355</v>
      </c>
      <c r="H37" s="192" t="s">
        <v>355</v>
      </c>
    </row>
    <row r="38" spans="1:8" x14ac:dyDescent="0.25">
      <c r="A38" s="177"/>
      <c r="B38" s="181" t="s">
        <v>165</v>
      </c>
      <c r="C38" s="179" t="s">
        <v>237</v>
      </c>
      <c r="D38" s="209">
        <f>'Normalized Therms'!$P$13*'12ME Dec18 Bill Freq'!N7</f>
        <v>29572063.337000009</v>
      </c>
      <c r="E38" s="135">
        <v>1.0089999999999988E-2</v>
      </c>
      <c r="F38" s="310">
        <v>0</v>
      </c>
      <c r="G38" s="192">
        <f t="shared" si="0"/>
        <v>298382.12</v>
      </c>
      <c r="H38" s="192">
        <f t="shared" si="1"/>
        <v>-298382.1190703297</v>
      </c>
    </row>
    <row r="39" spans="1:8" x14ac:dyDescent="0.25">
      <c r="A39" s="177"/>
      <c r="B39" s="181" t="s">
        <v>166</v>
      </c>
      <c r="C39" s="179" t="s">
        <v>237</v>
      </c>
      <c r="D39" s="209">
        <f>'Normalized Therms'!$P$13*'12ME Dec18 Bill Freq'!N8</f>
        <v>22537947.382000003</v>
      </c>
      <c r="E39" s="135">
        <v>7.8499999999999959E-3</v>
      </c>
      <c r="F39" s="310">
        <v>0</v>
      </c>
      <c r="G39" s="192">
        <f t="shared" si="0"/>
        <v>176922.89</v>
      </c>
      <c r="H39" s="192">
        <f t="shared" si="1"/>
        <v>-176922.88694869992</v>
      </c>
    </row>
    <row r="40" spans="1:8" s="190" customFormat="1" x14ac:dyDescent="0.25">
      <c r="B40" s="181"/>
      <c r="C40" s="191"/>
      <c r="D40" s="209"/>
      <c r="E40" s="135"/>
      <c r="F40" s="310"/>
      <c r="G40" s="192"/>
      <c r="H40" s="192"/>
    </row>
    <row r="41" spans="1:8" s="190" customFormat="1" x14ac:dyDescent="0.25">
      <c r="B41" s="181" t="s">
        <v>87</v>
      </c>
      <c r="C41" s="191" t="s">
        <v>237</v>
      </c>
      <c r="D41" s="209">
        <f>'Normalized Therms'!$P$13</f>
        <v>65497864.558000013</v>
      </c>
      <c r="E41" s="135">
        <v>4.8000000000000039E-4</v>
      </c>
      <c r="F41" s="310">
        <v>0</v>
      </c>
      <c r="G41" s="192">
        <f t="shared" ref="G41" si="3">ROUND(E41*D41,2)</f>
        <v>31438.97</v>
      </c>
      <c r="H41" s="192">
        <f t="shared" ref="H41" si="4">(F41-E41)*D41</f>
        <v>-31438.974987840033</v>
      </c>
    </row>
    <row r="42" spans="1:8" x14ac:dyDescent="0.25">
      <c r="A42" s="177"/>
      <c r="B42" s="182"/>
      <c r="C42" s="178"/>
      <c r="D42" s="209"/>
      <c r="E42" s="212"/>
      <c r="F42" s="310"/>
      <c r="G42" s="192"/>
      <c r="H42" s="192"/>
    </row>
    <row r="43" spans="1:8" x14ac:dyDescent="0.25">
      <c r="A43" s="180" t="s">
        <v>221</v>
      </c>
      <c r="B43" s="149"/>
      <c r="C43" s="178"/>
      <c r="D43" s="209"/>
      <c r="E43" s="212"/>
      <c r="F43" s="310"/>
      <c r="G43" s="192"/>
      <c r="H43" s="192"/>
    </row>
    <row r="44" spans="1:8" x14ac:dyDescent="0.25">
      <c r="A44" s="181"/>
      <c r="B44" s="182" t="s">
        <v>234</v>
      </c>
      <c r="C44" s="182" t="s">
        <v>235</v>
      </c>
      <c r="D44" s="209">
        <f>'12ME Dec18 Data'!$N$28</f>
        <v>1233.3356387208999</v>
      </c>
      <c r="E44" s="194">
        <v>17.54000000000002</v>
      </c>
      <c r="F44" s="311">
        <v>0</v>
      </c>
      <c r="G44" s="192">
        <f t="shared" si="0"/>
        <v>21632.71</v>
      </c>
      <c r="H44" s="192">
        <f t="shared" si="1"/>
        <v>-21632.707103164608</v>
      </c>
    </row>
    <row r="45" spans="1:8" x14ac:dyDescent="0.25">
      <c r="A45" s="181"/>
      <c r="B45" s="181" t="s">
        <v>239</v>
      </c>
      <c r="C45" s="182" t="s">
        <v>235</v>
      </c>
      <c r="D45" s="209">
        <f>'12ME Dec18 Data'!$N$28</f>
        <v>1233.3356387208999</v>
      </c>
      <c r="E45" s="194">
        <v>4.9499999999999886</v>
      </c>
      <c r="F45" s="311">
        <v>0</v>
      </c>
      <c r="G45" s="192">
        <f t="shared" si="0"/>
        <v>6105.01</v>
      </c>
      <c r="H45" s="192">
        <f t="shared" si="1"/>
        <v>-6105.0114116684399</v>
      </c>
    </row>
    <row r="46" spans="1:8" x14ac:dyDescent="0.25">
      <c r="A46" s="181"/>
      <c r="B46" s="181" t="s">
        <v>78</v>
      </c>
      <c r="C46" s="179" t="s">
        <v>204</v>
      </c>
      <c r="D46" s="209">
        <f>'12ME Dec18 Data'!N10</f>
        <v>1160980.7009999999</v>
      </c>
      <c r="E46" s="194">
        <v>6.0000000000000053E-2</v>
      </c>
      <c r="F46" s="311">
        <v>0</v>
      </c>
      <c r="G46" s="192">
        <f t="shared" si="0"/>
        <v>69658.84</v>
      </c>
      <c r="H46" s="192">
        <f t="shared" si="1"/>
        <v>-69658.842060000054</v>
      </c>
    </row>
    <row r="47" spans="1:8" x14ac:dyDescent="0.25">
      <c r="A47" s="181"/>
      <c r="B47" s="181"/>
      <c r="C47" s="179"/>
      <c r="D47" s="209"/>
      <c r="E47" s="212"/>
      <c r="F47" s="310"/>
      <c r="G47" s="192"/>
      <c r="H47" s="192"/>
    </row>
    <row r="48" spans="1:8" x14ac:dyDescent="0.25">
      <c r="A48" s="181"/>
      <c r="B48" s="181" t="s">
        <v>79</v>
      </c>
      <c r="C48" s="179"/>
      <c r="D48" s="209"/>
      <c r="E48" s="212"/>
      <c r="F48" s="310"/>
      <c r="G48" s="192"/>
      <c r="H48" s="192"/>
    </row>
    <row r="49" spans="1:8" x14ac:dyDescent="0.25">
      <c r="A49" s="181"/>
      <c r="B49" s="181" t="s">
        <v>164</v>
      </c>
      <c r="C49" s="179" t="s">
        <v>237</v>
      </c>
      <c r="D49" s="209">
        <f>'Normalized Therms'!$P$18*'12ME Dec18 Bill Freq'!N36</f>
        <v>1129776.96</v>
      </c>
      <c r="E49" s="135">
        <v>5.5000000000000049E-3</v>
      </c>
      <c r="F49" s="310">
        <v>0</v>
      </c>
      <c r="G49" s="192" t="s">
        <v>355</v>
      </c>
      <c r="H49" s="192" t="s">
        <v>355</v>
      </c>
    </row>
    <row r="50" spans="1:8" x14ac:dyDescent="0.25">
      <c r="A50" s="181"/>
      <c r="B50" s="181" t="s">
        <v>165</v>
      </c>
      <c r="C50" s="179" t="s">
        <v>237</v>
      </c>
      <c r="D50" s="209">
        <f>'Normalized Therms'!$P$18*'12ME Dec18 Bill Freq'!N37</f>
        <v>4274079.34</v>
      </c>
      <c r="E50" s="135">
        <v>5.5000000000000049E-3</v>
      </c>
      <c r="F50" s="310">
        <v>0</v>
      </c>
      <c r="G50" s="192">
        <f t="shared" si="0"/>
        <v>23507.439999999999</v>
      </c>
      <c r="H50" s="192">
        <f t="shared" si="1"/>
        <v>-23507.436370000021</v>
      </c>
    </row>
    <row r="51" spans="1:8" x14ac:dyDescent="0.25">
      <c r="A51" s="181"/>
      <c r="B51" s="181" t="s">
        <v>166</v>
      </c>
      <c r="C51" s="179" t="s">
        <v>237</v>
      </c>
      <c r="D51" s="209">
        <f>'Normalized Therms'!$P$18*'12ME Dec18 Bill Freq'!N38</f>
        <v>15213158.120000001</v>
      </c>
      <c r="E51" s="135">
        <v>3.6300000000000082E-3</v>
      </c>
      <c r="F51" s="310">
        <v>0</v>
      </c>
      <c r="G51" s="192">
        <f t="shared" si="0"/>
        <v>55223.76</v>
      </c>
      <c r="H51" s="192">
        <f t="shared" si="1"/>
        <v>-55223.76397560013</v>
      </c>
    </row>
    <row r="52" spans="1:8" x14ac:dyDescent="0.25">
      <c r="A52" s="181"/>
      <c r="B52" s="182"/>
      <c r="C52" s="178"/>
      <c r="D52" s="209"/>
      <c r="E52" s="212"/>
      <c r="F52" s="310"/>
      <c r="G52" s="192"/>
      <c r="H52" s="192"/>
    </row>
    <row r="53" spans="1:8" x14ac:dyDescent="0.25">
      <c r="A53" s="147" t="s">
        <v>222</v>
      </c>
      <c r="B53" s="177"/>
      <c r="C53" s="178"/>
      <c r="D53" s="209"/>
      <c r="E53" s="212"/>
      <c r="F53" s="310"/>
      <c r="G53" s="192"/>
      <c r="H53" s="192"/>
    </row>
    <row r="54" spans="1:8" x14ac:dyDescent="0.25">
      <c r="A54" s="177"/>
      <c r="B54" s="178" t="s">
        <v>234</v>
      </c>
      <c r="C54" s="178" t="s">
        <v>235</v>
      </c>
      <c r="D54" s="209">
        <f>'12ME Dec18 Data'!N29</f>
        <v>329.5178182456545</v>
      </c>
      <c r="E54" s="194">
        <v>53.950000000000045</v>
      </c>
      <c r="F54" s="311">
        <v>0</v>
      </c>
      <c r="G54" s="192">
        <f t="shared" si="0"/>
        <v>17777.490000000002</v>
      </c>
      <c r="H54" s="192">
        <f t="shared" si="1"/>
        <v>-17777.486294353075</v>
      </c>
    </row>
    <row r="55" spans="1:8" x14ac:dyDescent="0.25">
      <c r="A55" s="177"/>
      <c r="B55" s="179" t="s">
        <v>78</v>
      </c>
      <c r="C55" s="179" t="s">
        <v>204</v>
      </c>
      <c r="D55" s="209">
        <f>'12ME Dec18 Data'!N11</f>
        <v>86412.906999999992</v>
      </c>
      <c r="E55" s="194">
        <v>0.12000000000000011</v>
      </c>
      <c r="F55" s="311">
        <v>0</v>
      </c>
      <c r="G55" s="192">
        <f t="shared" si="0"/>
        <v>10369.549999999999</v>
      </c>
      <c r="H55" s="192">
        <f t="shared" si="1"/>
        <v>-10369.548840000009</v>
      </c>
    </row>
    <row r="56" spans="1:8" x14ac:dyDescent="0.25">
      <c r="A56" s="177"/>
      <c r="B56" s="179" t="s">
        <v>87</v>
      </c>
      <c r="C56" s="179" t="s">
        <v>237</v>
      </c>
      <c r="D56" s="209">
        <f>'Normalized Therms'!P14</f>
        <v>15787998.554000001</v>
      </c>
      <c r="E56" s="135">
        <v>7.2999999999999975E-4</v>
      </c>
      <c r="F56" s="310">
        <v>0</v>
      </c>
      <c r="G56" s="192">
        <f t="shared" si="0"/>
        <v>11525.24</v>
      </c>
      <c r="H56" s="192">
        <f t="shared" si="1"/>
        <v>-11525.238944419996</v>
      </c>
    </row>
    <row r="57" spans="1:8" x14ac:dyDescent="0.25">
      <c r="A57" s="177"/>
      <c r="B57" s="179"/>
      <c r="C57" s="179"/>
      <c r="D57" s="209"/>
      <c r="E57" s="212"/>
      <c r="F57" s="310"/>
      <c r="G57" s="192"/>
      <c r="H57" s="192"/>
    </row>
    <row r="58" spans="1:8" x14ac:dyDescent="0.25">
      <c r="A58" s="177"/>
      <c r="B58" s="179" t="s">
        <v>79</v>
      </c>
      <c r="C58" s="179"/>
      <c r="D58" s="209"/>
      <c r="E58" s="212"/>
      <c r="F58" s="310"/>
      <c r="G58" s="192"/>
      <c r="H58" s="192"/>
    </row>
    <row r="59" spans="1:8" x14ac:dyDescent="0.25">
      <c r="A59" s="177"/>
      <c r="B59" s="179" t="s">
        <v>223</v>
      </c>
      <c r="C59" s="179" t="s">
        <v>237</v>
      </c>
      <c r="D59" s="209">
        <f>'Normalized Therms'!$P$14*'12ME Dec18 Bill Freq'!N13</f>
        <v>7617621.6730000013</v>
      </c>
      <c r="E59" s="135">
        <v>9.779999999999997E-3</v>
      </c>
      <c r="F59" s="310">
        <v>0</v>
      </c>
      <c r="G59" s="192">
        <f t="shared" si="0"/>
        <v>74500.34</v>
      </c>
      <c r="H59" s="192">
        <f t="shared" si="1"/>
        <v>-74500.339961939986</v>
      </c>
    </row>
    <row r="60" spans="1:8" x14ac:dyDescent="0.25">
      <c r="A60" s="177"/>
      <c r="B60" s="179" t="s">
        <v>224</v>
      </c>
      <c r="C60" s="179" t="s">
        <v>237</v>
      </c>
      <c r="D60" s="209">
        <f>'Normalized Therms'!$P$14*'12ME Dec18 Bill Freq'!N14</f>
        <v>4021281.8229999999</v>
      </c>
      <c r="E60" s="135">
        <v>4.8399999999999971E-3</v>
      </c>
      <c r="F60" s="310">
        <v>0</v>
      </c>
      <c r="G60" s="192">
        <f t="shared" si="0"/>
        <v>19463</v>
      </c>
      <c r="H60" s="192">
        <f t="shared" si="1"/>
        <v>-19463.004023319987</v>
      </c>
    </row>
    <row r="61" spans="1:8" x14ac:dyDescent="0.25">
      <c r="A61" s="177"/>
      <c r="B61" s="179" t="s">
        <v>225</v>
      </c>
      <c r="C61" s="179" t="s">
        <v>237</v>
      </c>
      <c r="D61" s="209">
        <f>'Normalized Therms'!$P$14*'12ME Dec18 Bill Freq'!N15</f>
        <v>4149095.0579999997</v>
      </c>
      <c r="E61" s="135">
        <v>4.6300000000000022E-3</v>
      </c>
      <c r="F61" s="310">
        <v>0</v>
      </c>
      <c r="G61" s="192">
        <f t="shared" si="0"/>
        <v>19210.310000000001</v>
      </c>
      <c r="H61" s="192">
        <f t="shared" si="1"/>
        <v>-19210.310118540008</v>
      </c>
    </row>
    <row r="62" spans="1:8" x14ac:dyDescent="0.25">
      <c r="A62" s="177"/>
      <c r="B62" s="178"/>
      <c r="C62" s="178"/>
      <c r="D62" s="209"/>
      <c r="E62" s="212"/>
      <c r="F62" s="310"/>
      <c r="G62" s="192"/>
      <c r="H62" s="192"/>
    </row>
    <row r="63" spans="1:8" x14ac:dyDescent="0.25">
      <c r="A63" s="147" t="s">
        <v>226</v>
      </c>
      <c r="B63" s="177"/>
      <c r="C63" s="178"/>
      <c r="D63" s="209"/>
      <c r="E63" s="212"/>
      <c r="F63" s="310"/>
      <c r="G63" s="192"/>
      <c r="H63" s="192"/>
    </row>
    <row r="64" spans="1:8" x14ac:dyDescent="0.25">
      <c r="A64" s="177"/>
      <c r="B64" s="178" t="s">
        <v>234</v>
      </c>
      <c r="C64" s="178" t="s">
        <v>235</v>
      </c>
      <c r="D64" s="209">
        <f>'12ME Dec18 Data'!N30</f>
        <v>1199.4001036779719</v>
      </c>
      <c r="E64" s="194">
        <v>37.190000000000055</v>
      </c>
      <c r="F64" s="311">
        <v>0</v>
      </c>
      <c r="G64" s="192">
        <f t="shared" si="0"/>
        <v>44605.69</v>
      </c>
      <c r="H64" s="192">
        <f t="shared" si="1"/>
        <v>-44605.689855783836</v>
      </c>
    </row>
    <row r="65" spans="1:8" x14ac:dyDescent="0.25">
      <c r="A65" s="177"/>
      <c r="B65" s="179" t="s">
        <v>78</v>
      </c>
      <c r="C65" s="179" t="s">
        <v>204</v>
      </c>
      <c r="D65" s="209">
        <f>'12ME Dec18 Data'!N12</f>
        <v>697056</v>
      </c>
      <c r="E65" s="194">
        <v>6.0000000000000053E-2</v>
      </c>
      <c r="F65" s="311">
        <v>0</v>
      </c>
      <c r="G65" s="192">
        <f t="shared" si="0"/>
        <v>41823.360000000001</v>
      </c>
      <c r="H65" s="192">
        <f t="shared" si="1"/>
        <v>-41823.360000000037</v>
      </c>
    </row>
    <row r="66" spans="1:8" x14ac:dyDescent="0.25">
      <c r="A66" s="177"/>
      <c r="B66" s="179"/>
      <c r="C66" s="179"/>
      <c r="D66" s="209"/>
      <c r="E66" s="212"/>
      <c r="F66" s="310"/>
      <c r="G66" s="192"/>
      <c r="H66" s="192"/>
    </row>
    <row r="67" spans="1:8" x14ac:dyDescent="0.25">
      <c r="A67" s="177"/>
      <c r="B67" s="179" t="s">
        <v>79</v>
      </c>
      <c r="C67" s="179"/>
      <c r="D67" s="209"/>
      <c r="E67" s="212"/>
      <c r="F67" s="310"/>
      <c r="G67" s="192"/>
      <c r="H67" s="192"/>
    </row>
    <row r="68" spans="1:8" x14ac:dyDescent="0.25">
      <c r="A68" s="177"/>
      <c r="B68" s="179" t="s">
        <v>223</v>
      </c>
      <c r="C68" s="179" t="s">
        <v>237</v>
      </c>
      <c r="D68" s="209">
        <f>'Normalized Therms'!$P$19*'12ME Dec18 Bill Freq'!N43</f>
        <v>28123063.68</v>
      </c>
      <c r="E68" s="135">
        <v>4.2099999999999915E-3</v>
      </c>
      <c r="F68" s="310">
        <v>0</v>
      </c>
      <c r="G68" s="192">
        <f t="shared" si="0"/>
        <v>118398.1</v>
      </c>
      <c r="H68" s="192">
        <f t="shared" si="1"/>
        <v>-118398.09809279976</v>
      </c>
    </row>
    <row r="69" spans="1:8" x14ac:dyDescent="0.25">
      <c r="A69" s="177"/>
      <c r="B69" s="179" t="s">
        <v>224</v>
      </c>
      <c r="C69" s="179" t="s">
        <v>237</v>
      </c>
      <c r="D69" s="209">
        <f>'Normalized Therms'!$P$19*'12ME Dec18 Bill Freq'!N44</f>
        <v>18732272.720000003</v>
      </c>
      <c r="E69" s="135">
        <v>2.0800000000000055E-3</v>
      </c>
      <c r="F69" s="310">
        <v>0</v>
      </c>
      <c r="G69" s="192">
        <f t="shared" si="0"/>
        <v>38963.129999999997</v>
      </c>
      <c r="H69" s="192">
        <f t="shared" si="1"/>
        <v>-38963.127257600107</v>
      </c>
    </row>
    <row r="70" spans="1:8" x14ac:dyDescent="0.25">
      <c r="A70" s="177"/>
      <c r="B70" s="179" t="s">
        <v>227</v>
      </c>
      <c r="C70" s="179" t="s">
        <v>237</v>
      </c>
      <c r="D70" s="209">
        <f>'Normalized Therms'!$P$19*'12ME Dec18 Bill Freq'!N45</f>
        <v>27976821.810000002</v>
      </c>
      <c r="E70" s="135">
        <v>1.9599999999999965E-3</v>
      </c>
      <c r="F70" s="310">
        <v>0</v>
      </c>
      <c r="G70" s="192">
        <f t="shared" si="0"/>
        <v>54834.57</v>
      </c>
      <c r="H70" s="192">
        <f t="shared" si="1"/>
        <v>-54834.570747599908</v>
      </c>
    </row>
    <row r="71" spans="1:8" x14ac:dyDescent="0.25">
      <c r="A71" s="177"/>
      <c r="B71" s="178"/>
      <c r="C71" s="178"/>
      <c r="D71" s="209"/>
      <c r="E71" s="212"/>
      <c r="F71" s="310"/>
      <c r="G71" s="192"/>
      <c r="H71" s="192"/>
    </row>
    <row r="72" spans="1:8" x14ac:dyDescent="0.25">
      <c r="A72" s="147" t="s">
        <v>228</v>
      </c>
      <c r="B72" s="177"/>
      <c r="C72" s="178"/>
      <c r="D72" s="209"/>
      <c r="E72" s="212"/>
      <c r="F72" s="310"/>
      <c r="G72" s="192"/>
      <c r="H72" s="192"/>
    </row>
    <row r="73" spans="1:8" x14ac:dyDescent="0.25">
      <c r="A73" s="177"/>
      <c r="B73" s="178" t="s">
        <v>234</v>
      </c>
      <c r="C73" s="178" t="s">
        <v>235</v>
      </c>
      <c r="D73" s="209">
        <f>'12ME Dec18 Data'!N31</f>
        <v>2661.5565121011946</v>
      </c>
      <c r="E73" s="194">
        <v>11.379999999999995</v>
      </c>
      <c r="F73" s="311">
        <v>0</v>
      </c>
      <c r="G73" s="192">
        <f t="shared" si="0"/>
        <v>30288.51</v>
      </c>
      <c r="H73" s="192">
        <f t="shared" si="1"/>
        <v>-30288.513107711584</v>
      </c>
    </row>
    <row r="74" spans="1:8" x14ac:dyDescent="0.25">
      <c r="A74" s="177"/>
      <c r="B74" s="179" t="s">
        <v>78</v>
      </c>
      <c r="C74" s="179" t="s">
        <v>204</v>
      </c>
      <c r="D74" s="209">
        <f>'12ME Dec18 Data'!N13</f>
        <v>82401.308999999994</v>
      </c>
      <c r="E74" s="194">
        <v>0.10000000000000009</v>
      </c>
      <c r="F74" s="311">
        <v>0</v>
      </c>
      <c r="G74" s="192">
        <f t="shared" ref="G74:G137" si="5">ROUND(E74*D74,2)</f>
        <v>8240.1299999999992</v>
      </c>
      <c r="H74" s="192">
        <f t="shared" ref="H74:H137" si="6">(F74-E74)*D74</f>
        <v>-8240.1309000000074</v>
      </c>
    </row>
    <row r="75" spans="1:8" x14ac:dyDescent="0.25">
      <c r="A75" s="177"/>
      <c r="B75" s="179" t="s">
        <v>87</v>
      </c>
      <c r="C75" s="179" t="s">
        <v>237</v>
      </c>
      <c r="D75" s="209">
        <f>'Normalized Therms'!P15</f>
        <v>8752636.7929999996</v>
      </c>
      <c r="E75" s="135">
        <v>7.5000000000000067E-4</v>
      </c>
      <c r="F75" s="310">
        <v>0</v>
      </c>
      <c r="G75" s="192">
        <f t="shared" si="5"/>
        <v>6564.48</v>
      </c>
      <c r="H75" s="192">
        <f t="shared" si="6"/>
        <v>-6564.4775947500057</v>
      </c>
    </row>
    <row r="76" spans="1:8" x14ac:dyDescent="0.25">
      <c r="A76" s="177"/>
      <c r="B76" s="179"/>
      <c r="C76" s="179"/>
      <c r="D76" s="209"/>
      <c r="E76" s="212"/>
      <c r="F76" s="310"/>
      <c r="G76" s="192"/>
      <c r="H76" s="192"/>
    </row>
    <row r="77" spans="1:8" x14ac:dyDescent="0.25">
      <c r="A77" s="177"/>
      <c r="B77" s="179" t="s">
        <v>79</v>
      </c>
      <c r="C77" s="179"/>
      <c r="D77" s="209"/>
      <c r="E77" s="212"/>
      <c r="F77" s="310"/>
      <c r="G77" s="192"/>
      <c r="H77" s="192"/>
    </row>
    <row r="78" spans="1:8" x14ac:dyDescent="0.25">
      <c r="A78" s="177"/>
      <c r="B78" s="181" t="s">
        <v>94</v>
      </c>
      <c r="C78" s="181" t="s">
        <v>237</v>
      </c>
      <c r="D78" s="209">
        <f>'Normalized Therms'!$P$15*'12ME Dec18 Bill Freq'!N20</f>
        <v>2054251.2669999995</v>
      </c>
      <c r="E78" s="135">
        <v>1.5740000000000004E-2</v>
      </c>
      <c r="F78" s="310">
        <v>0</v>
      </c>
      <c r="G78" s="192">
        <f t="shared" si="5"/>
        <v>32333.91</v>
      </c>
      <c r="H78" s="192">
        <f t="shared" si="6"/>
        <v>-32333.914942580002</v>
      </c>
    </row>
    <row r="79" spans="1:8" x14ac:dyDescent="0.25">
      <c r="A79" s="177"/>
      <c r="B79" s="181" t="s">
        <v>172</v>
      </c>
      <c r="C79" s="181" t="s">
        <v>237</v>
      </c>
      <c r="D79" s="209">
        <f>'Normalized Therms'!$P$15*'12ME Dec18 Bill Freq'!N21</f>
        <v>6698385.5259999987</v>
      </c>
      <c r="E79" s="135">
        <v>1.1160000000000003E-2</v>
      </c>
      <c r="F79" s="310">
        <v>0</v>
      </c>
      <c r="G79" s="192">
        <f t="shared" si="5"/>
        <v>74753.98</v>
      </c>
      <c r="H79" s="192">
        <f t="shared" si="6"/>
        <v>-74753.982470160001</v>
      </c>
    </row>
    <row r="80" spans="1:8" x14ac:dyDescent="0.25">
      <c r="A80" s="177"/>
      <c r="B80" s="178"/>
      <c r="C80" s="178"/>
      <c r="D80" s="209"/>
      <c r="E80" s="212"/>
      <c r="F80" s="310"/>
      <c r="G80" s="192"/>
      <c r="H80" s="192"/>
    </row>
    <row r="81" spans="1:8" x14ac:dyDescent="0.25">
      <c r="A81" s="147" t="s">
        <v>229</v>
      </c>
      <c r="B81" s="177"/>
      <c r="C81" s="178"/>
      <c r="D81" s="209"/>
      <c r="E81" s="212"/>
      <c r="F81" s="310"/>
      <c r="G81" s="192"/>
      <c r="H81" s="192"/>
    </row>
    <row r="82" spans="1:8" x14ac:dyDescent="0.25">
      <c r="A82" s="179"/>
      <c r="B82" s="178" t="s">
        <v>234</v>
      </c>
      <c r="C82" s="178" t="s">
        <v>235</v>
      </c>
      <c r="D82" s="209">
        <f>'12ME Dec18 Data'!N32</f>
        <v>22.033330326537975</v>
      </c>
      <c r="E82" s="194">
        <v>21.019999999999982</v>
      </c>
      <c r="F82" s="311">
        <v>0</v>
      </c>
      <c r="G82" s="192">
        <f t="shared" si="5"/>
        <v>463.14</v>
      </c>
      <c r="H82" s="192">
        <f t="shared" si="6"/>
        <v>-463.1406034638278</v>
      </c>
    </row>
    <row r="83" spans="1:8" x14ac:dyDescent="0.25">
      <c r="A83" s="179"/>
      <c r="B83" s="179" t="s">
        <v>78</v>
      </c>
      <c r="C83" s="179" t="s">
        <v>204</v>
      </c>
      <c r="D83" s="209">
        <f>'12ME Dec18 Data'!N14</f>
        <v>9750</v>
      </c>
      <c r="E83" s="194">
        <v>6.0000000000000053E-2</v>
      </c>
      <c r="F83" s="311">
        <v>0</v>
      </c>
      <c r="G83" s="192">
        <f t="shared" si="5"/>
        <v>585</v>
      </c>
      <c r="H83" s="192">
        <f t="shared" si="6"/>
        <v>-585.00000000000057</v>
      </c>
    </row>
    <row r="84" spans="1:8" x14ac:dyDescent="0.25">
      <c r="A84" s="179"/>
      <c r="B84" s="179" t="s">
        <v>240</v>
      </c>
      <c r="C84" s="179"/>
      <c r="D84" s="209"/>
      <c r="E84" s="212"/>
      <c r="F84" s="310"/>
      <c r="G84" s="192"/>
      <c r="H84" s="192"/>
    </row>
    <row r="85" spans="1:8" x14ac:dyDescent="0.25">
      <c r="A85" s="179"/>
      <c r="B85" s="179"/>
      <c r="C85" s="179"/>
      <c r="D85" s="209"/>
      <c r="E85" s="212"/>
      <c r="F85" s="310"/>
      <c r="G85" s="192"/>
      <c r="H85" s="192"/>
    </row>
    <row r="86" spans="1:8" x14ac:dyDescent="0.25">
      <c r="A86" s="179"/>
      <c r="B86" s="179" t="s">
        <v>79</v>
      </c>
      <c r="C86" s="179"/>
      <c r="D86" s="209"/>
      <c r="E86" s="212"/>
      <c r="F86" s="310"/>
      <c r="G86" s="192"/>
      <c r="H86" s="192"/>
    </row>
    <row r="87" spans="1:8" x14ac:dyDescent="0.25">
      <c r="A87" s="179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9.1400000000000092E-3</v>
      </c>
      <c r="F87" s="310">
        <v>0</v>
      </c>
      <c r="G87" s="192">
        <f t="shared" si="5"/>
        <v>210.33</v>
      </c>
      <c r="H87" s="192">
        <f t="shared" si="6"/>
        <v>-210.32730360000022</v>
      </c>
    </row>
    <row r="88" spans="1:8" x14ac:dyDescent="0.25">
      <c r="A88" s="179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6.4700000000000035E-3</v>
      </c>
      <c r="F88" s="310">
        <v>0</v>
      </c>
      <c r="G88" s="192">
        <f t="shared" si="5"/>
        <v>2123.9499999999998</v>
      </c>
      <c r="H88" s="192">
        <f t="shared" si="6"/>
        <v>-2123.9483727000011</v>
      </c>
    </row>
    <row r="89" spans="1:8" x14ac:dyDescent="0.25">
      <c r="A89" s="179"/>
      <c r="B89" s="178"/>
      <c r="C89" s="178"/>
      <c r="D89" s="209"/>
      <c r="E89" s="212"/>
      <c r="F89" s="310"/>
      <c r="G89" s="192"/>
      <c r="H89" s="192"/>
    </row>
    <row r="90" spans="1:8" x14ac:dyDescent="0.25">
      <c r="A90" s="147" t="s">
        <v>230</v>
      </c>
      <c r="B90" s="177"/>
      <c r="C90" s="178"/>
      <c r="D90" s="209"/>
      <c r="E90" s="212"/>
      <c r="F90" s="310"/>
      <c r="G90" s="192"/>
      <c r="H90" s="192"/>
    </row>
    <row r="91" spans="1:8" x14ac:dyDescent="0.25">
      <c r="A91" s="177"/>
      <c r="B91" s="178" t="s">
        <v>234</v>
      </c>
      <c r="C91" s="178" t="s">
        <v>235</v>
      </c>
      <c r="D91" s="209">
        <f>'12ME Dec18 Data'!N33</f>
        <v>60.025001175986063</v>
      </c>
      <c r="E91" s="194">
        <v>57.090000000000032</v>
      </c>
      <c r="F91" s="311">
        <v>0</v>
      </c>
      <c r="G91" s="192">
        <f t="shared" si="5"/>
        <v>3426.83</v>
      </c>
      <c r="H91" s="192">
        <f t="shared" si="6"/>
        <v>-3426.8273171370461</v>
      </c>
    </row>
    <row r="92" spans="1:8" x14ac:dyDescent="0.25">
      <c r="A92" s="177"/>
      <c r="B92" s="179" t="s">
        <v>78</v>
      </c>
      <c r="C92" s="179" t="s">
        <v>204</v>
      </c>
      <c r="D92" s="209">
        <f>'12ME Dec18 Data'!N15</f>
        <v>0</v>
      </c>
      <c r="E92" s="194">
        <v>0.1399999999999999</v>
      </c>
      <c r="F92" s="311">
        <v>0</v>
      </c>
      <c r="G92" s="192">
        <f t="shared" si="5"/>
        <v>0</v>
      </c>
      <c r="H92" s="192">
        <f t="shared" si="6"/>
        <v>0</v>
      </c>
    </row>
    <row r="93" spans="1:8" x14ac:dyDescent="0.25">
      <c r="A93" s="177"/>
      <c r="B93" s="179" t="s">
        <v>87</v>
      </c>
      <c r="C93" s="179"/>
      <c r="D93" s="209">
        <f>'Normalized Therms'!P16</f>
        <v>22881723.659000002</v>
      </c>
      <c r="E93" s="135">
        <v>6.0999999999999943E-4</v>
      </c>
      <c r="F93" s="310">
        <v>0</v>
      </c>
      <c r="G93" s="192">
        <f t="shared" si="5"/>
        <v>13957.85</v>
      </c>
      <c r="H93" s="192">
        <f t="shared" si="6"/>
        <v>-13957.851431989988</v>
      </c>
    </row>
    <row r="94" spans="1:8" x14ac:dyDescent="0.25">
      <c r="A94" s="177"/>
      <c r="B94" s="179"/>
      <c r="C94" s="179"/>
      <c r="D94" s="209"/>
      <c r="E94" s="212"/>
      <c r="F94" s="310"/>
      <c r="G94" s="192"/>
      <c r="H94" s="192"/>
    </row>
    <row r="95" spans="1:8" x14ac:dyDescent="0.25">
      <c r="A95" s="177"/>
      <c r="B95" s="179" t="s">
        <v>79</v>
      </c>
      <c r="C95" s="179"/>
      <c r="D95" s="209"/>
      <c r="E95" s="212"/>
      <c r="F95" s="310"/>
      <c r="G95" s="192"/>
      <c r="H95" s="192"/>
    </row>
    <row r="96" spans="1:8" x14ac:dyDescent="0.25">
      <c r="A96" s="177"/>
      <c r="B96" s="179" t="s">
        <v>223</v>
      </c>
      <c r="C96" s="179" t="s">
        <v>237</v>
      </c>
      <c r="D96" s="209">
        <f>'Normalized Therms'!$P$16*'12ME Dec18 Bill Freq'!N26</f>
        <v>1500625.1840000001</v>
      </c>
      <c r="E96" s="135">
        <v>1.4240000000000003E-2</v>
      </c>
      <c r="F96" s="310">
        <v>0</v>
      </c>
      <c r="G96" s="192">
        <f t="shared" si="5"/>
        <v>21368.9</v>
      </c>
      <c r="H96" s="192">
        <f t="shared" si="6"/>
        <v>-21368.902620160006</v>
      </c>
    </row>
    <row r="97" spans="1:8" x14ac:dyDescent="0.25">
      <c r="A97" s="177"/>
      <c r="B97" s="179" t="s">
        <v>224</v>
      </c>
      <c r="C97" s="179" t="s">
        <v>237</v>
      </c>
      <c r="D97" s="209">
        <f>'Normalized Therms'!$P$16*'12ME Dec18 Bill Freq'!N27</f>
        <v>1470839.4029999999</v>
      </c>
      <c r="E97" s="135">
        <v>8.6099999999999927E-3</v>
      </c>
      <c r="F97" s="310">
        <v>0</v>
      </c>
      <c r="G97" s="192">
        <f t="shared" si="5"/>
        <v>12663.93</v>
      </c>
      <c r="H97" s="192">
        <f t="shared" si="6"/>
        <v>-12663.927259829989</v>
      </c>
    </row>
    <row r="98" spans="1:8" x14ac:dyDescent="0.25">
      <c r="A98" s="177"/>
      <c r="B98" s="179" t="s">
        <v>227</v>
      </c>
      <c r="C98" s="179" t="s">
        <v>237</v>
      </c>
      <c r="D98" s="209">
        <f>'Normalized Therms'!$P$16*'12ME Dec18 Bill Freq'!N28</f>
        <v>2603460.2510000002</v>
      </c>
      <c r="E98" s="135">
        <v>5.4799999999999988E-3</v>
      </c>
      <c r="F98" s="310">
        <v>0</v>
      </c>
      <c r="G98" s="192">
        <f t="shared" si="5"/>
        <v>14266.96</v>
      </c>
      <c r="H98" s="192">
        <f t="shared" si="6"/>
        <v>-14266.962175479997</v>
      </c>
    </row>
    <row r="99" spans="1:8" x14ac:dyDescent="0.25">
      <c r="A99" s="177"/>
      <c r="B99" s="179" t="s">
        <v>100</v>
      </c>
      <c r="C99" s="179" t="s">
        <v>237</v>
      </c>
      <c r="D99" s="209">
        <f>'Normalized Therms'!$P$16*'12ME Dec18 Bill Freq'!N29</f>
        <v>3197116.5289999996</v>
      </c>
      <c r="E99" s="135">
        <v>3.5099999999999992E-3</v>
      </c>
      <c r="F99" s="310">
        <v>0</v>
      </c>
      <c r="G99" s="192">
        <f t="shared" si="5"/>
        <v>11221.88</v>
      </c>
      <c r="H99" s="192">
        <f t="shared" si="6"/>
        <v>-11221.879016789997</v>
      </c>
    </row>
    <row r="100" spans="1:8" x14ac:dyDescent="0.25">
      <c r="A100" s="177"/>
      <c r="B100" s="179" t="s">
        <v>101</v>
      </c>
      <c r="C100" s="179" t="s">
        <v>237</v>
      </c>
      <c r="D100" s="209">
        <f>'Normalized Therms'!$P$16*'12ME Dec18 Bill Freq'!N30</f>
        <v>3739136.7420000001</v>
      </c>
      <c r="E100" s="135">
        <v>2.5199999999999979E-3</v>
      </c>
      <c r="F100" s="310">
        <v>0</v>
      </c>
      <c r="G100" s="192">
        <f t="shared" si="5"/>
        <v>9422.6200000000008</v>
      </c>
      <c r="H100" s="192">
        <f t="shared" si="6"/>
        <v>-9422.624589839992</v>
      </c>
    </row>
    <row r="101" spans="1:8" x14ac:dyDescent="0.25">
      <c r="A101" s="177"/>
      <c r="B101" s="179" t="s">
        <v>174</v>
      </c>
      <c r="C101" s="179" t="s">
        <v>237</v>
      </c>
      <c r="D101" s="209">
        <f>'Normalized Therms'!$P$16*'12ME Dec18 Bill Freq'!N31</f>
        <v>10370545.550000001</v>
      </c>
      <c r="E101" s="135">
        <v>1.9500000000000003E-3</v>
      </c>
      <c r="F101" s="310">
        <v>0</v>
      </c>
      <c r="G101" s="192">
        <f t="shared" si="5"/>
        <v>20222.560000000001</v>
      </c>
      <c r="H101" s="192">
        <f t="shared" si="6"/>
        <v>-20222.563822500004</v>
      </c>
    </row>
    <row r="102" spans="1:8" x14ac:dyDescent="0.25">
      <c r="A102" s="177"/>
      <c r="B102" s="178"/>
      <c r="C102" s="178"/>
      <c r="D102" s="209"/>
      <c r="E102" s="212"/>
      <c r="F102" s="310"/>
      <c r="G102" s="192"/>
      <c r="H102" s="192"/>
    </row>
    <row r="103" spans="1:8" x14ac:dyDescent="0.25">
      <c r="A103" s="147" t="s">
        <v>231</v>
      </c>
      <c r="B103" s="177"/>
      <c r="C103" s="178"/>
      <c r="D103" s="209"/>
      <c r="E103" s="212"/>
      <c r="F103" s="310"/>
      <c r="G103" s="192"/>
      <c r="H103" s="192"/>
    </row>
    <row r="104" spans="1:8" x14ac:dyDescent="0.25">
      <c r="A104" s="179"/>
      <c r="B104" s="178" t="s">
        <v>234</v>
      </c>
      <c r="C104" s="178" t="s">
        <v>235</v>
      </c>
      <c r="D104" s="209">
        <f>'12ME Dec18 Data'!N34</f>
        <v>118.76667017913593</v>
      </c>
      <c r="E104" s="194">
        <v>38.629999999999995</v>
      </c>
      <c r="F104" s="311">
        <v>0</v>
      </c>
      <c r="G104" s="192">
        <f t="shared" si="5"/>
        <v>4587.96</v>
      </c>
      <c r="H104" s="192">
        <f t="shared" si="6"/>
        <v>-4587.9564690200204</v>
      </c>
    </row>
    <row r="105" spans="1:8" x14ac:dyDescent="0.25">
      <c r="A105" s="179"/>
      <c r="B105" s="179" t="s">
        <v>78</v>
      </c>
      <c r="C105" s="179" t="s">
        <v>204</v>
      </c>
      <c r="D105" s="209">
        <f>'12ME Dec18 Data'!N16</f>
        <v>308558</v>
      </c>
      <c r="E105" s="194">
        <v>5.9999999999999831E-2</v>
      </c>
      <c r="F105" s="311">
        <v>0</v>
      </c>
      <c r="G105" s="192">
        <f t="shared" si="5"/>
        <v>18513.48</v>
      </c>
      <c r="H105" s="192">
        <f t="shared" si="6"/>
        <v>-18513.479999999949</v>
      </c>
    </row>
    <row r="106" spans="1:8" x14ac:dyDescent="0.25">
      <c r="A106" s="179"/>
      <c r="B106" s="179" t="s">
        <v>240</v>
      </c>
      <c r="C106" s="179"/>
      <c r="D106" s="209"/>
      <c r="E106" s="212"/>
      <c r="F106" s="310"/>
      <c r="G106" s="192"/>
      <c r="H106" s="192"/>
    </row>
    <row r="107" spans="1:8" x14ac:dyDescent="0.25">
      <c r="A107" s="179"/>
      <c r="B107" s="181"/>
      <c r="C107" s="179"/>
      <c r="D107" s="209"/>
      <c r="E107" s="212"/>
      <c r="F107" s="310"/>
      <c r="G107" s="192"/>
      <c r="H107" s="192"/>
    </row>
    <row r="108" spans="1:8" x14ac:dyDescent="0.25">
      <c r="A108" s="179"/>
      <c r="B108" s="179" t="s">
        <v>79</v>
      </c>
      <c r="C108" s="179"/>
      <c r="D108" s="209"/>
      <c r="E108" s="212"/>
      <c r="F108" s="310"/>
      <c r="G108" s="192"/>
      <c r="H108" s="192"/>
    </row>
    <row r="109" spans="1:8" x14ac:dyDescent="0.25">
      <c r="A109" s="179"/>
      <c r="B109" s="179" t="s">
        <v>223</v>
      </c>
      <c r="C109" s="179" t="s">
        <v>237</v>
      </c>
      <c r="D109" s="209">
        <f>'Normalized Therms'!$P$21*'12ME Dec18 Bill Freq'!N56</f>
        <v>2999999.9999999995</v>
      </c>
      <c r="E109" s="135">
        <v>6.0199999999999976E-3</v>
      </c>
      <c r="F109" s="310">
        <v>0</v>
      </c>
      <c r="G109" s="192">
        <f t="shared" si="5"/>
        <v>18060</v>
      </c>
      <c r="H109" s="192">
        <f t="shared" si="6"/>
        <v>-18059.999999999989</v>
      </c>
    </row>
    <row r="110" spans="1:8" x14ac:dyDescent="0.25">
      <c r="A110" s="179"/>
      <c r="B110" s="179" t="s">
        <v>224</v>
      </c>
      <c r="C110" s="179" t="s">
        <v>237</v>
      </c>
      <c r="D110" s="209">
        <f>'Normalized Therms'!$P$21*'12ME Dec18 Bill Freq'!N57</f>
        <v>2999999.9999999995</v>
      </c>
      <c r="E110" s="135">
        <v>3.6400000000000043E-3</v>
      </c>
      <c r="F110" s="310">
        <v>0</v>
      </c>
      <c r="G110" s="192">
        <f t="shared" si="5"/>
        <v>10920</v>
      </c>
      <c r="H110" s="192">
        <f t="shared" si="6"/>
        <v>-10920.000000000011</v>
      </c>
    </row>
    <row r="111" spans="1:8" x14ac:dyDescent="0.25">
      <c r="A111" s="179"/>
      <c r="B111" s="179" t="s">
        <v>227</v>
      </c>
      <c r="C111" s="179" t="s">
        <v>237</v>
      </c>
      <c r="D111" s="209">
        <f>'Normalized Therms'!$P$21*'12ME Dec18 Bill Freq'!N58</f>
        <v>5983755.4799999986</v>
      </c>
      <c r="E111" s="135">
        <v>2.3199999999999957E-3</v>
      </c>
      <c r="F111" s="310">
        <v>0</v>
      </c>
      <c r="G111" s="192">
        <f t="shared" si="5"/>
        <v>13882.31</v>
      </c>
      <c r="H111" s="192">
        <f t="shared" si="6"/>
        <v>-13882.312713599971</v>
      </c>
    </row>
    <row r="112" spans="1:8" x14ac:dyDescent="0.25">
      <c r="A112" s="179"/>
      <c r="B112" s="179" t="s">
        <v>100</v>
      </c>
      <c r="C112" s="179" t="s">
        <v>237</v>
      </c>
      <c r="D112" s="209">
        <f>'Normalized Therms'!$P$21*'12ME Dec18 Bill Freq'!N59</f>
        <v>11737512.85</v>
      </c>
      <c r="E112" s="135">
        <v>1.4899999999999983E-3</v>
      </c>
      <c r="F112" s="310">
        <v>0</v>
      </c>
      <c r="G112" s="192">
        <f t="shared" si="5"/>
        <v>17488.89</v>
      </c>
      <c r="H112" s="192">
        <f t="shared" si="6"/>
        <v>-17488.894146499981</v>
      </c>
    </row>
    <row r="113" spans="1:8" x14ac:dyDescent="0.25">
      <c r="A113" s="179"/>
      <c r="B113" s="179" t="s">
        <v>101</v>
      </c>
      <c r="C113" s="179" t="s">
        <v>237</v>
      </c>
      <c r="D113" s="209">
        <f>'Normalized Therms'!$P$21*'12ME Dec18 Bill Freq'!N60</f>
        <v>26253607.009999998</v>
      </c>
      <c r="E113" s="135">
        <v>1.069999999999998E-3</v>
      </c>
      <c r="F113" s="310">
        <v>0</v>
      </c>
      <c r="G113" s="192">
        <f t="shared" si="5"/>
        <v>28091.360000000001</v>
      </c>
      <c r="H113" s="192">
        <f t="shared" si="6"/>
        <v>-28091.359500699946</v>
      </c>
    </row>
    <row r="114" spans="1:8" x14ac:dyDescent="0.25">
      <c r="A114" s="179"/>
      <c r="B114" s="179" t="s">
        <v>174</v>
      </c>
      <c r="C114" s="179" t="s">
        <v>237</v>
      </c>
      <c r="D114" s="209">
        <f>'Normalized Therms'!$P$21*'12ME Dec18 Bill Freq'!N61</f>
        <v>50252432.389999993</v>
      </c>
      <c r="E114" s="135">
        <v>8.2000000000000128E-4</v>
      </c>
      <c r="F114" s="310">
        <v>0</v>
      </c>
      <c r="G114" s="192">
        <f t="shared" si="5"/>
        <v>41206.99</v>
      </c>
      <c r="H114" s="192">
        <f t="shared" si="6"/>
        <v>-41206.994559800056</v>
      </c>
    </row>
    <row r="115" spans="1:8" x14ac:dyDescent="0.25">
      <c r="A115" s="179"/>
      <c r="B115" s="179"/>
      <c r="C115" s="178"/>
      <c r="D115" s="209"/>
      <c r="E115" s="212"/>
      <c r="F115" s="310"/>
      <c r="G115" s="192"/>
      <c r="H115" s="192"/>
    </row>
    <row r="116" spans="1:8" x14ac:dyDescent="0.25">
      <c r="A116" s="147" t="s">
        <v>120</v>
      </c>
      <c r="B116" s="173"/>
      <c r="C116" s="173"/>
      <c r="D116" s="209"/>
      <c r="E116" s="212"/>
      <c r="F116" s="310"/>
      <c r="G116" s="192"/>
      <c r="H116" s="192"/>
    </row>
    <row r="117" spans="1:8" x14ac:dyDescent="0.25">
      <c r="B117" s="149" t="s">
        <v>121</v>
      </c>
      <c r="C117" s="149" t="s">
        <v>122</v>
      </c>
      <c r="D117" s="209">
        <f>'12ME Dec18 Rentals'!O5</f>
        <v>12263</v>
      </c>
      <c r="E117" s="194">
        <v>0.3100000000000005</v>
      </c>
      <c r="F117" s="311">
        <v>0</v>
      </c>
      <c r="G117" s="192">
        <f t="shared" si="5"/>
        <v>3801.53</v>
      </c>
      <c r="H117" s="192">
        <f t="shared" si="6"/>
        <v>-3801.5300000000061</v>
      </c>
    </row>
    <row r="118" spans="1:8" x14ac:dyDescent="0.25">
      <c r="B118" s="149" t="s">
        <v>123</v>
      </c>
      <c r="C118" s="149" t="s">
        <v>124</v>
      </c>
      <c r="D118" s="209">
        <f>'12ME Dec18 Rentals'!O6</f>
        <v>190792</v>
      </c>
      <c r="E118" s="194">
        <v>0.51999999999999957</v>
      </c>
      <c r="F118" s="311">
        <v>0</v>
      </c>
      <c r="G118" s="192">
        <f t="shared" si="5"/>
        <v>99211.839999999997</v>
      </c>
      <c r="H118" s="192">
        <f t="shared" si="6"/>
        <v>-99211.839999999924</v>
      </c>
    </row>
    <row r="119" spans="1:8" x14ac:dyDescent="0.25">
      <c r="B119" s="149" t="s">
        <v>125</v>
      </c>
      <c r="C119" s="149" t="s">
        <v>126</v>
      </c>
      <c r="D119" s="209">
        <f>'12ME Dec18 Rentals'!O7</f>
        <v>36011</v>
      </c>
      <c r="E119" s="194">
        <v>0.72999999999999687</v>
      </c>
      <c r="F119" s="311">
        <v>0</v>
      </c>
      <c r="G119" s="192">
        <f t="shared" si="5"/>
        <v>26288.03</v>
      </c>
      <c r="H119" s="192">
        <f t="shared" si="6"/>
        <v>-26288.029999999886</v>
      </c>
    </row>
    <row r="120" spans="1:8" x14ac:dyDescent="0.25">
      <c r="B120" s="149" t="s">
        <v>127</v>
      </c>
      <c r="C120" s="149" t="s">
        <v>128</v>
      </c>
      <c r="D120" s="209">
        <f>'12ME Dec18 Rentals'!O8</f>
        <v>7959</v>
      </c>
      <c r="E120" s="194">
        <v>0.71999999999999886</v>
      </c>
      <c r="F120" s="311">
        <v>0</v>
      </c>
      <c r="G120" s="192">
        <f t="shared" si="5"/>
        <v>5730.48</v>
      </c>
      <c r="H120" s="192">
        <f t="shared" si="6"/>
        <v>-5730.4799999999914</v>
      </c>
    </row>
    <row r="121" spans="1:8" x14ac:dyDescent="0.25">
      <c r="B121" s="149" t="s">
        <v>129</v>
      </c>
      <c r="C121" s="149" t="s">
        <v>130</v>
      </c>
      <c r="D121" s="209">
        <f>'12ME Dec18 Rentals'!O9</f>
        <v>40377</v>
      </c>
      <c r="E121" s="194">
        <v>0.25</v>
      </c>
      <c r="F121" s="311">
        <v>0</v>
      </c>
      <c r="G121" s="192">
        <f t="shared" si="5"/>
        <v>10094.25</v>
      </c>
      <c r="H121" s="192">
        <f t="shared" si="6"/>
        <v>-10094.25</v>
      </c>
    </row>
    <row r="122" spans="1:8" x14ac:dyDescent="0.25">
      <c r="B122" s="149" t="s">
        <v>131</v>
      </c>
      <c r="C122" s="149" t="s">
        <v>132</v>
      </c>
      <c r="D122" s="209">
        <f>'12ME Dec18 Rentals'!O10</f>
        <v>2345</v>
      </c>
      <c r="E122" s="194">
        <v>0.45000000000000107</v>
      </c>
      <c r="F122" s="311">
        <v>0</v>
      </c>
      <c r="G122" s="192">
        <f t="shared" si="5"/>
        <v>1055.25</v>
      </c>
      <c r="H122" s="192">
        <f t="shared" si="6"/>
        <v>-1055.2500000000025</v>
      </c>
    </row>
    <row r="123" spans="1:8" x14ac:dyDescent="0.25">
      <c r="B123" s="149"/>
      <c r="C123" s="173"/>
      <c r="D123" s="209"/>
      <c r="E123" s="212"/>
      <c r="F123" s="311"/>
      <c r="G123" s="192"/>
      <c r="H123" s="192"/>
    </row>
    <row r="124" spans="1:8" x14ac:dyDescent="0.25">
      <c r="A124" s="147" t="s">
        <v>134</v>
      </c>
      <c r="B124" s="149"/>
      <c r="C124" s="173"/>
      <c r="D124" s="209"/>
      <c r="E124" s="212"/>
      <c r="F124" s="311"/>
      <c r="G124" s="192"/>
      <c r="H124" s="192"/>
    </row>
    <row r="125" spans="1:8" x14ac:dyDescent="0.25">
      <c r="B125" s="149" t="s">
        <v>135</v>
      </c>
      <c r="C125" s="149" t="s">
        <v>136</v>
      </c>
      <c r="D125" s="209">
        <f>'12ME Dec18 Rentals'!O14</f>
        <v>1384</v>
      </c>
      <c r="E125" s="194">
        <v>0.63000000000000078</v>
      </c>
      <c r="F125" s="311">
        <v>0</v>
      </c>
      <c r="G125" s="192">
        <f t="shared" si="5"/>
        <v>871.92</v>
      </c>
      <c r="H125" s="192">
        <f t="shared" si="6"/>
        <v>-871.9200000000011</v>
      </c>
    </row>
    <row r="126" spans="1:8" x14ac:dyDescent="0.25">
      <c r="B126" s="149" t="s">
        <v>137</v>
      </c>
      <c r="C126" s="149" t="s">
        <v>138</v>
      </c>
      <c r="D126" s="209">
        <f>'12ME Dec18 Rentals'!O15</f>
        <v>1036</v>
      </c>
      <c r="E126" s="194">
        <v>0.84000000000000341</v>
      </c>
      <c r="F126" s="311">
        <v>0</v>
      </c>
      <c r="G126" s="192">
        <f t="shared" si="5"/>
        <v>870.24</v>
      </c>
      <c r="H126" s="192">
        <f t="shared" si="6"/>
        <v>-870.24000000000353</v>
      </c>
    </row>
    <row r="127" spans="1:8" x14ac:dyDescent="0.25">
      <c r="B127" s="149" t="s">
        <v>139</v>
      </c>
      <c r="C127" s="149" t="s">
        <v>140</v>
      </c>
      <c r="D127" s="209">
        <f>'12ME Dec18 Rentals'!O16</f>
        <v>2711</v>
      </c>
      <c r="E127" s="194">
        <v>0.84000000000000341</v>
      </c>
      <c r="F127" s="311">
        <v>0</v>
      </c>
      <c r="G127" s="192">
        <f t="shared" si="5"/>
        <v>2277.2399999999998</v>
      </c>
      <c r="H127" s="192">
        <f t="shared" si="6"/>
        <v>-2277.2400000000093</v>
      </c>
    </row>
    <row r="128" spans="1:8" x14ac:dyDescent="0.25">
      <c r="B128" s="149" t="s">
        <v>141</v>
      </c>
      <c r="C128" s="149" t="s">
        <v>142</v>
      </c>
      <c r="D128" s="209">
        <f>'12ME Dec18 Rentals'!O17</f>
        <v>157</v>
      </c>
      <c r="E128" s="194">
        <v>1.3200000000000003</v>
      </c>
      <c r="F128" s="311">
        <v>0</v>
      </c>
      <c r="G128" s="192">
        <f t="shared" si="5"/>
        <v>207.24</v>
      </c>
      <c r="H128" s="192">
        <f t="shared" si="6"/>
        <v>-207.24000000000004</v>
      </c>
    </row>
    <row r="129" spans="1:8" x14ac:dyDescent="0.25">
      <c r="B129" s="149" t="s">
        <v>143</v>
      </c>
      <c r="C129" s="149" t="s">
        <v>144</v>
      </c>
      <c r="D129" s="209">
        <f>'12ME Dec18 Rentals'!O18</f>
        <v>6638</v>
      </c>
      <c r="E129" s="194">
        <v>1.7299999999999969</v>
      </c>
      <c r="F129" s="311">
        <v>0</v>
      </c>
      <c r="G129" s="192">
        <f t="shared" si="5"/>
        <v>11483.74</v>
      </c>
      <c r="H129" s="192">
        <f t="shared" si="6"/>
        <v>-11483.73999999998</v>
      </c>
    </row>
    <row r="130" spans="1:8" x14ac:dyDescent="0.25">
      <c r="B130" s="149" t="s">
        <v>145</v>
      </c>
      <c r="C130" s="149" t="s">
        <v>146</v>
      </c>
      <c r="D130" s="209">
        <f>'12ME Dec18 Rentals'!O19</f>
        <v>4526</v>
      </c>
      <c r="E130" s="194">
        <v>2.3200000000000003</v>
      </c>
      <c r="F130" s="311">
        <v>0</v>
      </c>
      <c r="G130" s="192">
        <f t="shared" si="5"/>
        <v>10500.32</v>
      </c>
      <c r="H130" s="192">
        <f t="shared" si="6"/>
        <v>-10500.320000000002</v>
      </c>
    </row>
    <row r="131" spans="1:8" x14ac:dyDescent="0.25">
      <c r="B131" s="149" t="s">
        <v>147</v>
      </c>
      <c r="C131" s="149" t="s">
        <v>148</v>
      </c>
      <c r="D131" s="209">
        <f>'12ME Dec18 Rentals'!O20</f>
        <v>13159</v>
      </c>
      <c r="E131" s="194">
        <v>2.6900000000000048</v>
      </c>
      <c r="F131" s="311">
        <v>0</v>
      </c>
      <c r="G131" s="192">
        <f t="shared" si="5"/>
        <v>35397.71</v>
      </c>
      <c r="H131" s="192">
        <f t="shared" si="6"/>
        <v>-35397.710000000065</v>
      </c>
    </row>
    <row r="132" spans="1:8" x14ac:dyDescent="0.25">
      <c r="A132" s="150"/>
      <c r="B132" s="173"/>
      <c r="C132" s="173"/>
      <c r="D132" s="209"/>
      <c r="E132" s="212"/>
      <c r="F132" s="311"/>
      <c r="G132" s="192"/>
      <c r="H132" s="192"/>
    </row>
    <row r="133" spans="1:8" x14ac:dyDescent="0.25">
      <c r="A133" s="147" t="s">
        <v>150</v>
      </c>
      <c r="B133" s="173"/>
      <c r="C133" s="173"/>
      <c r="D133" s="209"/>
      <c r="E133" s="212"/>
      <c r="F133" s="311"/>
      <c r="G133" s="192"/>
      <c r="H133" s="192"/>
    </row>
    <row r="134" spans="1:8" x14ac:dyDescent="0.25">
      <c r="B134" s="149" t="s">
        <v>151</v>
      </c>
      <c r="C134" s="149" t="s">
        <v>152</v>
      </c>
      <c r="D134" s="209">
        <f>'12ME Dec18 Rentals'!O24</f>
        <v>11501</v>
      </c>
      <c r="E134" s="194">
        <v>0.44000000000000128</v>
      </c>
      <c r="F134" s="311">
        <v>0</v>
      </c>
      <c r="G134" s="192">
        <f t="shared" si="5"/>
        <v>5060.4399999999996</v>
      </c>
      <c r="H134" s="192">
        <f t="shared" si="6"/>
        <v>-5060.4400000000151</v>
      </c>
    </row>
    <row r="135" spans="1:8" x14ac:dyDescent="0.25">
      <c r="B135" s="149" t="s">
        <v>153</v>
      </c>
      <c r="C135" s="149" t="s">
        <v>154</v>
      </c>
      <c r="D135" s="209">
        <f>'12ME Dec18 Rentals'!O25</f>
        <v>844</v>
      </c>
      <c r="E135" s="194">
        <v>1.1800000000000033</v>
      </c>
      <c r="F135" s="311">
        <v>0</v>
      </c>
      <c r="G135" s="192">
        <f t="shared" si="5"/>
        <v>995.92</v>
      </c>
      <c r="H135" s="192">
        <f t="shared" si="6"/>
        <v>-995.9200000000028</v>
      </c>
    </row>
    <row r="136" spans="1:8" x14ac:dyDescent="0.25">
      <c r="B136" s="149" t="s">
        <v>155</v>
      </c>
      <c r="C136" s="149" t="s">
        <v>156</v>
      </c>
      <c r="D136" s="209">
        <f>'12ME Dec18 Rentals'!O26</f>
        <v>541</v>
      </c>
      <c r="E136" s="194">
        <v>1.6000000000000014</v>
      </c>
      <c r="F136" s="311">
        <v>0</v>
      </c>
      <c r="G136" s="192">
        <f t="shared" si="5"/>
        <v>865.6</v>
      </c>
      <c r="H136" s="192">
        <f t="shared" si="6"/>
        <v>-865.60000000000082</v>
      </c>
    </row>
    <row r="137" spans="1:8" x14ac:dyDescent="0.25">
      <c r="B137" s="149" t="s">
        <v>157</v>
      </c>
      <c r="C137" s="149" t="s">
        <v>158</v>
      </c>
      <c r="D137" s="209">
        <f>'12ME Dec18 Rentals'!O27</f>
        <v>19205</v>
      </c>
      <c r="E137" s="194">
        <v>0.66000000000000014</v>
      </c>
      <c r="F137" s="311">
        <v>0</v>
      </c>
      <c r="G137" s="192">
        <f t="shared" si="5"/>
        <v>12675.3</v>
      </c>
      <c r="H137" s="192">
        <f t="shared" si="6"/>
        <v>-12675.300000000003</v>
      </c>
    </row>
    <row r="138" spans="1:8" x14ac:dyDescent="0.25">
      <c r="B138" s="173"/>
      <c r="C138" s="173"/>
      <c r="D138" s="210"/>
      <c r="F138" s="13"/>
      <c r="H138" s="192"/>
    </row>
    <row r="139" spans="1:8" x14ac:dyDescent="0.25">
      <c r="A139" s="152" t="s">
        <v>13</v>
      </c>
      <c r="B139" s="170"/>
      <c r="C139" s="181" t="s">
        <v>237</v>
      </c>
      <c r="D139" s="211">
        <f>'Normalized Therms'!P22</f>
        <v>37090866.75</v>
      </c>
      <c r="E139" s="194"/>
      <c r="G139" s="293">
        <v>35274.722042470239</v>
      </c>
      <c r="H139" s="192">
        <f>-G139</f>
        <v>-35274.722042470239</v>
      </c>
    </row>
    <row r="141" spans="1:8" x14ac:dyDescent="0.25">
      <c r="A141" s="168" t="s">
        <v>6</v>
      </c>
    </row>
    <row r="142" spans="1:8" x14ac:dyDescent="0.25">
      <c r="B142" s="168" t="s">
        <v>237</v>
      </c>
      <c r="D142" s="193">
        <f>SUM(D10,D14,D21,D26,D37:D39,D49:D51,D59:D61,D68:D70,D78:D79,D87:D88,D96:D101,D109:D114,D139)</f>
        <v>1191977753.5650001</v>
      </c>
    </row>
    <row r="143" spans="1:8" x14ac:dyDescent="0.25">
      <c r="B143" s="168" t="s">
        <v>204</v>
      </c>
      <c r="D143" s="193">
        <f>SUM(D34,D46,D55,D65,D74,D83,D92,D105)</f>
        <v>6811576.591</v>
      </c>
    </row>
    <row r="144" spans="1:8" x14ac:dyDescent="0.25">
      <c r="B144" s="168" t="s">
        <v>234</v>
      </c>
      <c r="D144" s="193">
        <f>SUM(D9,D13,D20,D25,D32,D44,D54,D64,D73,D82,D91,D104)</f>
        <v>10115573.875453494</v>
      </c>
    </row>
    <row r="146" spans="2:4" x14ac:dyDescent="0.25">
      <c r="B146" s="213" t="s">
        <v>241</v>
      </c>
      <c r="C146" s="173"/>
      <c r="D146" s="173"/>
    </row>
    <row r="147" spans="2:4" x14ac:dyDescent="0.25">
      <c r="B147" s="168" t="s">
        <v>243</v>
      </c>
      <c r="C147" s="168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25">
      <c r="B148" s="168" t="s">
        <v>204</v>
      </c>
      <c r="D148" s="193">
        <f>SUM(D34,D46,D55,D65,D74,D83,D92,D105)-SUM('12ME Dec18 Data'!N9:N16)</f>
        <v>0</v>
      </c>
    </row>
    <row r="149" spans="2:4" x14ac:dyDescent="0.25">
      <c r="B149" s="168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9"/>
  <sheetViews>
    <sheetView zoomScaleNormal="100" workbookViewId="0">
      <pane ySplit="7" topLeftCell="A8" activePane="bottomLeft" state="frozen"/>
      <selection pane="bottomLeft" activeCell="G9" sqref="G9:G139"/>
    </sheetView>
  </sheetViews>
  <sheetFormatPr defaultColWidth="9.140625" defaultRowHeight="15" x14ac:dyDescent="0.25"/>
  <cols>
    <col min="1" max="1" width="3.28515625" style="190" customWidth="1"/>
    <col min="2" max="2" width="43.7109375" style="190" bestFit="1" customWidth="1"/>
    <col min="3" max="3" width="9.140625" style="190"/>
    <col min="4" max="4" width="16.5703125" style="190" bestFit="1" customWidth="1"/>
    <col min="5" max="5" width="13.7109375" style="190" bestFit="1" customWidth="1"/>
    <col min="6" max="6" width="13.7109375" style="190" customWidth="1"/>
    <col min="7" max="7" width="15" style="190" bestFit="1" customWidth="1"/>
    <col min="8" max="8" width="16" style="190" bestFit="1" customWidth="1"/>
    <col min="9" max="16384" width="9.140625" style="190"/>
  </cols>
  <sheetData>
    <row r="1" spans="1:8" x14ac:dyDescent="0.25">
      <c r="A1" s="393" t="s">
        <v>0</v>
      </c>
      <c r="B1" s="393"/>
      <c r="C1" s="393"/>
      <c r="D1" s="393"/>
      <c r="E1" s="393"/>
      <c r="F1" s="393"/>
      <c r="G1" s="393"/>
      <c r="H1" s="393"/>
    </row>
    <row r="2" spans="1:8" x14ac:dyDescent="0.25">
      <c r="A2" s="393" t="s">
        <v>366</v>
      </c>
      <c r="B2" s="393"/>
      <c r="C2" s="393"/>
      <c r="D2" s="393"/>
      <c r="E2" s="393"/>
      <c r="F2" s="393"/>
      <c r="G2" s="393"/>
      <c r="H2" s="393"/>
    </row>
    <row r="3" spans="1:8" x14ac:dyDescent="0.25">
      <c r="A3" s="393" t="s">
        <v>260</v>
      </c>
      <c r="B3" s="393"/>
      <c r="C3" s="393"/>
      <c r="D3" s="393"/>
      <c r="E3" s="393"/>
      <c r="F3" s="393"/>
      <c r="G3" s="393"/>
      <c r="H3" s="393"/>
    </row>
    <row r="4" spans="1:8" x14ac:dyDescent="0.25">
      <c r="A4" s="167"/>
      <c r="B4" s="167"/>
      <c r="C4" s="167"/>
      <c r="D4" s="167"/>
      <c r="E4" s="167"/>
      <c r="F4" s="167"/>
    </row>
    <row r="5" spans="1:8" x14ac:dyDescent="0.25">
      <c r="A5" s="185"/>
      <c r="B5" s="185"/>
      <c r="C5" s="185"/>
      <c r="D5" s="5" t="s">
        <v>15</v>
      </c>
      <c r="E5" s="184" t="s">
        <v>5</v>
      </c>
      <c r="F5" s="184" t="s">
        <v>1</v>
      </c>
      <c r="G5" s="5"/>
      <c r="H5" s="296" t="s">
        <v>367</v>
      </c>
    </row>
    <row r="6" spans="1:8" x14ac:dyDescent="0.25">
      <c r="B6" s="184"/>
      <c r="C6" s="184"/>
      <c r="D6" s="5" t="s">
        <v>3</v>
      </c>
      <c r="E6" s="184" t="s">
        <v>367</v>
      </c>
      <c r="F6" s="184" t="s">
        <v>367</v>
      </c>
      <c r="G6" s="5" t="s">
        <v>15</v>
      </c>
      <c r="H6" s="296" t="s">
        <v>361</v>
      </c>
    </row>
    <row r="7" spans="1:8" x14ac:dyDescent="0.25">
      <c r="A7" s="186"/>
      <c r="B7" s="187" t="s">
        <v>213</v>
      </c>
      <c r="C7" s="187" t="s">
        <v>233</v>
      </c>
      <c r="D7" s="238" t="str">
        <f>'Base Rate Impacts'!$D$8</f>
        <v>Jan 18 - Dec 18</v>
      </c>
      <c r="E7" s="187" t="s">
        <v>22</v>
      </c>
      <c r="F7" s="187" t="s">
        <v>22</v>
      </c>
      <c r="G7" s="171" t="s">
        <v>2</v>
      </c>
      <c r="H7" s="171" t="s">
        <v>244</v>
      </c>
    </row>
    <row r="8" spans="1:8" x14ac:dyDescent="0.25">
      <c r="A8" s="172" t="s">
        <v>214</v>
      </c>
      <c r="C8" s="172"/>
      <c r="D8" s="172"/>
    </row>
    <row r="9" spans="1:8" x14ac:dyDescent="0.25">
      <c r="B9" s="188" t="s">
        <v>234</v>
      </c>
      <c r="C9" s="188" t="s">
        <v>235</v>
      </c>
      <c r="D9" s="209">
        <f>'12ME Dec18 Data'!N23</f>
        <v>9401341.5170350727</v>
      </c>
      <c r="E9" s="194">
        <v>-0.15000000000000036</v>
      </c>
      <c r="F9" s="311">
        <v>0</v>
      </c>
      <c r="G9" s="192">
        <f>ROUND(E9*D9,2)</f>
        <v>-1410201.23</v>
      </c>
      <c r="H9" s="192">
        <f>(F9-E9)*D9</f>
        <v>1410201.2275552643</v>
      </c>
    </row>
    <row r="10" spans="1:8" x14ac:dyDescent="0.25">
      <c r="B10" s="191" t="s">
        <v>236</v>
      </c>
      <c r="C10" s="191" t="s">
        <v>237</v>
      </c>
      <c r="D10" s="209">
        <f>'Normalized Therms'!P9</f>
        <v>613662109.14999998</v>
      </c>
      <c r="E10" s="135">
        <v>-4.7900000000000165E-3</v>
      </c>
      <c r="F10" s="310">
        <v>0</v>
      </c>
      <c r="G10" s="192">
        <f t="shared" ref="G10:G73" si="0">ROUND(E10*D10,2)</f>
        <v>-2939441.5</v>
      </c>
      <c r="H10" s="192">
        <f t="shared" ref="H10:H73" si="1">(F10-E10)*D10</f>
        <v>2939441.50282851</v>
      </c>
    </row>
    <row r="11" spans="1:8" x14ac:dyDescent="0.25">
      <c r="B11" s="178"/>
      <c r="C11" s="178"/>
      <c r="D11" s="174"/>
      <c r="E11" s="212"/>
      <c r="F11" s="310"/>
      <c r="G11" s="192"/>
      <c r="H11" s="192"/>
    </row>
    <row r="12" spans="1:8" x14ac:dyDescent="0.25">
      <c r="A12" s="180" t="s">
        <v>215</v>
      </c>
      <c r="C12" s="180"/>
      <c r="D12" s="174"/>
      <c r="E12" s="212"/>
      <c r="F12" s="310"/>
      <c r="G12" s="192"/>
      <c r="H12" s="192"/>
    </row>
    <row r="13" spans="1:8" x14ac:dyDescent="0.25">
      <c r="A13" s="169"/>
      <c r="B13" s="188" t="s">
        <v>234</v>
      </c>
      <c r="C13" s="188" t="s">
        <v>235</v>
      </c>
      <c r="D13" s="209">
        <f>'12ME Dec18 Data'!N24</f>
        <v>1.4854545454545454</v>
      </c>
      <c r="E13" s="194">
        <v>-0.15000000000000036</v>
      </c>
      <c r="F13" s="311">
        <v>0</v>
      </c>
      <c r="G13" s="192">
        <f t="shared" si="0"/>
        <v>-0.22</v>
      </c>
      <c r="H13" s="192">
        <f t="shared" si="1"/>
        <v>0.22281818181818233</v>
      </c>
    </row>
    <row r="14" spans="1:8" x14ac:dyDescent="0.25">
      <c r="A14" s="169"/>
      <c r="B14" s="191" t="s">
        <v>236</v>
      </c>
      <c r="C14" s="191" t="s">
        <v>237</v>
      </c>
      <c r="D14" s="209">
        <f>'Normalized Therms'!P11</f>
        <v>64.477999999999994</v>
      </c>
      <c r="E14" s="135">
        <v>-4.7900000000000165E-3</v>
      </c>
      <c r="F14" s="310">
        <v>0</v>
      </c>
      <c r="G14" s="192">
        <f t="shared" si="0"/>
        <v>-0.31</v>
      </c>
      <c r="H14" s="192">
        <f t="shared" si="1"/>
        <v>0.30884962000000105</v>
      </c>
    </row>
    <row r="15" spans="1:8" x14ac:dyDescent="0.25">
      <c r="A15" s="169"/>
      <c r="B15" s="176"/>
      <c r="C15" s="176"/>
      <c r="D15" s="209"/>
      <c r="E15" s="212"/>
      <c r="F15" s="310"/>
      <c r="G15" s="192"/>
      <c r="H15" s="192"/>
    </row>
    <row r="16" spans="1:8" x14ac:dyDescent="0.25">
      <c r="A16" s="180" t="s">
        <v>216</v>
      </c>
      <c r="C16" s="172"/>
      <c r="D16" s="209"/>
      <c r="E16" s="212"/>
      <c r="F16" s="310"/>
      <c r="G16" s="192"/>
      <c r="H16" s="192"/>
    </row>
    <row r="17" spans="1:8" x14ac:dyDescent="0.25">
      <c r="B17" s="191" t="s">
        <v>236</v>
      </c>
      <c r="C17" s="189" t="s">
        <v>238</v>
      </c>
      <c r="D17" s="209">
        <f>'Normalized Therms'!P10/19</f>
        <v>491.79494736842099</v>
      </c>
      <c r="E17" s="194">
        <v>-0.12999999999999901</v>
      </c>
      <c r="F17" s="311">
        <v>0</v>
      </c>
      <c r="G17" s="192">
        <f t="shared" si="0"/>
        <v>-63.93</v>
      </c>
      <c r="H17" s="192">
        <f t="shared" si="1"/>
        <v>63.933343157894242</v>
      </c>
    </row>
    <row r="18" spans="1:8" x14ac:dyDescent="0.25">
      <c r="B18" s="191"/>
      <c r="C18" s="191"/>
      <c r="D18" s="209"/>
      <c r="E18" s="212"/>
      <c r="F18" s="310"/>
      <c r="G18" s="192"/>
      <c r="H18" s="192"/>
    </row>
    <row r="19" spans="1:8" x14ac:dyDescent="0.25">
      <c r="A19" s="172" t="s">
        <v>217</v>
      </c>
      <c r="C19" s="178"/>
      <c r="D19" s="209"/>
      <c r="E19" s="212"/>
      <c r="F19" s="310"/>
      <c r="G19" s="192"/>
      <c r="H19" s="192"/>
    </row>
    <row r="20" spans="1:8" x14ac:dyDescent="0.25">
      <c r="B20" s="188" t="s">
        <v>234</v>
      </c>
      <c r="C20" s="188" t="s">
        <v>235</v>
      </c>
      <c r="D20" s="209">
        <f>'12ME Dec18 Data'!N25</f>
        <v>692597.12096613029</v>
      </c>
      <c r="E20" s="194">
        <v>-0.43999999999999773</v>
      </c>
      <c r="F20" s="311">
        <v>0</v>
      </c>
      <c r="G20" s="192">
        <f t="shared" si="0"/>
        <v>-304742.73</v>
      </c>
      <c r="H20" s="192">
        <f t="shared" si="1"/>
        <v>304742.73322509573</v>
      </c>
    </row>
    <row r="21" spans="1:8" x14ac:dyDescent="0.25">
      <c r="B21" s="191" t="s">
        <v>236</v>
      </c>
      <c r="C21" s="191" t="s">
        <v>237</v>
      </c>
      <c r="D21" s="209">
        <f>'Normalized Therms'!$P$12</f>
        <v>232245222.90300003</v>
      </c>
      <c r="E21" s="135">
        <v>-4.060000000000008E-3</v>
      </c>
      <c r="F21" s="310">
        <v>0</v>
      </c>
      <c r="G21" s="192">
        <f t="shared" si="0"/>
        <v>-942915.6</v>
      </c>
      <c r="H21" s="192">
        <f t="shared" si="1"/>
        <v>942915.60498618195</v>
      </c>
    </row>
    <row r="22" spans="1:8" x14ac:dyDescent="0.25">
      <c r="B22" s="191" t="s">
        <v>87</v>
      </c>
      <c r="C22" s="191" t="s">
        <v>237</v>
      </c>
      <c r="D22" s="209">
        <f>'Normalized Therms'!$P$12</f>
        <v>232245222.90300003</v>
      </c>
      <c r="E22" s="135">
        <v>-1.2000000000000031E-4</v>
      </c>
      <c r="F22" s="310">
        <v>0</v>
      </c>
      <c r="G22" s="192">
        <f t="shared" si="0"/>
        <v>-27869.43</v>
      </c>
      <c r="H22" s="192">
        <f>(F22-E22)*D22</f>
        <v>27869.426748360078</v>
      </c>
    </row>
    <row r="23" spans="1:8" x14ac:dyDescent="0.25">
      <c r="B23" s="191"/>
      <c r="C23" s="191"/>
      <c r="D23" s="209"/>
      <c r="E23" s="212"/>
      <c r="F23" s="310"/>
      <c r="G23" s="192"/>
      <c r="H23" s="192"/>
    </row>
    <row r="24" spans="1:8" x14ac:dyDescent="0.25">
      <c r="A24" s="180" t="s">
        <v>218</v>
      </c>
      <c r="C24" s="178"/>
      <c r="D24" s="209"/>
      <c r="E24" s="212"/>
      <c r="F24" s="310"/>
      <c r="G24" s="192"/>
      <c r="H24" s="192"/>
    </row>
    <row r="25" spans="1:8" x14ac:dyDescent="0.25">
      <c r="A25" s="191"/>
      <c r="B25" s="188" t="s">
        <v>234</v>
      </c>
      <c r="C25" s="188" t="s">
        <v>235</v>
      </c>
      <c r="D25" s="209">
        <f>'12ME Dec18 Data'!N26</f>
        <v>31</v>
      </c>
      <c r="E25" s="194">
        <v>-4.8700000000000045</v>
      </c>
      <c r="F25" s="311">
        <v>0</v>
      </c>
      <c r="G25" s="192">
        <f t="shared" si="0"/>
        <v>-150.97</v>
      </c>
      <c r="H25" s="192">
        <f t="shared" si="1"/>
        <v>150.97000000000014</v>
      </c>
    </row>
    <row r="26" spans="1:8" x14ac:dyDescent="0.25">
      <c r="A26" s="191"/>
      <c r="B26" s="191" t="s">
        <v>236</v>
      </c>
      <c r="C26" s="191" t="s">
        <v>237</v>
      </c>
      <c r="D26" s="209">
        <f>'Normalized Therms'!P17</f>
        <v>31498.21</v>
      </c>
      <c r="E26" s="135">
        <v>-4.049999999999998E-3</v>
      </c>
      <c r="F26" s="310">
        <v>0</v>
      </c>
      <c r="G26" s="192">
        <f t="shared" si="0"/>
        <v>-127.57</v>
      </c>
      <c r="H26" s="192">
        <f t="shared" si="1"/>
        <v>127.56775049999993</v>
      </c>
    </row>
    <row r="27" spans="1:8" x14ac:dyDescent="0.25">
      <c r="A27" s="191"/>
      <c r="B27" s="191"/>
      <c r="C27" s="191"/>
      <c r="D27" s="209"/>
      <c r="E27" s="212"/>
      <c r="F27" s="310"/>
      <c r="G27" s="192"/>
      <c r="H27" s="192"/>
    </row>
    <row r="28" spans="1:8" x14ac:dyDescent="0.25">
      <c r="A28" s="180" t="s">
        <v>219</v>
      </c>
      <c r="C28" s="178"/>
      <c r="D28" s="209"/>
      <c r="E28" s="194"/>
      <c r="F28" s="310"/>
      <c r="G28" s="192"/>
      <c r="H28" s="192"/>
    </row>
    <row r="29" spans="1:8" x14ac:dyDescent="0.25">
      <c r="B29" s="191" t="s">
        <v>204</v>
      </c>
      <c r="C29" s="191"/>
      <c r="D29" s="209"/>
      <c r="E29" s="194">
        <v>0</v>
      </c>
      <c r="F29" s="310">
        <v>0</v>
      </c>
      <c r="G29" s="192">
        <f t="shared" si="0"/>
        <v>0</v>
      </c>
      <c r="H29" s="192">
        <f t="shared" si="1"/>
        <v>0</v>
      </c>
    </row>
    <row r="30" spans="1:8" x14ac:dyDescent="0.25">
      <c r="B30" s="181"/>
      <c r="C30" s="191"/>
      <c r="D30" s="209"/>
      <c r="E30" s="212"/>
      <c r="F30" s="135"/>
      <c r="G30" s="192"/>
      <c r="H30" s="192"/>
    </row>
    <row r="31" spans="1:8" x14ac:dyDescent="0.25">
      <c r="A31" s="180" t="s">
        <v>220</v>
      </c>
      <c r="C31" s="178"/>
      <c r="D31" s="209"/>
      <c r="E31" s="212"/>
      <c r="F31" s="135"/>
      <c r="G31" s="192"/>
      <c r="H31" s="192"/>
    </row>
    <row r="32" spans="1:8" x14ac:dyDescent="0.25">
      <c r="B32" s="188" t="s">
        <v>234</v>
      </c>
      <c r="C32" s="188" t="s">
        <v>235</v>
      </c>
      <c r="D32" s="209">
        <f>'12ME Dec18 Data'!$N$27</f>
        <v>15978.11692331859</v>
      </c>
      <c r="E32" s="194">
        <v>-1.3600000000000136</v>
      </c>
      <c r="F32" s="311">
        <v>0</v>
      </c>
      <c r="G32" s="192">
        <f t="shared" si="0"/>
        <v>-21730.240000000002</v>
      </c>
      <c r="H32" s="192">
        <f t="shared" si="1"/>
        <v>21730.239015713501</v>
      </c>
    </row>
    <row r="33" spans="1:8" x14ac:dyDescent="0.25">
      <c r="B33" s="181" t="s">
        <v>239</v>
      </c>
      <c r="C33" s="188" t="s">
        <v>235</v>
      </c>
      <c r="D33" s="209">
        <f>'12ME Dec18 Data'!$N$27</f>
        <v>15978.11692331859</v>
      </c>
      <c r="E33" s="194">
        <v>-1.4799999999999898</v>
      </c>
      <c r="F33" s="311">
        <v>0</v>
      </c>
      <c r="G33" s="192">
        <f t="shared" si="0"/>
        <v>-23647.61</v>
      </c>
      <c r="H33" s="192">
        <f t="shared" si="1"/>
        <v>23647.613046511349</v>
      </c>
    </row>
    <row r="34" spans="1:8" x14ac:dyDescent="0.25">
      <c r="B34" s="181" t="s">
        <v>78</v>
      </c>
      <c r="C34" s="191" t="s">
        <v>204</v>
      </c>
      <c r="D34" s="209">
        <f>'12ME Dec18 Data'!N9</f>
        <v>4466417.6739999996</v>
      </c>
      <c r="E34" s="194">
        <v>-2.0000000000000018E-2</v>
      </c>
      <c r="F34" s="311">
        <v>0</v>
      </c>
      <c r="G34" s="192">
        <f t="shared" si="0"/>
        <v>-89328.35</v>
      </c>
      <c r="H34" s="192">
        <f t="shared" si="1"/>
        <v>89328.353480000078</v>
      </c>
    </row>
    <row r="35" spans="1:8" x14ac:dyDescent="0.25">
      <c r="B35" s="181"/>
      <c r="C35" s="191"/>
      <c r="D35" s="209"/>
      <c r="E35" s="212"/>
      <c r="F35" s="310"/>
      <c r="G35" s="192"/>
      <c r="H35" s="192"/>
    </row>
    <row r="36" spans="1:8" x14ac:dyDescent="0.25">
      <c r="B36" s="181" t="s">
        <v>79</v>
      </c>
      <c r="C36" s="191"/>
      <c r="D36" s="209"/>
      <c r="E36" s="212"/>
      <c r="F36" s="310"/>
      <c r="G36" s="192"/>
      <c r="H36" s="192"/>
    </row>
    <row r="37" spans="1:8" x14ac:dyDescent="0.25">
      <c r="B37" s="181" t="s">
        <v>164</v>
      </c>
      <c r="C37" s="191" t="s">
        <v>237</v>
      </c>
      <c r="D37" s="209">
        <f>'Normalized Therms'!$P$13*'12ME Dec18 Bill Freq'!N6</f>
        <v>13387853.839000005</v>
      </c>
      <c r="E37" s="135">
        <v>-1.6500000000000126E-3</v>
      </c>
      <c r="F37" s="310">
        <v>0</v>
      </c>
      <c r="G37" s="192" t="s">
        <v>355</v>
      </c>
      <c r="H37" s="192" t="s">
        <v>355</v>
      </c>
    </row>
    <row r="38" spans="1:8" x14ac:dyDescent="0.25">
      <c r="B38" s="181" t="s">
        <v>165</v>
      </c>
      <c r="C38" s="191" t="s">
        <v>237</v>
      </c>
      <c r="D38" s="209">
        <f>'Normalized Therms'!$P$13*'12ME Dec18 Bill Freq'!N7</f>
        <v>29572063.337000009</v>
      </c>
      <c r="E38" s="135">
        <v>-1.6500000000000126E-3</v>
      </c>
      <c r="F38" s="310">
        <v>0</v>
      </c>
      <c r="G38" s="192">
        <f t="shared" si="0"/>
        <v>-48793.9</v>
      </c>
      <c r="H38" s="192">
        <f t="shared" si="1"/>
        <v>48793.904506050385</v>
      </c>
    </row>
    <row r="39" spans="1:8" x14ac:dyDescent="0.25">
      <c r="B39" s="181" t="s">
        <v>166</v>
      </c>
      <c r="C39" s="191" t="s">
        <v>237</v>
      </c>
      <c r="D39" s="209">
        <f>'Normalized Therms'!$P$13*'12ME Dec18 Bill Freq'!N8</f>
        <v>22537947.382000003</v>
      </c>
      <c r="E39" s="135">
        <v>-1.0599999999999915E-3</v>
      </c>
      <c r="F39" s="310">
        <v>0</v>
      </c>
      <c r="G39" s="192">
        <f t="shared" si="0"/>
        <v>-23890.22</v>
      </c>
      <c r="H39" s="192">
        <f t="shared" si="1"/>
        <v>23890.224224919813</v>
      </c>
    </row>
    <row r="40" spans="1:8" x14ac:dyDescent="0.25">
      <c r="B40" s="181"/>
      <c r="C40" s="191"/>
      <c r="D40" s="209"/>
      <c r="E40" s="135"/>
      <c r="F40" s="310"/>
      <c r="G40" s="192"/>
      <c r="H40" s="192"/>
    </row>
    <row r="41" spans="1:8" x14ac:dyDescent="0.25">
      <c r="B41" s="181" t="s">
        <v>87</v>
      </c>
      <c r="C41" s="191" t="s">
        <v>237</v>
      </c>
      <c r="D41" s="209">
        <f>'Normalized Therms'!$P$13</f>
        <v>65497864.558000013</v>
      </c>
      <c r="E41" s="135">
        <v>-8.000000000000021E-5</v>
      </c>
      <c r="F41" s="310">
        <v>0</v>
      </c>
      <c r="G41" s="192">
        <f t="shared" ref="G41" si="2">ROUND(E41*D41,2)</f>
        <v>-5239.83</v>
      </c>
      <c r="H41" s="192">
        <f t="shared" ref="H41" si="3">(F41-E41)*D41</f>
        <v>5239.8291646400148</v>
      </c>
    </row>
    <row r="42" spans="1:8" x14ac:dyDescent="0.25">
      <c r="B42" s="188"/>
      <c r="C42" s="178"/>
      <c r="D42" s="209"/>
      <c r="E42" s="212"/>
      <c r="F42" s="310"/>
      <c r="G42" s="192"/>
      <c r="H42" s="192"/>
    </row>
    <row r="43" spans="1:8" x14ac:dyDescent="0.25">
      <c r="A43" s="180" t="s">
        <v>221</v>
      </c>
      <c r="B43" s="169"/>
      <c r="C43" s="178"/>
      <c r="D43" s="209"/>
      <c r="E43" s="212"/>
      <c r="F43" s="310"/>
      <c r="G43" s="192"/>
      <c r="H43" s="192"/>
    </row>
    <row r="44" spans="1:8" x14ac:dyDescent="0.25">
      <c r="A44" s="181"/>
      <c r="B44" s="188" t="s">
        <v>234</v>
      </c>
      <c r="C44" s="188" t="s">
        <v>235</v>
      </c>
      <c r="D44" s="209">
        <f>'12ME Dec18 Data'!$N$28</f>
        <v>1233.3356387208999</v>
      </c>
      <c r="E44" s="194">
        <v>-5.2599999999999909</v>
      </c>
      <c r="F44" s="311">
        <v>0</v>
      </c>
      <c r="G44" s="192">
        <f t="shared" si="0"/>
        <v>-6487.35</v>
      </c>
      <c r="H44" s="192">
        <f t="shared" si="1"/>
        <v>6487.3454596719221</v>
      </c>
    </row>
    <row r="45" spans="1:8" x14ac:dyDescent="0.25">
      <c r="A45" s="181"/>
      <c r="B45" s="181" t="s">
        <v>239</v>
      </c>
      <c r="C45" s="188" t="s">
        <v>235</v>
      </c>
      <c r="D45" s="209">
        <f>'12ME Dec18 Data'!$N$28</f>
        <v>1233.3356387208999</v>
      </c>
      <c r="E45" s="194">
        <v>-1.4799999999999898</v>
      </c>
      <c r="F45" s="311">
        <v>0</v>
      </c>
      <c r="G45" s="192">
        <f t="shared" si="0"/>
        <v>-1825.34</v>
      </c>
      <c r="H45" s="192">
        <f t="shared" si="1"/>
        <v>1825.3367453069191</v>
      </c>
    </row>
    <row r="46" spans="1:8" x14ac:dyDescent="0.25">
      <c r="A46" s="181"/>
      <c r="B46" s="181" t="s">
        <v>78</v>
      </c>
      <c r="C46" s="191" t="s">
        <v>204</v>
      </c>
      <c r="D46" s="209">
        <f>'12ME Dec18 Data'!N10</f>
        <v>1160980.7009999999</v>
      </c>
      <c r="E46" s="194">
        <v>-2.0000000000000018E-2</v>
      </c>
      <c r="F46" s="311">
        <v>0</v>
      </c>
      <c r="G46" s="192">
        <f t="shared" si="0"/>
        <v>-23219.61</v>
      </c>
      <c r="H46" s="192">
        <f t="shared" si="1"/>
        <v>23219.614020000019</v>
      </c>
    </row>
    <row r="47" spans="1:8" x14ac:dyDescent="0.25">
      <c r="A47" s="181"/>
      <c r="B47" s="181"/>
      <c r="C47" s="191"/>
      <c r="D47" s="209"/>
      <c r="E47" s="212"/>
      <c r="F47" s="310"/>
      <c r="G47" s="192"/>
      <c r="H47" s="192"/>
    </row>
    <row r="48" spans="1:8" x14ac:dyDescent="0.25">
      <c r="A48" s="181"/>
      <c r="B48" s="181" t="s">
        <v>79</v>
      </c>
      <c r="C48" s="191"/>
      <c r="D48" s="209"/>
      <c r="E48" s="212"/>
      <c r="F48" s="310"/>
      <c r="G48" s="192"/>
      <c r="H48" s="192"/>
    </row>
    <row r="49" spans="1:8" x14ac:dyDescent="0.25">
      <c r="A49" s="181"/>
      <c r="B49" s="181" t="s">
        <v>164</v>
      </c>
      <c r="C49" s="191" t="s">
        <v>237</v>
      </c>
      <c r="D49" s="209">
        <f>'Normalized Therms'!$P$18*'12ME Dec18 Bill Freq'!N36</f>
        <v>1129776.96</v>
      </c>
      <c r="E49" s="135">
        <v>-1.6500000000000126E-3</v>
      </c>
      <c r="F49" s="310">
        <v>0</v>
      </c>
      <c r="G49" s="192" t="s">
        <v>355</v>
      </c>
      <c r="H49" s="192" t="s">
        <v>355</v>
      </c>
    </row>
    <row r="50" spans="1:8" x14ac:dyDescent="0.25">
      <c r="A50" s="181"/>
      <c r="B50" s="181" t="s">
        <v>165</v>
      </c>
      <c r="C50" s="191" t="s">
        <v>237</v>
      </c>
      <c r="D50" s="209">
        <f>'Normalized Therms'!$P$18*'12ME Dec18 Bill Freq'!N37</f>
        <v>4274079.34</v>
      </c>
      <c r="E50" s="135">
        <v>-1.6500000000000126E-3</v>
      </c>
      <c r="F50" s="310">
        <v>0</v>
      </c>
      <c r="G50" s="192">
        <f t="shared" si="0"/>
        <v>-7052.23</v>
      </c>
      <c r="H50" s="192">
        <f t="shared" si="1"/>
        <v>7052.2309110000533</v>
      </c>
    </row>
    <row r="51" spans="1:8" x14ac:dyDescent="0.25">
      <c r="A51" s="181"/>
      <c r="B51" s="181" t="s">
        <v>166</v>
      </c>
      <c r="C51" s="191" t="s">
        <v>237</v>
      </c>
      <c r="D51" s="209">
        <f>'Normalized Therms'!$P$18*'12ME Dec18 Bill Freq'!N38</f>
        <v>15213158.120000001</v>
      </c>
      <c r="E51" s="135">
        <v>-1.1800000000000005E-3</v>
      </c>
      <c r="F51" s="310">
        <v>0</v>
      </c>
      <c r="G51" s="192">
        <f t="shared" si="0"/>
        <v>-17951.53</v>
      </c>
      <c r="H51" s="192">
        <f t="shared" si="1"/>
        <v>17951.52658160001</v>
      </c>
    </row>
    <row r="52" spans="1:8" x14ac:dyDescent="0.25">
      <c r="A52" s="181"/>
      <c r="B52" s="188"/>
      <c r="C52" s="178"/>
      <c r="D52" s="209"/>
      <c r="E52" s="212"/>
      <c r="F52" s="310"/>
      <c r="G52" s="192"/>
      <c r="H52" s="192"/>
    </row>
    <row r="53" spans="1:8" x14ac:dyDescent="0.25">
      <c r="A53" s="172" t="s">
        <v>222</v>
      </c>
      <c r="C53" s="178"/>
      <c r="D53" s="209"/>
      <c r="E53" s="212"/>
      <c r="F53" s="310"/>
      <c r="G53" s="192"/>
      <c r="H53" s="192"/>
    </row>
    <row r="54" spans="1:8" x14ac:dyDescent="0.25">
      <c r="B54" s="178" t="s">
        <v>234</v>
      </c>
      <c r="C54" s="178" t="s">
        <v>235</v>
      </c>
      <c r="D54" s="209">
        <f>'12ME Dec18 Data'!N29</f>
        <v>329.5178182456545</v>
      </c>
      <c r="E54" s="194">
        <v>-7.4400000000000546</v>
      </c>
      <c r="F54" s="311">
        <v>0</v>
      </c>
      <c r="G54" s="192">
        <f t="shared" si="0"/>
        <v>-2451.61</v>
      </c>
      <c r="H54" s="192">
        <f t="shared" si="1"/>
        <v>2451.6125677476875</v>
      </c>
    </row>
    <row r="55" spans="1:8" x14ac:dyDescent="0.25">
      <c r="B55" s="191" t="s">
        <v>78</v>
      </c>
      <c r="C55" s="191" t="s">
        <v>204</v>
      </c>
      <c r="D55" s="209">
        <f>'12ME Dec18 Data'!N11</f>
        <v>86412.906999999992</v>
      </c>
      <c r="E55" s="194">
        <v>-2.0000000000000018E-2</v>
      </c>
      <c r="F55" s="311">
        <v>0</v>
      </c>
      <c r="G55" s="192">
        <f t="shared" si="0"/>
        <v>-1728.26</v>
      </c>
      <c r="H55" s="192">
        <f t="shared" si="1"/>
        <v>1728.2581400000013</v>
      </c>
    </row>
    <row r="56" spans="1:8" x14ac:dyDescent="0.25">
      <c r="B56" s="191" t="s">
        <v>87</v>
      </c>
      <c r="C56" s="191" t="s">
        <v>237</v>
      </c>
      <c r="D56" s="209">
        <f>'Normalized Therms'!P14</f>
        <v>15787998.554000001</v>
      </c>
      <c r="E56" s="135">
        <v>-1.0000000000000026E-4</v>
      </c>
      <c r="F56" s="310">
        <v>0</v>
      </c>
      <c r="G56" s="192">
        <f t="shared" si="0"/>
        <v>-1578.8</v>
      </c>
      <c r="H56" s="192">
        <f t="shared" si="1"/>
        <v>1578.7998554000044</v>
      </c>
    </row>
    <row r="57" spans="1:8" x14ac:dyDescent="0.25">
      <c r="B57" s="191"/>
      <c r="C57" s="191"/>
      <c r="D57" s="209"/>
      <c r="E57" s="212"/>
      <c r="F57" s="310"/>
      <c r="G57" s="192"/>
      <c r="H57" s="192"/>
    </row>
    <row r="58" spans="1:8" x14ac:dyDescent="0.25">
      <c r="B58" s="191" t="s">
        <v>79</v>
      </c>
      <c r="C58" s="191"/>
      <c r="D58" s="209"/>
      <c r="E58" s="212"/>
      <c r="F58" s="310"/>
      <c r="G58" s="192"/>
      <c r="H58" s="192"/>
    </row>
    <row r="59" spans="1:8" x14ac:dyDescent="0.25">
      <c r="B59" s="191" t="s">
        <v>223</v>
      </c>
      <c r="C59" s="191" t="s">
        <v>237</v>
      </c>
      <c r="D59" s="209">
        <f>'Normalized Therms'!$P$14*'12ME Dec18 Bill Freq'!N13</f>
        <v>7617621.6730000013</v>
      </c>
      <c r="E59" s="135">
        <v>-1.350000000000004E-3</v>
      </c>
      <c r="F59" s="310">
        <v>0</v>
      </c>
      <c r="G59" s="192">
        <f t="shared" si="0"/>
        <v>-10283.790000000001</v>
      </c>
      <c r="H59" s="192">
        <f t="shared" si="1"/>
        <v>10283.789258550032</v>
      </c>
    </row>
    <row r="60" spans="1:8" x14ac:dyDescent="0.25">
      <c r="B60" s="191" t="s">
        <v>224</v>
      </c>
      <c r="C60" s="191" t="s">
        <v>237</v>
      </c>
      <c r="D60" s="209">
        <f>'Normalized Therms'!$P$14*'12ME Dec18 Bill Freq'!N14</f>
        <v>4021281.8229999999</v>
      </c>
      <c r="E60" s="135">
        <v>-6.6999999999999699E-4</v>
      </c>
      <c r="F60" s="310">
        <v>0</v>
      </c>
      <c r="G60" s="192">
        <f t="shared" si="0"/>
        <v>-2694.26</v>
      </c>
      <c r="H60" s="192">
        <f t="shared" si="1"/>
        <v>2694.2588214099878</v>
      </c>
    </row>
    <row r="61" spans="1:8" x14ac:dyDescent="0.25">
      <c r="B61" s="191" t="s">
        <v>225</v>
      </c>
      <c r="C61" s="191" t="s">
        <v>237</v>
      </c>
      <c r="D61" s="209">
        <f>'Normalized Therms'!$P$14*'12ME Dec18 Bill Freq'!N15</f>
        <v>4149095.0579999997</v>
      </c>
      <c r="E61" s="135">
        <v>-6.4000000000000168E-4</v>
      </c>
      <c r="F61" s="310">
        <v>0</v>
      </c>
      <c r="G61" s="192">
        <f t="shared" si="0"/>
        <v>-2655.42</v>
      </c>
      <c r="H61" s="192">
        <f t="shared" si="1"/>
        <v>2655.4208371200066</v>
      </c>
    </row>
    <row r="62" spans="1:8" x14ac:dyDescent="0.25">
      <c r="B62" s="178"/>
      <c r="C62" s="178"/>
      <c r="D62" s="209"/>
      <c r="E62" s="212"/>
      <c r="F62" s="310"/>
      <c r="G62" s="192"/>
      <c r="H62" s="192"/>
    </row>
    <row r="63" spans="1:8" x14ac:dyDescent="0.25">
      <c r="A63" s="172" t="s">
        <v>226</v>
      </c>
      <c r="C63" s="178"/>
      <c r="D63" s="209"/>
      <c r="E63" s="212"/>
      <c r="F63" s="310"/>
      <c r="G63" s="192"/>
      <c r="H63" s="192"/>
    </row>
    <row r="64" spans="1:8" x14ac:dyDescent="0.25">
      <c r="B64" s="178" t="s">
        <v>234</v>
      </c>
      <c r="C64" s="178" t="s">
        <v>235</v>
      </c>
      <c r="D64" s="209">
        <f>'12ME Dec18 Data'!N30</f>
        <v>1199.4001036779719</v>
      </c>
      <c r="E64" s="194">
        <v>-11.790000000000077</v>
      </c>
      <c r="F64" s="311">
        <v>0</v>
      </c>
      <c r="G64" s="192">
        <f t="shared" si="0"/>
        <v>-14140.93</v>
      </c>
      <c r="H64" s="192">
        <f t="shared" si="1"/>
        <v>14140.927222363382</v>
      </c>
    </row>
    <row r="65" spans="1:8" x14ac:dyDescent="0.25">
      <c r="B65" s="191" t="s">
        <v>78</v>
      </c>
      <c r="C65" s="191" t="s">
        <v>204</v>
      </c>
      <c r="D65" s="209">
        <f>'12ME Dec18 Data'!N12</f>
        <v>697056</v>
      </c>
      <c r="E65" s="194">
        <v>-2.0000000000000018E-2</v>
      </c>
      <c r="F65" s="311">
        <v>0</v>
      </c>
      <c r="G65" s="192">
        <f t="shared" si="0"/>
        <v>-13941.12</v>
      </c>
      <c r="H65" s="192">
        <f t="shared" si="1"/>
        <v>13941.120000000012</v>
      </c>
    </row>
    <row r="66" spans="1:8" x14ac:dyDescent="0.25">
      <c r="B66" s="191"/>
      <c r="C66" s="191"/>
      <c r="D66" s="209"/>
      <c r="E66" s="212"/>
      <c r="F66" s="310"/>
      <c r="G66" s="192"/>
      <c r="H66" s="192"/>
    </row>
    <row r="67" spans="1:8" x14ac:dyDescent="0.25">
      <c r="B67" s="191" t="s">
        <v>79</v>
      </c>
      <c r="C67" s="191"/>
      <c r="D67" s="209"/>
      <c r="E67" s="212"/>
      <c r="F67" s="310"/>
      <c r="G67" s="192"/>
      <c r="H67" s="192"/>
    </row>
    <row r="68" spans="1:8" x14ac:dyDescent="0.25">
      <c r="B68" s="191" t="s">
        <v>223</v>
      </c>
      <c r="C68" s="191" t="s">
        <v>237</v>
      </c>
      <c r="D68" s="209">
        <f>'Normalized Therms'!$P$19*'12ME Dec18 Bill Freq'!N43</f>
        <v>28123063.68</v>
      </c>
      <c r="E68" s="135">
        <v>-1.3299999999999979E-3</v>
      </c>
      <c r="F68" s="310">
        <v>0</v>
      </c>
      <c r="G68" s="192">
        <f t="shared" si="0"/>
        <v>-37403.67</v>
      </c>
      <c r="H68" s="192">
        <f t="shared" si="1"/>
        <v>37403.674694399939</v>
      </c>
    </row>
    <row r="69" spans="1:8" x14ac:dyDescent="0.25">
      <c r="B69" s="191" t="s">
        <v>224</v>
      </c>
      <c r="C69" s="191" t="s">
        <v>237</v>
      </c>
      <c r="D69" s="209">
        <f>'Normalized Therms'!$P$19*'12ME Dec18 Bill Freq'!N44</f>
        <v>18732272.720000003</v>
      </c>
      <c r="E69" s="135">
        <v>-6.6000000000000086E-4</v>
      </c>
      <c r="F69" s="310">
        <v>0</v>
      </c>
      <c r="G69" s="192">
        <f t="shared" si="0"/>
        <v>-12363.3</v>
      </c>
      <c r="H69" s="192">
        <f t="shared" si="1"/>
        <v>12363.299995200017</v>
      </c>
    </row>
    <row r="70" spans="1:8" x14ac:dyDescent="0.25">
      <c r="B70" s="191" t="s">
        <v>227</v>
      </c>
      <c r="C70" s="191" t="s">
        <v>237</v>
      </c>
      <c r="D70" s="209">
        <f>'Normalized Therms'!$P$19*'12ME Dec18 Bill Freq'!N45</f>
        <v>27976821.810000002</v>
      </c>
      <c r="E70" s="135">
        <v>-6.2999999999999862E-4</v>
      </c>
      <c r="F70" s="310">
        <v>0</v>
      </c>
      <c r="G70" s="192">
        <f t="shared" si="0"/>
        <v>-17625.400000000001</v>
      </c>
      <c r="H70" s="192">
        <f t="shared" si="1"/>
        <v>17625.397740299963</v>
      </c>
    </row>
    <row r="71" spans="1:8" x14ac:dyDescent="0.25">
      <c r="B71" s="178"/>
      <c r="C71" s="178"/>
      <c r="D71" s="209"/>
      <c r="E71" s="212"/>
      <c r="F71" s="310"/>
      <c r="G71" s="192"/>
      <c r="H71" s="192"/>
    </row>
    <row r="72" spans="1:8" x14ac:dyDescent="0.25">
      <c r="A72" s="172" t="s">
        <v>228</v>
      </c>
      <c r="C72" s="178"/>
      <c r="D72" s="209"/>
      <c r="E72" s="212"/>
      <c r="F72" s="310"/>
      <c r="G72" s="192"/>
      <c r="H72" s="192"/>
    </row>
    <row r="73" spans="1:8" x14ac:dyDescent="0.25">
      <c r="B73" s="178" t="s">
        <v>234</v>
      </c>
      <c r="C73" s="178" t="s">
        <v>235</v>
      </c>
      <c r="D73" s="209">
        <f>'12ME Dec18 Data'!N31</f>
        <v>2661.5565121011946</v>
      </c>
      <c r="E73" s="194">
        <v>-1.9200000000000159</v>
      </c>
      <c r="F73" s="311">
        <v>0</v>
      </c>
      <c r="G73" s="192">
        <f t="shared" si="0"/>
        <v>-5110.1899999999996</v>
      </c>
      <c r="H73" s="192">
        <f t="shared" si="1"/>
        <v>5110.1885032343362</v>
      </c>
    </row>
    <row r="74" spans="1:8" x14ac:dyDescent="0.25">
      <c r="B74" s="191" t="s">
        <v>78</v>
      </c>
      <c r="C74" s="191" t="s">
        <v>204</v>
      </c>
      <c r="D74" s="209">
        <f>'12ME Dec18 Data'!N13</f>
        <v>82401.308999999994</v>
      </c>
      <c r="E74" s="194">
        <v>-2.0000000000000018E-2</v>
      </c>
      <c r="F74" s="311">
        <v>0</v>
      </c>
      <c r="G74" s="192">
        <f t="shared" ref="G74:G137" si="4">ROUND(E74*D74,2)</f>
        <v>-1648.03</v>
      </c>
      <c r="H74" s="192">
        <f t="shared" ref="H74:H137" si="5">(F74-E74)*D74</f>
        <v>1648.0261800000014</v>
      </c>
    </row>
    <row r="75" spans="1:8" x14ac:dyDescent="0.25">
      <c r="B75" s="191" t="s">
        <v>87</v>
      </c>
      <c r="C75" s="191" t="s">
        <v>237</v>
      </c>
      <c r="D75" s="209">
        <f>'Normalized Therms'!P15</f>
        <v>8752636.7929999996</v>
      </c>
      <c r="E75" s="135">
        <v>-1.2999999999999991E-4</v>
      </c>
      <c r="F75" s="310">
        <v>0</v>
      </c>
      <c r="G75" s="192">
        <f t="shared" si="4"/>
        <v>-1137.8399999999999</v>
      </c>
      <c r="H75" s="192">
        <f t="shared" si="5"/>
        <v>1137.8427830899991</v>
      </c>
    </row>
    <row r="76" spans="1:8" x14ac:dyDescent="0.25">
      <c r="B76" s="191"/>
      <c r="C76" s="191"/>
      <c r="D76" s="209"/>
      <c r="E76" s="212"/>
      <c r="F76" s="310"/>
      <c r="G76" s="192"/>
      <c r="H76" s="192"/>
    </row>
    <row r="77" spans="1:8" x14ac:dyDescent="0.25">
      <c r="B77" s="191" t="s">
        <v>79</v>
      </c>
      <c r="C77" s="191"/>
      <c r="D77" s="209"/>
      <c r="E77" s="212"/>
      <c r="F77" s="310"/>
      <c r="G77" s="192"/>
      <c r="H77" s="192"/>
    </row>
    <row r="78" spans="1:8" x14ac:dyDescent="0.25">
      <c r="B78" s="181" t="s">
        <v>94</v>
      </c>
      <c r="C78" s="181" t="s">
        <v>237</v>
      </c>
      <c r="D78" s="209">
        <f>'Normalized Therms'!$P$15*'12ME Dec18 Bill Freq'!N20</f>
        <v>2054251.2669999995</v>
      </c>
      <c r="E78" s="135">
        <v>-2.6599999999999957E-3</v>
      </c>
      <c r="F78" s="310">
        <v>0</v>
      </c>
      <c r="G78" s="192">
        <f t="shared" si="4"/>
        <v>-5464.31</v>
      </c>
      <c r="H78" s="192">
        <f t="shared" si="5"/>
        <v>5464.3083702199901</v>
      </c>
    </row>
    <row r="79" spans="1:8" x14ac:dyDescent="0.25">
      <c r="B79" s="181" t="s">
        <v>172</v>
      </c>
      <c r="C79" s="181" t="s">
        <v>237</v>
      </c>
      <c r="D79" s="209">
        <f>'Normalized Therms'!$P$15*'12ME Dec18 Bill Freq'!N21</f>
        <v>6698385.5259999987</v>
      </c>
      <c r="E79" s="135">
        <v>-1.8900000000000028E-3</v>
      </c>
      <c r="F79" s="310">
        <v>0</v>
      </c>
      <c r="G79" s="192">
        <f t="shared" si="4"/>
        <v>-12659.95</v>
      </c>
      <c r="H79" s="192">
        <f t="shared" si="5"/>
        <v>12659.948644140017</v>
      </c>
    </row>
    <row r="80" spans="1:8" x14ac:dyDescent="0.25">
      <c r="B80" s="178"/>
      <c r="C80" s="178"/>
      <c r="D80" s="209"/>
      <c r="E80" s="212"/>
      <c r="F80" s="310"/>
      <c r="G80" s="192"/>
      <c r="H80" s="192"/>
    </row>
    <row r="81" spans="1:8" x14ac:dyDescent="0.25">
      <c r="A81" s="172" t="s">
        <v>229</v>
      </c>
      <c r="C81" s="178"/>
      <c r="D81" s="209"/>
      <c r="E81" s="212"/>
      <c r="F81" s="310"/>
      <c r="G81" s="192"/>
      <c r="H81" s="192"/>
    </row>
    <row r="82" spans="1:8" x14ac:dyDescent="0.25">
      <c r="A82" s="191"/>
      <c r="B82" s="178" t="s">
        <v>234</v>
      </c>
      <c r="C82" s="178" t="s">
        <v>235</v>
      </c>
      <c r="D82" s="209">
        <f>'12ME Dec18 Data'!N32</f>
        <v>22.033330326537975</v>
      </c>
      <c r="E82" s="194">
        <v>-6.6999999999999886</v>
      </c>
      <c r="F82" s="311">
        <v>0</v>
      </c>
      <c r="G82" s="192">
        <f t="shared" si="4"/>
        <v>-147.62</v>
      </c>
      <c r="H82" s="192">
        <f t="shared" si="5"/>
        <v>147.62331318780417</v>
      </c>
    </row>
    <row r="83" spans="1:8" x14ac:dyDescent="0.25">
      <c r="A83" s="191"/>
      <c r="B83" s="191" t="s">
        <v>78</v>
      </c>
      <c r="C83" s="191" t="s">
        <v>204</v>
      </c>
      <c r="D83" s="209">
        <f>'12ME Dec18 Data'!N14</f>
        <v>9750</v>
      </c>
      <c r="E83" s="194">
        <v>-2.0000000000000018E-2</v>
      </c>
      <c r="F83" s="311">
        <v>0</v>
      </c>
      <c r="G83" s="192">
        <f t="shared" si="4"/>
        <v>-195</v>
      </c>
      <c r="H83" s="192">
        <f t="shared" si="5"/>
        <v>195.00000000000017</v>
      </c>
    </row>
    <row r="84" spans="1:8" x14ac:dyDescent="0.25">
      <c r="A84" s="191"/>
      <c r="B84" s="191" t="s">
        <v>240</v>
      </c>
      <c r="C84" s="191"/>
      <c r="D84" s="209"/>
      <c r="E84" s="212"/>
      <c r="F84" s="310"/>
      <c r="G84" s="192"/>
      <c r="H84" s="192"/>
    </row>
    <row r="85" spans="1:8" x14ac:dyDescent="0.25">
      <c r="A85" s="191"/>
      <c r="B85" s="191"/>
      <c r="C85" s="191"/>
      <c r="D85" s="209"/>
      <c r="E85" s="212"/>
      <c r="F85" s="310"/>
      <c r="G85" s="192"/>
      <c r="H85" s="192"/>
    </row>
    <row r="86" spans="1:8" x14ac:dyDescent="0.25">
      <c r="A86" s="191"/>
      <c r="B86" s="191" t="s">
        <v>79</v>
      </c>
      <c r="C86" s="191"/>
      <c r="D86" s="209"/>
      <c r="E86" s="212"/>
      <c r="F86" s="310"/>
      <c r="G86" s="192"/>
      <c r="H86" s="192"/>
    </row>
    <row r="87" spans="1:8" x14ac:dyDescent="0.25">
      <c r="A87" s="191"/>
      <c r="B87" s="181" t="s">
        <v>94</v>
      </c>
      <c r="C87" s="181" t="s">
        <v>237</v>
      </c>
      <c r="D87" s="209">
        <f>'Normalized Therms'!$P$20*'12ME Dec18 Bill Freq'!N50</f>
        <v>23011.74</v>
      </c>
      <c r="E87" s="135">
        <v>-2.9099999999999959E-3</v>
      </c>
      <c r="F87" s="310">
        <v>0</v>
      </c>
      <c r="G87" s="192">
        <f t="shared" si="4"/>
        <v>-66.959999999999994</v>
      </c>
      <c r="H87" s="192">
        <f t="shared" si="5"/>
        <v>66.964163399999904</v>
      </c>
    </row>
    <row r="88" spans="1:8" x14ac:dyDescent="0.25">
      <c r="A88" s="191"/>
      <c r="B88" s="181" t="s">
        <v>172</v>
      </c>
      <c r="C88" s="181" t="s">
        <v>237</v>
      </c>
      <c r="D88" s="209">
        <f>'Normalized Therms'!$P$20*'12ME Dec18 Bill Freq'!N51</f>
        <v>328276.40999999997</v>
      </c>
      <c r="E88" s="135">
        <v>-2.0600000000000063E-3</v>
      </c>
      <c r="F88" s="310">
        <v>0</v>
      </c>
      <c r="G88" s="192">
        <f t="shared" si="4"/>
        <v>-676.25</v>
      </c>
      <c r="H88" s="192">
        <f t="shared" si="5"/>
        <v>676.24940460000198</v>
      </c>
    </row>
    <row r="89" spans="1:8" x14ac:dyDescent="0.25">
      <c r="A89" s="191"/>
      <c r="B89" s="178"/>
      <c r="C89" s="178"/>
      <c r="D89" s="209"/>
      <c r="E89" s="212"/>
      <c r="F89" s="310"/>
      <c r="G89" s="192"/>
      <c r="H89" s="192"/>
    </row>
    <row r="90" spans="1:8" x14ac:dyDescent="0.25">
      <c r="A90" s="172" t="s">
        <v>230</v>
      </c>
      <c r="C90" s="178"/>
      <c r="D90" s="209"/>
      <c r="E90" s="212"/>
      <c r="F90" s="310"/>
      <c r="G90" s="192"/>
      <c r="H90" s="192"/>
    </row>
    <row r="91" spans="1:8" x14ac:dyDescent="0.25">
      <c r="B91" s="178" t="s">
        <v>234</v>
      </c>
      <c r="C91" s="178" t="s">
        <v>235</v>
      </c>
      <c r="D91" s="209">
        <f>'12ME Dec18 Data'!N33</f>
        <v>60.025001175986063</v>
      </c>
      <c r="E91" s="194">
        <v>-7.9800000000000182</v>
      </c>
      <c r="F91" s="311">
        <v>0</v>
      </c>
      <c r="G91" s="192">
        <f t="shared" si="4"/>
        <v>-479</v>
      </c>
      <c r="H91" s="192">
        <f t="shared" si="5"/>
        <v>478.99950938436984</v>
      </c>
    </row>
    <row r="92" spans="1:8" x14ac:dyDescent="0.25">
      <c r="B92" s="191" t="s">
        <v>78</v>
      </c>
      <c r="C92" s="191" t="s">
        <v>204</v>
      </c>
      <c r="D92" s="209">
        <f>'12ME Dec18 Data'!N15</f>
        <v>0</v>
      </c>
      <c r="E92" s="194">
        <v>-1.9999999999999796E-2</v>
      </c>
      <c r="F92" s="311">
        <v>0</v>
      </c>
      <c r="G92" s="192">
        <f t="shared" si="4"/>
        <v>0</v>
      </c>
      <c r="H92" s="192">
        <f t="shared" si="5"/>
        <v>0</v>
      </c>
    </row>
    <row r="93" spans="1:8" x14ac:dyDescent="0.25">
      <c r="B93" s="191" t="s">
        <v>87</v>
      </c>
      <c r="C93" s="191"/>
      <c r="D93" s="209">
        <f>'Normalized Therms'!P16</f>
        <v>22881723.659000002</v>
      </c>
      <c r="E93" s="135">
        <v>-8.9999999999999802E-5</v>
      </c>
      <c r="F93" s="310">
        <v>0</v>
      </c>
      <c r="G93" s="192">
        <f t="shared" si="4"/>
        <v>-2059.36</v>
      </c>
      <c r="H93" s="192">
        <f t="shared" si="5"/>
        <v>2059.3551293099958</v>
      </c>
    </row>
    <row r="94" spans="1:8" x14ac:dyDescent="0.25">
      <c r="B94" s="191"/>
      <c r="C94" s="191"/>
      <c r="D94" s="209"/>
      <c r="E94" s="212"/>
      <c r="F94" s="310"/>
      <c r="G94" s="192"/>
      <c r="H94" s="192"/>
    </row>
    <row r="95" spans="1:8" x14ac:dyDescent="0.25">
      <c r="B95" s="191" t="s">
        <v>79</v>
      </c>
      <c r="C95" s="191"/>
      <c r="D95" s="209"/>
      <c r="E95" s="212"/>
      <c r="F95" s="310"/>
      <c r="G95" s="192"/>
      <c r="H95" s="192"/>
    </row>
    <row r="96" spans="1:8" x14ac:dyDescent="0.25">
      <c r="B96" s="191" t="s">
        <v>223</v>
      </c>
      <c r="C96" s="191" t="s">
        <v>237</v>
      </c>
      <c r="D96" s="209">
        <f>'Normalized Therms'!$P$16*'12ME Dec18 Bill Freq'!N26</f>
        <v>1500625.1840000001</v>
      </c>
      <c r="E96" s="135">
        <v>-1.9899999999999918E-3</v>
      </c>
      <c r="F96" s="310">
        <v>0</v>
      </c>
      <c r="G96" s="192">
        <f t="shared" si="4"/>
        <v>-2986.24</v>
      </c>
      <c r="H96" s="192">
        <f t="shared" si="5"/>
        <v>2986.2441161599877</v>
      </c>
    </row>
    <row r="97" spans="1:8" x14ac:dyDescent="0.25">
      <c r="B97" s="191" t="s">
        <v>224</v>
      </c>
      <c r="C97" s="191" t="s">
        <v>237</v>
      </c>
      <c r="D97" s="209">
        <f>'Normalized Therms'!$P$16*'12ME Dec18 Bill Freq'!N27</f>
        <v>1470839.4029999999</v>
      </c>
      <c r="E97" s="135">
        <v>-1.1999999999999927E-3</v>
      </c>
      <c r="F97" s="310">
        <v>0</v>
      </c>
      <c r="G97" s="192">
        <f t="shared" si="4"/>
        <v>-1765.01</v>
      </c>
      <c r="H97" s="192">
        <f t="shared" si="5"/>
        <v>1765.0072835999893</v>
      </c>
    </row>
    <row r="98" spans="1:8" x14ac:dyDescent="0.25">
      <c r="B98" s="191" t="s">
        <v>227</v>
      </c>
      <c r="C98" s="191" t="s">
        <v>237</v>
      </c>
      <c r="D98" s="209">
        <f>'Normalized Therms'!$P$16*'12ME Dec18 Bill Freq'!N28</f>
        <v>2603460.2510000002</v>
      </c>
      <c r="E98" s="135">
        <v>-7.6999999999999985E-4</v>
      </c>
      <c r="F98" s="310">
        <v>0</v>
      </c>
      <c r="G98" s="192">
        <f t="shared" si="4"/>
        <v>-2004.66</v>
      </c>
      <c r="H98" s="192">
        <f t="shared" si="5"/>
        <v>2004.6643932699997</v>
      </c>
    </row>
    <row r="99" spans="1:8" x14ac:dyDescent="0.25">
      <c r="B99" s="191" t="s">
        <v>100</v>
      </c>
      <c r="C99" s="191" t="s">
        <v>237</v>
      </c>
      <c r="D99" s="209">
        <f>'Normalized Therms'!$P$16*'12ME Dec18 Bill Freq'!N29</f>
        <v>3197116.5289999996</v>
      </c>
      <c r="E99" s="135">
        <v>-4.8999999999999738E-4</v>
      </c>
      <c r="F99" s="310">
        <v>0</v>
      </c>
      <c r="G99" s="192">
        <f t="shared" si="4"/>
        <v>-1566.59</v>
      </c>
      <c r="H99" s="192">
        <f t="shared" si="5"/>
        <v>1566.5870992099915</v>
      </c>
    </row>
    <row r="100" spans="1:8" x14ac:dyDescent="0.25">
      <c r="B100" s="191" t="s">
        <v>101</v>
      </c>
      <c r="C100" s="191" t="s">
        <v>237</v>
      </c>
      <c r="D100" s="209">
        <f>'Normalized Therms'!$P$16*'12ME Dec18 Bill Freq'!N30</f>
        <v>3739136.7420000001</v>
      </c>
      <c r="E100" s="135">
        <v>-3.4999999999999962E-4</v>
      </c>
      <c r="F100" s="310">
        <v>0</v>
      </c>
      <c r="G100" s="192">
        <f t="shared" si="4"/>
        <v>-1308.7</v>
      </c>
      <c r="H100" s="192">
        <f t="shared" si="5"/>
        <v>1308.6978596999986</v>
      </c>
    </row>
    <row r="101" spans="1:8" x14ac:dyDescent="0.25">
      <c r="B101" s="191" t="s">
        <v>174</v>
      </c>
      <c r="C101" s="191" t="s">
        <v>237</v>
      </c>
      <c r="D101" s="209">
        <f>'Normalized Therms'!$P$16*'12ME Dec18 Bill Freq'!N31</f>
        <v>10370545.550000001</v>
      </c>
      <c r="E101" s="135">
        <v>-2.6999999999999941E-4</v>
      </c>
      <c r="F101" s="310">
        <v>0</v>
      </c>
      <c r="G101" s="192">
        <f t="shared" si="4"/>
        <v>-2800.05</v>
      </c>
      <c r="H101" s="192">
        <f t="shared" si="5"/>
        <v>2800.0472984999942</v>
      </c>
    </row>
    <row r="102" spans="1:8" x14ac:dyDescent="0.25">
      <c r="B102" s="178"/>
      <c r="C102" s="178"/>
      <c r="D102" s="209"/>
      <c r="E102" s="212"/>
      <c r="F102" s="310"/>
      <c r="G102" s="192"/>
      <c r="H102" s="192"/>
    </row>
    <row r="103" spans="1:8" x14ac:dyDescent="0.25">
      <c r="A103" s="172" t="s">
        <v>231</v>
      </c>
      <c r="C103" s="178"/>
      <c r="D103" s="209"/>
      <c r="E103" s="212"/>
      <c r="F103" s="310"/>
      <c r="G103" s="192"/>
      <c r="H103" s="192"/>
    </row>
    <row r="104" spans="1:8" x14ac:dyDescent="0.25">
      <c r="A104" s="191"/>
      <c r="B104" s="178" t="s">
        <v>234</v>
      </c>
      <c r="C104" s="178" t="s">
        <v>235</v>
      </c>
      <c r="D104" s="209">
        <f>'12ME Dec18 Data'!N34</f>
        <v>118.76667017913593</v>
      </c>
      <c r="E104" s="194">
        <v>-12.150000000000091</v>
      </c>
      <c r="F104" s="311">
        <v>0</v>
      </c>
      <c r="G104" s="192">
        <f t="shared" si="4"/>
        <v>-1443.02</v>
      </c>
      <c r="H104" s="192">
        <f t="shared" si="5"/>
        <v>1443.0150426765124</v>
      </c>
    </row>
    <row r="105" spans="1:8" x14ac:dyDescent="0.25">
      <c r="A105" s="191"/>
      <c r="B105" s="191" t="s">
        <v>78</v>
      </c>
      <c r="C105" s="191" t="s">
        <v>204</v>
      </c>
      <c r="D105" s="209">
        <f>'12ME Dec18 Data'!N16</f>
        <v>308558</v>
      </c>
      <c r="E105" s="194">
        <v>-1.9999999999999796E-2</v>
      </c>
      <c r="F105" s="311">
        <v>0</v>
      </c>
      <c r="G105" s="192">
        <f t="shared" si="4"/>
        <v>-6171.16</v>
      </c>
      <c r="H105" s="192">
        <f t="shared" si="5"/>
        <v>6171.1599999999371</v>
      </c>
    </row>
    <row r="106" spans="1:8" x14ac:dyDescent="0.25">
      <c r="A106" s="191"/>
      <c r="B106" s="191" t="s">
        <v>240</v>
      </c>
      <c r="C106" s="191"/>
      <c r="D106" s="209"/>
      <c r="E106" s="212"/>
      <c r="F106" s="310"/>
      <c r="G106" s="192"/>
      <c r="H106" s="192"/>
    </row>
    <row r="107" spans="1:8" x14ac:dyDescent="0.25">
      <c r="A107" s="191"/>
      <c r="B107" s="181"/>
      <c r="C107" s="191"/>
      <c r="D107" s="209"/>
      <c r="E107" s="212"/>
      <c r="F107" s="310"/>
      <c r="G107" s="192"/>
      <c r="H107" s="192"/>
    </row>
    <row r="108" spans="1:8" x14ac:dyDescent="0.25">
      <c r="A108" s="191"/>
      <c r="B108" s="191" t="s">
        <v>79</v>
      </c>
      <c r="C108" s="191"/>
      <c r="D108" s="209"/>
      <c r="E108" s="212"/>
      <c r="F108" s="310"/>
      <c r="G108" s="192"/>
      <c r="H108" s="192"/>
    </row>
    <row r="109" spans="1:8" x14ac:dyDescent="0.25">
      <c r="A109" s="191"/>
      <c r="B109" s="191" t="s">
        <v>223</v>
      </c>
      <c r="C109" s="191" t="s">
        <v>237</v>
      </c>
      <c r="D109" s="209">
        <f>'Normalized Therms'!$P$21*'12ME Dec18 Bill Freq'!N56</f>
        <v>2999999.9999999995</v>
      </c>
      <c r="E109" s="135">
        <v>-1.8900000000000028E-3</v>
      </c>
      <c r="F109" s="310">
        <v>0</v>
      </c>
      <c r="G109" s="192">
        <f t="shared" si="4"/>
        <v>-5670</v>
      </c>
      <c r="H109" s="192">
        <f t="shared" si="5"/>
        <v>5670.0000000000073</v>
      </c>
    </row>
    <row r="110" spans="1:8" x14ac:dyDescent="0.25">
      <c r="A110" s="191"/>
      <c r="B110" s="191" t="s">
        <v>224</v>
      </c>
      <c r="C110" s="191" t="s">
        <v>237</v>
      </c>
      <c r="D110" s="209">
        <f>'Normalized Therms'!$P$21*'12ME Dec18 Bill Freq'!N57</f>
        <v>2999999.9999999995</v>
      </c>
      <c r="E110" s="135">
        <v>-1.1400000000000021E-3</v>
      </c>
      <c r="F110" s="310">
        <v>0</v>
      </c>
      <c r="G110" s="192">
        <f t="shared" si="4"/>
        <v>-3420</v>
      </c>
      <c r="H110" s="192">
        <f t="shared" si="5"/>
        <v>3420.0000000000059</v>
      </c>
    </row>
    <row r="111" spans="1:8" x14ac:dyDescent="0.25">
      <c r="A111" s="191"/>
      <c r="B111" s="191" t="s">
        <v>227</v>
      </c>
      <c r="C111" s="191" t="s">
        <v>237</v>
      </c>
      <c r="D111" s="209">
        <f>'Normalized Therms'!$P$21*'12ME Dec18 Bill Freq'!N58</f>
        <v>5983755.4799999986</v>
      </c>
      <c r="E111" s="135">
        <v>-7.3000000000000148E-4</v>
      </c>
      <c r="F111" s="310">
        <v>0</v>
      </c>
      <c r="G111" s="192">
        <f t="shared" si="4"/>
        <v>-4368.1400000000003</v>
      </c>
      <c r="H111" s="192">
        <f t="shared" si="5"/>
        <v>4368.1415004000082</v>
      </c>
    </row>
    <row r="112" spans="1:8" x14ac:dyDescent="0.25">
      <c r="A112" s="191"/>
      <c r="B112" s="191" t="s">
        <v>100</v>
      </c>
      <c r="C112" s="191" t="s">
        <v>237</v>
      </c>
      <c r="D112" s="209">
        <f>'Normalized Therms'!$P$21*'12ME Dec18 Bill Freq'!N59</f>
        <v>11737512.85</v>
      </c>
      <c r="E112" s="135">
        <v>-4.699999999999982E-4</v>
      </c>
      <c r="F112" s="310">
        <v>0</v>
      </c>
      <c r="G112" s="192">
        <f t="shared" si="4"/>
        <v>-5516.63</v>
      </c>
      <c r="H112" s="192">
        <f t="shared" si="5"/>
        <v>5516.6310394999782</v>
      </c>
    </row>
    <row r="113" spans="1:8" x14ac:dyDescent="0.25">
      <c r="A113" s="191"/>
      <c r="B113" s="191" t="s">
        <v>101</v>
      </c>
      <c r="C113" s="191" t="s">
        <v>237</v>
      </c>
      <c r="D113" s="209">
        <f>'Normalized Therms'!$P$21*'12ME Dec18 Bill Freq'!N60</f>
        <v>26253607.009999998</v>
      </c>
      <c r="E113" s="135">
        <v>-3.4000000000000002E-4</v>
      </c>
      <c r="F113" s="310">
        <v>0</v>
      </c>
      <c r="G113" s="192">
        <f t="shared" si="4"/>
        <v>-8926.23</v>
      </c>
      <c r="H113" s="192">
        <f t="shared" si="5"/>
        <v>8926.2263834000005</v>
      </c>
    </row>
    <row r="114" spans="1:8" x14ac:dyDescent="0.25">
      <c r="A114" s="191"/>
      <c r="B114" s="191" t="s">
        <v>174</v>
      </c>
      <c r="C114" s="191" t="s">
        <v>237</v>
      </c>
      <c r="D114" s="209">
        <f>'Normalized Therms'!$P$21*'12ME Dec18 Bill Freq'!N61</f>
        <v>50252432.389999993</v>
      </c>
      <c r="E114" s="135">
        <v>-2.5999999999999981E-4</v>
      </c>
      <c r="F114" s="310">
        <v>0</v>
      </c>
      <c r="G114" s="192">
        <f t="shared" si="4"/>
        <v>-13065.63</v>
      </c>
      <c r="H114" s="192">
        <f t="shared" si="5"/>
        <v>13065.632421399989</v>
      </c>
    </row>
    <row r="115" spans="1:8" x14ac:dyDescent="0.25">
      <c r="A115" s="191"/>
      <c r="B115" s="191"/>
      <c r="C115" s="178"/>
      <c r="D115" s="209"/>
      <c r="E115" s="212"/>
      <c r="F115" s="310"/>
      <c r="G115" s="192"/>
      <c r="H115" s="192"/>
    </row>
    <row r="116" spans="1:8" x14ac:dyDescent="0.25">
      <c r="A116" s="172" t="s">
        <v>120</v>
      </c>
      <c r="B116" s="191"/>
      <c r="C116" s="191"/>
      <c r="D116" s="209"/>
      <c r="E116" s="212"/>
      <c r="F116" s="310"/>
      <c r="G116" s="192"/>
      <c r="H116" s="192"/>
    </row>
    <row r="117" spans="1:8" x14ac:dyDescent="0.25">
      <c r="B117" s="169" t="s">
        <v>121</v>
      </c>
      <c r="C117" s="169" t="s">
        <v>122</v>
      </c>
      <c r="D117" s="209">
        <f>'12ME Dec18 Rentals'!O5</f>
        <v>12263</v>
      </c>
      <c r="E117" s="194">
        <v>-0.10000000000000053</v>
      </c>
      <c r="F117" s="311">
        <v>0</v>
      </c>
      <c r="G117" s="192">
        <f t="shared" si="4"/>
        <v>-1226.3</v>
      </c>
      <c r="H117" s="192">
        <f t="shared" si="5"/>
        <v>1226.3000000000065</v>
      </c>
    </row>
    <row r="118" spans="1:8" x14ac:dyDescent="0.25">
      <c r="B118" s="169" t="s">
        <v>123</v>
      </c>
      <c r="C118" s="169" t="s">
        <v>124</v>
      </c>
      <c r="D118" s="209">
        <f>'12ME Dec18 Rentals'!O6</f>
        <v>190792</v>
      </c>
      <c r="E118" s="194">
        <v>-0.16999999999999993</v>
      </c>
      <c r="F118" s="311">
        <v>0</v>
      </c>
      <c r="G118" s="192">
        <f t="shared" si="4"/>
        <v>-32434.639999999999</v>
      </c>
      <c r="H118" s="192">
        <f t="shared" si="5"/>
        <v>32434.639999999985</v>
      </c>
    </row>
    <row r="119" spans="1:8" x14ac:dyDescent="0.25">
      <c r="B119" s="169" t="s">
        <v>125</v>
      </c>
      <c r="C119" s="169" t="s">
        <v>126</v>
      </c>
      <c r="D119" s="209">
        <f>'12ME Dec18 Rentals'!O7</f>
        <v>36011</v>
      </c>
      <c r="E119" s="194">
        <v>-0.22999999999999687</v>
      </c>
      <c r="F119" s="311">
        <v>0</v>
      </c>
      <c r="G119" s="192">
        <f t="shared" si="4"/>
        <v>-8282.5300000000007</v>
      </c>
      <c r="H119" s="192">
        <f t="shared" si="5"/>
        <v>8282.5299999998879</v>
      </c>
    </row>
    <row r="120" spans="1:8" x14ac:dyDescent="0.25">
      <c r="B120" s="169" t="s">
        <v>127</v>
      </c>
      <c r="C120" s="169" t="s">
        <v>128</v>
      </c>
      <c r="D120" s="209">
        <f>'12ME Dec18 Rentals'!O8</f>
        <v>7959</v>
      </c>
      <c r="E120" s="194">
        <v>-0.23000000000000043</v>
      </c>
      <c r="F120" s="311">
        <v>0</v>
      </c>
      <c r="G120" s="192">
        <f t="shared" si="4"/>
        <v>-1830.57</v>
      </c>
      <c r="H120" s="192">
        <f t="shared" si="5"/>
        <v>1830.5700000000033</v>
      </c>
    </row>
    <row r="121" spans="1:8" x14ac:dyDescent="0.25">
      <c r="B121" s="169" t="s">
        <v>129</v>
      </c>
      <c r="C121" s="169" t="s">
        <v>130</v>
      </c>
      <c r="D121" s="209">
        <f>'12ME Dec18 Rentals'!O9</f>
        <v>40377</v>
      </c>
      <c r="E121" s="194">
        <v>-8.0000000000000071E-2</v>
      </c>
      <c r="F121" s="311">
        <v>0</v>
      </c>
      <c r="G121" s="192">
        <f t="shared" si="4"/>
        <v>-3230.16</v>
      </c>
      <c r="H121" s="192">
        <f t="shared" si="5"/>
        <v>3230.160000000003</v>
      </c>
    </row>
    <row r="122" spans="1:8" x14ac:dyDescent="0.25">
      <c r="B122" s="169" t="s">
        <v>131</v>
      </c>
      <c r="C122" s="169" t="s">
        <v>132</v>
      </c>
      <c r="D122" s="209">
        <f>'12ME Dec18 Rentals'!O10</f>
        <v>2345</v>
      </c>
      <c r="E122" s="194">
        <v>-0.14000000000000057</v>
      </c>
      <c r="F122" s="311">
        <v>0</v>
      </c>
      <c r="G122" s="192">
        <f t="shared" si="4"/>
        <v>-328.3</v>
      </c>
      <c r="H122" s="192">
        <f t="shared" si="5"/>
        <v>328.30000000000132</v>
      </c>
    </row>
    <row r="123" spans="1:8" x14ac:dyDescent="0.25">
      <c r="B123" s="169"/>
      <c r="C123" s="191"/>
      <c r="D123" s="209"/>
      <c r="E123" s="212"/>
      <c r="F123" s="310"/>
      <c r="G123" s="192"/>
      <c r="H123" s="192"/>
    </row>
    <row r="124" spans="1:8" x14ac:dyDescent="0.25">
      <c r="A124" s="172" t="s">
        <v>134</v>
      </c>
      <c r="B124" s="169"/>
      <c r="C124" s="191"/>
      <c r="D124" s="209"/>
      <c r="E124" s="212"/>
      <c r="F124" s="310"/>
      <c r="G124" s="192"/>
      <c r="H124" s="192"/>
    </row>
    <row r="125" spans="1:8" x14ac:dyDescent="0.25">
      <c r="B125" s="169" t="s">
        <v>135</v>
      </c>
      <c r="C125" s="169" t="s">
        <v>136</v>
      </c>
      <c r="D125" s="209">
        <f>'12ME Dec18 Rentals'!O14</f>
        <v>1384</v>
      </c>
      <c r="E125" s="194">
        <v>-0.20000000000000107</v>
      </c>
      <c r="F125" s="311">
        <v>0</v>
      </c>
      <c r="G125" s="192">
        <f t="shared" si="4"/>
        <v>-276.8</v>
      </c>
      <c r="H125" s="192">
        <f t="shared" si="5"/>
        <v>276.80000000000149</v>
      </c>
    </row>
    <row r="126" spans="1:8" x14ac:dyDescent="0.25">
      <c r="B126" s="169" t="s">
        <v>137</v>
      </c>
      <c r="C126" s="169" t="s">
        <v>138</v>
      </c>
      <c r="D126" s="209">
        <f>'12ME Dec18 Rentals'!O15</f>
        <v>1036</v>
      </c>
      <c r="E126" s="194">
        <v>-0.27000000000000313</v>
      </c>
      <c r="F126" s="311">
        <v>0</v>
      </c>
      <c r="G126" s="192">
        <f t="shared" si="4"/>
        <v>-279.72000000000003</v>
      </c>
      <c r="H126" s="192">
        <f t="shared" si="5"/>
        <v>279.72000000000321</v>
      </c>
    </row>
    <row r="127" spans="1:8" x14ac:dyDescent="0.25">
      <c r="B127" s="169" t="s">
        <v>139</v>
      </c>
      <c r="C127" s="169" t="s">
        <v>140</v>
      </c>
      <c r="D127" s="209">
        <f>'12ME Dec18 Rentals'!O16</f>
        <v>2711</v>
      </c>
      <c r="E127" s="194">
        <v>-0.27000000000000313</v>
      </c>
      <c r="F127" s="311">
        <v>0</v>
      </c>
      <c r="G127" s="192">
        <f t="shared" si="4"/>
        <v>-731.97</v>
      </c>
      <c r="H127" s="192">
        <f t="shared" si="5"/>
        <v>731.97000000000844</v>
      </c>
    </row>
    <row r="128" spans="1:8" x14ac:dyDescent="0.25">
      <c r="B128" s="169" t="s">
        <v>141</v>
      </c>
      <c r="C128" s="169" t="s">
        <v>142</v>
      </c>
      <c r="D128" s="209">
        <f>'12ME Dec18 Rentals'!O17</f>
        <v>157</v>
      </c>
      <c r="E128" s="194">
        <v>-0.41999999999999815</v>
      </c>
      <c r="F128" s="311">
        <v>0</v>
      </c>
      <c r="G128" s="192">
        <f t="shared" si="4"/>
        <v>-65.94</v>
      </c>
      <c r="H128" s="192">
        <f t="shared" si="5"/>
        <v>65.939999999999714</v>
      </c>
    </row>
    <row r="129" spans="1:8" x14ac:dyDescent="0.25">
      <c r="B129" s="169" t="s">
        <v>143</v>
      </c>
      <c r="C129" s="169" t="s">
        <v>144</v>
      </c>
      <c r="D129" s="209">
        <f>'12ME Dec18 Rentals'!O18</f>
        <v>6638</v>
      </c>
      <c r="E129" s="194">
        <v>-0.54999999999999716</v>
      </c>
      <c r="F129" s="311">
        <v>0</v>
      </c>
      <c r="G129" s="192">
        <f t="shared" si="4"/>
        <v>-3650.9</v>
      </c>
      <c r="H129" s="192">
        <f t="shared" si="5"/>
        <v>3650.899999999981</v>
      </c>
    </row>
    <row r="130" spans="1:8" x14ac:dyDescent="0.25">
      <c r="B130" s="169" t="s">
        <v>145</v>
      </c>
      <c r="C130" s="169" t="s">
        <v>146</v>
      </c>
      <c r="D130" s="209">
        <f>'12ME Dec18 Rentals'!O19</f>
        <v>4526</v>
      </c>
      <c r="E130" s="194">
        <v>-0.74000000000000199</v>
      </c>
      <c r="F130" s="311">
        <v>0</v>
      </c>
      <c r="G130" s="192">
        <f t="shared" si="4"/>
        <v>-3349.24</v>
      </c>
      <c r="H130" s="192">
        <f t="shared" si="5"/>
        <v>3349.2400000000089</v>
      </c>
    </row>
    <row r="131" spans="1:8" x14ac:dyDescent="0.25">
      <c r="B131" s="169" t="s">
        <v>147</v>
      </c>
      <c r="C131" s="169" t="s">
        <v>148</v>
      </c>
      <c r="D131" s="209">
        <f>'12ME Dec18 Rentals'!O20</f>
        <v>13159</v>
      </c>
      <c r="E131" s="194">
        <v>-0.86000000000000654</v>
      </c>
      <c r="F131" s="311">
        <v>0</v>
      </c>
      <c r="G131" s="192">
        <f t="shared" si="4"/>
        <v>-11316.74</v>
      </c>
      <c r="H131" s="192">
        <f t="shared" si="5"/>
        <v>11316.740000000085</v>
      </c>
    </row>
    <row r="132" spans="1:8" x14ac:dyDescent="0.25">
      <c r="A132" s="178"/>
      <c r="B132" s="191"/>
      <c r="C132" s="191"/>
      <c r="D132" s="209"/>
      <c r="E132" s="212"/>
      <c r="F132" s="310"/>
      <c r="G132" s="192"/>
      <c r="H132" s="192"/>
    </row>
    <row r="133" spans="1:8" x14ac:dyDescent="0.25">
      <c r="A133" s="172" t="s">
        <v>150</v>
      </c>
      <c r="B133" s="191"/>
      <c r="C133" s="191"/>
      <c r="D133" s="209"/>
      <c r="E133" s="212"/>
      <c r="F133" s="310"/>
      <c r="G133" s="192"/>
      <c r="H133" s="192"/>
    </row>
    <row r="134" spans="1:8" x14ac:dyDescent="0.25">
      <c r="B134" s="169" t="s">
        <v>151</v>
      </c>
      <c r="C134" s="169" t="s">
        <v>152</v>
      </c>
      <c r="D134" s="209">
        <f>'12ME Dec18 Rentals'!O24</f>
        <v>11501</v>
      </c>
      <c r="E134" s="194">
        <v>-0.14000000000000057</v>
      </c>
      <c r="F134" s="311">
        <v>0</v>
      </c>
      <c r="G134" s="192">
        <f t="shared" si="4"/>
        <v>-1610.14</v>
      </c>
      <c r="H134" s="192">
        <f t="shared" si="5"/>
        <v>1610.1400000000065</v>
      </c>
    </row>
    <row r="135" spans="1:8" x14ac:dyDescent="0.25">
      <c r="B135" s="169" t="s">
        <v>153</v>
      </c>
      <c r="C135" s="169" t="s">
        <v>154</v>
      </c>
      <c r="D135" s="209">
        <f>'12ME Dec18 Rentals'!O25</f>
        <v>844</v>
      </c>
      <c r="E135" s="194">
        <v>-0.38000000000000256</v>
      </c>
      <c r="F135" s="311">
        <v>0</v>
      </c>
      <c r="G135" s="192">
        <f t="shared" si="4"/>
        <v>-320.72000000000003</v>
      </c>
      <c r="H135" s="192">
        <f t="shared" si="5"/>
        <v>320.72000000000219</v>
      </c>
    </row>
    <row r="136" spans="1:8" x14ac:dyDescent="0.25">
      <c r="B136" s="169" t="s">
        <v>155</v>
      </c>
      <c r="C136" s="169" t="s">
        <v>156</v>
      </c>
      <c r="D136" s="209">
        <f>'12ME Dec18 Rentals'!O26</f>
        <v>541</v>
      </c>
      <c r="E136" s="194">
        <v>-0.50999999999999801</v>
      </c>
      <c r="F136" s="311">
        <v>0</v>
      </c>
      <c r="G136" s="192">
        <f t="shared" si="4"/>
        <v>-275.91000000000003</v>
      </c>
      <c r="H136" s="192">
        <f t="shared" si="5"/>
        <v>275.90999999999894</v>
      </c>
    </row>
    <row r="137" spans="1:8" x14ac:dyDescent="0.25">
      <c r="B137" s="169" t="s">
        <v>157</v>
      </c>
      <c r="C137" s="169" t="s">
        <v>158</v>
      </c>
      <c r="D137" s="209">
        <f>'12ME Dec18 Rentals'!O27</f>
        <v>19205</v>
      </c>
      <c r="E137" s="194">
        <v>-0.20999999999999908</v>
      </c>
      <c r="F137" s="311">
        <v>0</v>
      </c>
      <c r="G137" s="192">
        <f t="shared" si="4"/>
        <v>-4033.05</v>
      </c>
      <c r="H137" s="192">
        <f t="shared" si="5"/>
        <v>4033.0499999999824</v>
      </c>
    </row>
    <row r="138" spans="1:8" x14ac:dyDescent="0.25">
      <c r="B138" s="191"/>
      <c r="C138" s="191"/>
      <c r="D138" s="210"/>
      <c r="F138" s="13"/>
      <c r="H138" s="192"/>
    </row>
    <row r="139" spans="1:8" x14ac:dyDescent="0.25">
      <c r="A139" s="152" t="s">
        <v>13</v>
      </c>
      <c r="B139" s="181"/>
      <c r="C139" s="181" t="s">
        <v>237</v>
      </c>
      <c r="D139" s="211">
        <f>'Normalized Therms'!P22</f>
        <v>37090866.75</v>
      </c>
      <c r="E139" s="194"/>
      <c r="G139" s="293">
        <v>-11662.625379653648</v>
      </c>
      <c r="H139" s="192">
        <f>-G139</f>
        <v>11662.625379653648</v>
      </c>
    </row>
    <row r="141" spans="1:8" x14ac:dyDescent="0.25">
      <c r="A141" s="190" t="s">
        <v>6</v>
      </c>
    </row>
    <row r="142" spans="1:8" x14ac:dyDescent="0.25">
      <c r="B142" s="190" t="s">
        <v>237</v>
      </c>
      <c r="D142" s="193">
        <f>SUM(D10,D14,D21,D26,D37:D39,D49:D51,D59:D61,D68:D70,D78:D79,D87:D88,D96:D101,D109:D114,D139)</f>
        <v>1191977753.5650001</v>
      </c>
    </row>
    <row r="143" spans="1:8" x14ac:dyDescent="0.25">
      <c r="B143" s="190" t="s">
        <v>204</v>
      </c>
      <c r="D143" s="193">
        <f>SUM(D34,D46,D55,D65,D74,D83,D92,D105)</f>
        <v>6811576.591</v>
      </c>
    </row>
    <row r="144" spans="1:8" x14ac:dyDescent="0.25">
      <c r="B144" s="190" t="s">
        <v>234</v>
      </c>
      <c r="D144" s="193">
        <f>SUM(D9,D13,D20,D25,D32,D44,D54,D64,D73,D82,D91,D104)</f>
        <v>10115573.875453494</v>
      </c>
    </row>
    <row r="146" spans="2:4" x14ac:dyDescent="0.25">
      <c r="B146" s="213" t="s">
        <v>241</v>
      </c>
      <c r="C146" s="191"/>
      <c r="D146" s="191"/>
    </row>
    <row r="147" spans="2:4" x14ac:dyDescent="0.25">
      <c r="B147" s="190" t="s">
        <v>243</v>
      </c>
      <c r="C147" s="190" t="s">
        <v>242</v>
      </c>
      <c r="D147" s="193">
        <f>SUM(D10,D14,D21,D26,D37:D39,D49:D51,D56,D68:D70,D75,D87:D88,D93,D109:D114,D139)-('Normalized Therms'!P23-'Normalized Therms'!P10)</f>
        <v>0</v>
      </c>
    </row>
    <row r="148" spans="2:4" x14ac:dyDescent="0.25">
      <c r="B148" s="190" t="s">
        <v>204</v>
      </c>
      <c r="D148" s="193">
        <f>SUM(D34,D46,D55,D65,D74,D83,D92,D105)-SUM('12ME Dec18 Data'!N9:N16)</f>
        <v>0</v>
      </c>
    </row>
    <row r="149" spans="2:4" x14ac:dyDescent="0.25">
      <c r="B149" s="190" t="s">
        <v>234</v>
      </c>
      <c r="D149" s="193">
        <f>SUM(D9,D13,D20,D25,D32,D44,D54,D64,D73,D82,D91,D104)-SUM('12ME Dec18 Data'!N23:N34)</f>
        <v>0</v>
      </c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2" fitToHeight="4" orientation="landscape" blackAndWhite="1" horizontalDpi="300" verticalDpi="300" r:id="rId1"/>
  <headerFooter>
    <oddFooter>&amp;L&amp;F 
&amp;A&amp;C&amp;P&amp;R&amp;D</oddFooter>
  </headerFooter>
  <rowBreaks count="4" manualBreakCount="4">
    <brk id="30" max="7" man="1"/>
    <brk id="62" max="7" man="1"/>
    <brk id="89" max="7" man="1"/>
    <brk id="123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C23" sqref="C23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6" width="16.28515625" customWidth="1"/>
    <col min="7" max="7" width="15.140625" customWidth="1"/>
    <col min="8" max="8" width="7.85546875" bestFit="1" customWidth="1"/>
  </cols>
  <sheetData>
    <row r="1" spans="1:9" s="75" customFormat="1" ht="12.75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74"/>
    </row>
    <row r="2" spans="1:9" s="75" customFormat="1" ht="12.75" x14ac:dyDescent="0.2">
      <c r="A2" s="397" t="s">
        <v>389</v>
      </c>
      <c r="B2" s="397"/>
      <c r="C2" s="397"/>
      <c r="D2" s="397"/>
      <c r="E2" s="397"/>
      <c r="F2" s="397"/>
      <c r="G2" s="397"/>
      <c r="H2" s="397"/>
      <c r="I2" s="74"/>
    </row>
    <row r="3" spans="1:9" s="75" customFormat="1" ht="12.75" x14ac:dyDescent="0.2">
      <c r="A3" s="397" t="s">
        <v>390</v>
      </c>
      <c r="B3" s="397"/>
      <c r="C3" s="397"/>
      <c r="D3" s="397"/>
      <c r="E3" s="397"/>
      <c r="F3" s="397"/>
      <c r="G3" s="397"/>
      <c r="H3" s="397"/>
      <c r="I3" s="74"/>
    </row>
    <row r="4" spans="1:9" x14ac:dyDescent="0.25">
      <c r="D4" s="315"/>
      <c r="E4" s="315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373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373</v>
      </c>
      <c r="E6" s="5" t="s">
        <v>373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35">
        <v>-1.0580000000000001E-2</v>
      </c>
      <c r="E8" s="135">
        <v>-1.0580000000000001E-2</v>
      </c>
      <c r="F8" s="161">
        <f>C8*D8</f>
        <v>-6492545.7969842404</v>
      </c>
      <c r="G8" s="12">
        <f>(E8-D8)*C8</f>
        <v>0</v>
      </c>
      <c r="H8" s="2"/>
    </row>
    <row r="9" spans="1:9" x14ac:dyDescent="0.25">
      <c r="A9" t="s">
        <v>31</v>
      </c>
      <c r="B9" s="8">
        <v>16</v>
      </c>
      <c r="C9" s="198">
        <f>'Normalized Therms'!P10</f>
        <v>9344.1039999999994</v>
      </c>
      <c r="D9" s="135">
        <v>-1.0580000000000001E-2</v>
      </c>
      <c r="E9" s="135">
        <v>-1.0580000000000001E-2</v>
      </c>
      <c r="F9" s="161">
        <f t="shared" ref="F9:F19" si="0">C9*D9</f>
        <v>-98.860620319999995</v>
      </c>
      <c r="G9" s="12">
        <f t="shared" ref="G9:G20" si="1">(E9-D9)*C9</f>
        <v>0</v>
      </c>
      <c r="H9" s="2"/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35">
        <v>-1.1730000000000001E-2</v>
      </c>
      <c r="E10" s="135">
        <v>-1.1730000000000001E-2</v>
      </c>
      <c r="F10" s="161">
        <f t="shared" si="0"/>
        <v>-2724236.4646521905</v>
      </c>
      <c r="G10" s="12">
        <f>(E10-D10)*C10</f>
        <v>0</v>
      </c>
      <c r="H10" s="2"/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35">
        <v>-4.6600000000000001E-3</v>
      </c>
      <c r="E11" s="135">
        <v>-4.6600000000000001E-3</v>
      </c>
      <c r="F11" s="161">
        <f t="shared" si="0"/>
        <v>-305220.04884028004</v>
      </c>
      <c r="G11" s="12">
        <f t="shared" si="1"/>
        <v>0</v>
      </c>
      <c r="H11" s="2"/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35">
        <v>-2.5600000000000002E-3</v>
      </c>
      <c r="E12" s="135">
        <v>-2.5600000000000002E-3</v>
      </c>
      <c r="F12" s="161">
        <f t="shared" si="0"/>
        <v>-40417.276298240009</v>
      </c>
      <c r="G12" s="12">
        <f t="shared" si="1"/>
        <v>0</v>
      </c>
      <c r="H12" s="2"/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35">
        <v>-4.1700000000000001E-3</v>
      </c>
      <c r="E13" s="135">
        <v>-4.1700000000000001E-3</v>
      </c>
      <c r="F13" s="161">
        <f t="shared" si="0"/>
        <v>-36498.495426809997</v>
      </c>
      <c r="G13" s="12">
        <f t="shared" si="1"/>
        <v>0</v>
      </c>
      <c r="H13" s="2"/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35">
        <v>-1.3799999999999999E-3</v>
      </c>
      <c r="E14" s="135">
        <v>-1.3799999999999999E-3</v>
      </c>
      <c r="F14" s="161">
        <f t="shared" si="0"/>
        <v>-31576.778649420001</v>
      </c>
      <c r="G14" s="12">
        <f t="shared" si="1"/>
        <v>0</v>
      </c>
      <c r="H14" s="2"/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35">
        <v>-1.1730000000000001E-2</v>
      </c>
      <c r="E15" s="135">
        <v>-1.1730000000000001E-2</v>
      </c>
      <c r="F15" s="161">
        <f t="shared" si="0"/>
        <v>-369.47400329999999</v>
      </c>
      <c r="G15" s="12">
        <f t="shared" si="1"/>
        <v>0</v>
      </c>
      <c r="H15" s="2"/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35">
        <v>-4.6600000000000001E-3</v>
      </c>
      <c r="E16" s="135">
        <v>-4.6600000000000001E-3</v>
      </c>
      <c r="F16" s="161">
        <f t="shared" si="0"/>
        <v>-96075.287197200014</v>
      </c>
      <c r="G16" s="12">
        <f t="shared" si="1"/>
        <v>0</v>
      </c>
      <c r="H16" s="2"/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35">
        <v>-2.5600000000000002E-3</v>
      </c>
      <c r="E17" s="135">
        <v>-2.5600000000000002E-3</v>
      </c>
      <c r="F17" s="161">
        <f t="shared" si="0"/>
        <v>-191570.32501760003</v>
      </c>
      <c r="G17" s="12">
        <f t="shared" si="1"/>
        <v>0</v>
      </c>
      <c r="H17" s="2"/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35">
        <v>-4.1700000000000001E-3</v>
      </c>
      <c r="E18" s="135">
        <v>-4.1700000000000001E-3</v>
      </c>
      <c r="F18" s="161">
        <f t="shared" si="0"/>
        <v>-1464.8715854999998</v>
      </c>
      <c r="G18" s="12">
        <f t="shared" si="1"/>
        <v>0</v>
      </c>
      <c r="H18" s="2"/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35">
        <v>-1.3799999999999999E-3</v>
      </c>
      <c r="E19" s="135">
        <v>-1.3799999999999999E-3</v>
      </c>
      <c r="F19" s="161">
        <f t="shared" si="0"/>
        <v>-138313.68466739997</v>
      </c>
      <c r="G19" s="12">
        <f t="shared" si="1"/>
        <v>0</v>
      </c>
      <c r="H19" s="2"/>
    </row>
    <row r="20" spans="1:11" x14ac:dyDescent="0.25">
      <c r="A20" t="s">
        <v>13</v>
      </c>
      <c r="C20" s="183">
        <f>'Normalized Therms'!P22</f>
        <v>37090866.75</v>
      </c>
      <c r="D20" s="14">
        <v>-1.74E-3</v>
      </c>
      <c r="E20" s="14">
        <v>-1.74E-3</v>
      </c>
      <c r="F20" s="161">
        <f>C20*D20</f>
        <v>-64538.108144999998</v>
      </c>
      <c r="G20" s="12">
        <f t="shared" si="1"/>
        <v>0</v>
      </c>
      <c r="H20" s="2"/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2">SUM(F8:F20)</f>
        <v>-10122925.472087499</v>
      </c>
      <c r="G21" s="16">
        <f t="shared" si="2"/>
        <v>0</v>
      </c>
      <c r="H21" s="3">
        <f>G21/F21</f>
        <v>0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-7.0000000000000007E-2</v>
      </c>
      <c r="E23" s="26">
        <v>-7.0000000000000007E-2</v>
      </c>
      <c r="F23" s="161">
        <f>D23*C23</f>
        <v>-24601.430000000004</v>
      </c>
      <c r="G23" s="12">
        <f t="shared" ref="G23" si="3">(E23-D23)*C23</f>
        <v>0</v>
      </c>
      <c r="H23" s="2"/>
      <c r="I23" s="27"/>
      <c r="J23" s="25"/>
      <c r="K23" s="28"/>
    </row>
    <row r="24" spans="1:11" s="24" customFormat="1" x14ac:dyDescent="0.25">
      <c r="A24" s="197" t="s">
        <v>6</v>
      </c>
      <c r="B24" s="197"/>
      <c r="C24" s="31"/>
      <c r="D24" s="31"/>
      <c r="E24" s="31"/>
      <c r="F24" s="30">
        <f t="shared" ref="F24:G24" si="4">F21+F23</f>
        <v>-10147526.902087498</v>
      </c>
      <c r="G24" s="30">
        <f t="shared" si="4"/>
        <v>0</v>
      </c>
      <c r="H24" s="3">
        <f t="shared" ref="H24" si="5">G24/F24</f>
        <v>0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zoomScaleNormal="100" workbookViewId="0">
      <pane ySplit="8" topLeftCell="A9" activePane="bottomLeft" state="frozen"/>
      <selection pane="bottomLeft" activeCell="L30" sqref="L30"/>
    </sheetView>
  </sheetViews>
  <sheetFormatPr defaultColWidth="9.140625" defaultRowHeight="12.75" x14ac:dyDescent="0.2"/>
  <cols>
    <col min="1" max="1" width="2.5703125" style="105" customWidth="1"/>
    <col min="2" max="2" width="24.85546875" style="105" customWidth="1"/>
    <col min="3" max="3" width="8.7109375" style="105" bestFit="1" customWidth="1"/>
    <col min="4" max="5" width="16.5703125" style="105" bestFit="1" customWidth="1"/>
    <col min="6" max="6" width="11.7109375" style="105" customWidth="1"/>
    <col min="7" max="7" width="18" style="105" bestFit="1" customWidth="1"/>
    <col min="8" max="8" width="18" style="105" customWidth="1"/>
    <col min="9" max="9" width="15.5703125" style="105" customWidth="1"/>
    <col min="10" max="11" width="9.140625" style="105"/>
    <col min="12" max="13" width="11.28515625" style="105" bestFit="1" customWidth="1"/>
    <col min="14" max="14" width="9.7109375" style="105" bestFit="1" customWidth="1"/>
    <col min="15" max="16384" width="9.140625" style="105"/>
  </cols>
  <sheetData>
    <row r="1" spans="1:13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104"/>
    </row>
    <row r="2" spans="1:13" x14ac:dyDescent="0.2">
      <c r="A2" s="397" t="s">
        <v>344</v>
      </c>
      <c r="B2" s="397"/>
      <c r="C2" s="397"/>
      <c r="D2" s="397"/>
      <c r="E2" s="397"/>
      <c r="F2" s="397"/>
      <c r="G2" s="397"/>
      <c r="H2" s="397"/>
      <c r="I2" s="104"/>
    </row>
    <row r="3" spans="1:13" x14ac:dyDescent="0.2">
      <c r="A3" s="397" t="s">
        <v>390</v>
      </c>
      <c r="B3" s="397"/>
      <c r="C3" s="397"/>
      <c r="D3" s="397"/>
      <c r="E3" s="397"/>
      <c r="F3" s="397"/>
      <c r="G3" s="397"/>
      <c r="H3" s="397"/>
      <c r="I3" s="104"/>
    </row>
    <row r="4" spans="1:13" x14ac:dyDescent="0.2">
      <c r="A4" s="159"/>
      <c r="B4" s="159"/>
      <c r="C4" s="159"/>
      <c r="D4" s="159"/>
      <c r="E4" s="159"/>
      <c r="F4" s="159"/>
      <c r="G4" s="159"/>
      <c r="H4" s="159"/>
      <c r="I4" s="104"/>
    </row>
    <row r="5" spans="1:13" x14ac:dyDescent="0.2">
      <c r="A5" s="234"/>
      <c r="B5" s="234"/>
      <c r="C5" s="234"/>
      <c r="D5" s="234"/>
      <c r="E5" s="234"/>
      <c r="F5" s="234"/>
      <c r="G5" s="234"/>
      <c r="H5" s="104"/>
    </row>
    <row r="6" spans="1:13" ht="15" customHeight="1" x14ac:dyDescent="0.25">
      <c r="C6" s="234"/>
      <c r="D6" s="5" t="s">
        <v>15</v>
      </c>
      <c r="E6" s="107" t="s">
        <v>5</v>
      </c>
      <c r="F6" s="107" t="s">
        <v>1</v>
      </c>
      <c r="G6" s="5"/>
      <c r="H6" s="234" t="s">
        <v>72</v>
      </c>
    </row>
    <row r="7" spans="1:13" ht="15" customHeight="1" x14ac:dyDescent="0.25">
      <c r="C7" s="234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234" t="s">
        <v>74</v>
      </c>
    </row>
    <row r="8" spans="1:13" ht="15" x14ac:dyDescent="0.25">
      <c r="A8" s="236" t="s">
        <v>117</v>
      </c>
      <c r="B8" s="236"/>
      <c r="C8" s="237" t="s">
        <v>21</v>
      </c>
      <c r="D8" s="238" t="str">
        <f>'Base Rate Impacts'!$D$8</f>
        <v>Jan 18 - Dec 18</v>
      </c>
      <c r="E8" s="239" t="s">
        <v>22</v>
      </c>
      <c r="F8" s="239" t="s">
        <v>22</v>
      </c>
      <c r="G8" s="237" t="s">
        <v>247</v>
      </c>
      <c r="H8" s="237" t="s">
        <v>244</v>
      </c>
    </row>
    <row r="9" spans="1:13" x14ac:dyDescent="0.2">
      <c r="A9" s="111"/>
      <c r="B9" s="111"/>
      <c r="C9" s="111"/>
      <c r="D9" s="144"/>
      <c r="E9" s="112"/>
      <c r="F9" s="112"/>
      <c r="G9" s="111"/>
      <c r="H9" s="110"/>
    </row>
    <row r="10" spans="1:13" x14ac:dyDescent="0.2">
      <c r="A10" s="105" t="s">
        <v>7</v>
      </c>
      <c r="C10" s="234" t="s">
        <v>75</v>
      </c>
      <c r="D10" s="143">
        <f>SUM('Normalized Therms'!P9,'Normalized Therms'!P11)</f>
        <v>613662173.62800002</v>
      </c>
      <c r="E10" s="116">
        <v>1.9550000000000001E-2</v>
      </c>
      <c r="F10" s="116">
        <v>1.9550000000000001E-2</v>
      </c>
      <c r="G10" s="114">
        <f>ROUND(E10*D10,2)</f>
        <v>11997095.49</v>
      </c>
      <c r="H10" s="114">
        <f>ROUND((F10-E10)*D10,2)</f>
        <v>0</v>
      </c>
      <c r="K10" s="114"/>
      <c r="L10" s="114"/>
      <c r="M10" s="114"/>
    </row>
    <row r="11" spans="1:13" x14ac:dyDescent="0.2">
      <c r="C11" s="234"/>
      <c r="D11" s="145"/>
      <c r="E11" s="116"/>
      <c r="F11" s="116"/>
      <c r="G11" s="114"/>
      <c r="H11" s="114"/>
      <c r="K11" s="114"/>
      <c r="L11" s="114"/>
      <c r="M11" s="114"/>
    </row>
    <row r="12" spans="1:13" x14ac:dyDescent="0.2">
      <c r="A12" s="105" t="s">
        <v>76</v>
      </c>
      <c r="C12" s="234">
        <v>31</v>
      </c>
      <c r="K12" s="114"/>
      <c r="L12" s="114"/>
      <c r="M12" s="114"/>
    </row>
    <row r="13" spans="1:13" x14ac:dyDescent="0.2">
      <c r="B13" s="105" t="s">
        <v>79</v>
      </c>
      <c r="C13" s="234"/>
      <c r="D13" s="143">
        <f>'Normalized Therms'!$P$12</f>
        <v>232245222.90300003</v>
      </c>
      <c r="E13" s="116">
        <v>-1.0099999999999998E-2</v>
      </c>
      <c r="F13" s="116">
        <v>-1.0099999999999998E-2</v>
      </c>
      <c r="G13" s="114">
        <f>ROUND(E13*D13,2)</f>
        <v>-2345676.75</v>
      </c>
      <c r="H13" s="114">
        <f>ROUND((F13-E13)*D13,2)</f>
        <v>0</v>
      </c>
      <c r="K13" s="114"/>
      <c r="L13" s="114"/>
      <c r="M13" s="114"/>
    </row>
    <row r="14" spans="1:13" x14ac:dyDescent="0.2">
      <c r="B14" s="105" t="s">
        <v>87</v>
      </c>
      <c r="C14" s="234"/>
      <c r="D14" s="143">
        <f>'Normalized Therms'!$P$12</f>
        <v>232245222.90300003</v>
      </c>
      <c r="E14" s="116">
        <v>-2.9999999999999992E-4</v>
      </c>
      <c r="F14" s="116">
        <v>-2.9999999999999992E-4</v>
      </c>
      <c r="G14" s="114">
        <f>ROUND(E14*D14,2)</f>
        <v>-69673.570000000007</v>
      </c>
      <c r="H14" s="114">
        <f>ROUND((F14-E14)*D14,2)</f>
        <v>0</v>
      </c>
      <c r="K14" s="114"/>
      <c r="L14" s="114"/>
      <c r="M14" s="114"/>
    </row>
    <row r="15" spans="1:13" x14ac:dyDescent="0.2">
      <c r="B15" s="105" t="s">
        <v>6</v>
      </c>
      <c r="C15" s="234"/>
      <c r="D15" s="143"/>
      <c r="E15" s="116"/>
      <c r="F15" s="116"/>
      <c r="G15" s="160">
        <f>SUM(G13:G14)</f>
        <v>-2415350.3199999998</v>
      </c>
      <c r="H15" s="160">
        <f>SUM(H13:H14)</f>
        <v>0</v>
      </c>
      <c r="K15" s="114"/>
      <c r="L15" s="114"/>
      <c r="M15" s="114"/>
    </row>
    <row r="16" spans="1:13" x14ac:dyDescent="0.2">
      <c r="C16" s="234"/>
      <c r="D16" s="145"/>
      <c r="E16" s="116"/>
      <c r="F16" s="116"/>
      <c r="G16" s="114"/>
      <c r="H16" s="114"/>
      <c r="K16" s="114"/>
      <c r="L16" s="114"/>
      <c r="M16" s="114"/>
    </row>
    <row r="17" spans="1:13" x14ac:dyDescent="0.2">
      <c r="A17" s="105" t="s">
        <v>211</v>
      </c>
      <c r="C17" s="234" t="s">
        <v>33</v>
      </c>
      <c r="D17" s="145"/>
      <c r="E17" s="116"/>
      <c r="F17" s="116"/>
      <c r="G17" s="114"/>
      <c r="H17" s="114"/>
      <c r="K17" s="114"/>
      <c r="L17" s="114"/>
      <c r="M17" s="114"/>
    </row>
    <row r="18" spans="1:13" x14ac:dyDescent="0.2">
      <c r="B18" s="105" t="s">
        <v>79</v>
      </c>
      <c r="C18" s="234"/>
      <c r="D18" s="143">
        <f>'Normalized Therms'!P17</f>
        <v>31498.21</v>
      </c>
      <c r="E18" s="116">
        <v>-9.8799999999999999E-3</v>
      </c>
      <c r="F18" s="116">
        <v>-9.8799999999999999E-3</v>
      </c>
      <c r="G18" s="114">
        <f>ROUND(E18*D18,2)</f>
        <v>-311.2</v>
      </c>
      <c r="H18" s="114">
        <f t="shared" ref="H18:H52" si="0">ROUND((F18-E18)*D18,2)</f>
        <v>0</v>
      </c>
      <c r="K18" s="114"/>
      <c r="L18" s="114"/>
      <c r="M18" s="114"/>
    </row>
    <row r="19" spans="1:13" x14ac:dyDescent="0.2">
      <c r="B19" s="105" t="s">
        <v>83</v>
      </c>
      <c r="C19" s="234"/>
      <c r="D19" s="143">
        <f>D18</f>
        <v>31498.21</v>
      </c>
      <c r="E19" s="116">
        <v>0</v>
      </c>
      <c r="F19" s="116">
        <v>0</v>
      </c>
      <c r="G19" s="114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">
      <c r="B20" s="105" t="s">
        <v>6</v>
      </c>
      <c r="C20" s="234"/>
      <c r="D20" s="143"/>
      <c r="E20" s="116"/>
      <c r="F20" s="116"/>
      <c r="G20" s="160">
        <f>SUM(G18:G19)</f>
        <v>-311.2</v>
      </c>
      <c r="H20" s="160">
        <f>SUM(H18:H19)</f>
        <v>0</v>
      </c>
      <c r="K20" s="114"/>
      <c r="L20" s="114"/>
      <c r="M20" s="114"/>
    </row>
    <row r="21" spans="1:13" x14ac:dyDescent="0.2">
      <c r="C21" s="234"/>
      <c r="D21" s="145"/>
      <c r="E21" s="116"/>
      <c r="F21" s="116"/>
      <c r="G21" s="114"/>
      <c r="H21" s="114"/>
      <c r="K21" s="114"/>
      <c r="L21" s="114"/>
      <c r="M21" s="114"/>
    </row>
    <row r="22" spans="1:13" x14ac:dyDescent="0.2">
      <c r="A22" s="105" t="s">
        <v>77</v>
      </c>
      <c r="C22" s="234">
        <v>41</v>
      </c>
      <c r="D22" s="143"/>
      <c r="E22" s="116"/>
      <c r="F22" s="116"/>
      <c r="G22" s="114"/>
      <c r="H22" s="114"/>
      <c r="K22" s="114"/>
      <c r="L22" s="114"/>
      <c r="M22" s="114"/>
    </row>
    <row r="23" spans="1:13" x14ac:dyDescent="0.2">
      <c r="B23" s="105" t="s">
        <v>78</v>
      </c>
      <c r="C23" s="234"/>
      <c r="D23" s="143">
        <f>'12ME Dec18 Data'!N9</f>
        <v>4466417.6739999996</v>
      </c>
      <c r="E23" s="117">
        <v>-1.0000000000000009E-2</v>
      </c>
      <c r="F23" s="117">
        <v>-1.0000000000000009E-2</v>
      </c>
      <c r="G23" s="114">
        <f>ROUND(E23*D23,2)</f>
        <v>-44664.18</v>
      </c>
      <c r="H23" s="114">
        <f t="shared" si="0"/>
        <v>0</v>
      </c>
      <c r="K23" s="114"/>
      <c r="L23" s="114"/>
      <c r="M23" s="114"/>
    </row>
    <row r="24" spans="1:13" x14ac:dyDescent="0.2">
      <c r="B24" s="105" t="s">
        <v>87</v>
      </c>
      <c r="C24" s="234"/>
      <c r="D24" s="143">
        <f>'Normalized Therms'!P13</f>
        <v>65497864.558000013</v>
      </c>
      <c r="E24" s="116">
        <v>-4.0000000000000105E-5</v>
      </c>
      <c r="F24" s="116">
        <v>-4.0000000000000105E-5</v>
      </c>
      <c r="G24" s="114">
        <f>ROUND(E24*D24,2)</f>
        <v>-2619.91</v>
      </c>
      <c r="H24" s="114">
        <f t="shared" si="0"/>
        <v>0</v>
      </c>
      <c r="K24" s="114"/>
      <c r="L24" s="114"/>
      <c r="M24" s="114"/>
    </row>
    <row r="25" spans="1:13" x14ac:dyDescent="0.2">
      <c r="B25" s="105" t="s">
        <v>79</v>
      </c>
      <c r="C25" s="234"/>
      <c r="D25" s="143"/>
      <c r="E25" s="116"/>
      <c r="F25" s="116"/>
      <c r="G25" s="114"/>
      <c r="H25" s="114"/>
      <c r="K25" s="114"/>
      <c r="L25" s="114"/>
      <c r="M25" s="114"/>
    </row>
    <row r="26" spans="1:13" x14ac:dyDescent="0.2">
      <c r="B26" s="105" t="s">
        <v>80</v>
      </c>
      <c r="C26" s="234"/>
      <c r="D26" s="143">
        <f>'Normalized Therms'!$P$13*'12ME Dec18 Bill Freq'!N7</f>
        <v>29572063.337000009</v>
      </c>
      <c r="E26" s="116">
        <v>-7.5999999999998291E-4</v>
      </c>
      <c r="F26" s="116">
        <v>-7.5999999999998291E-4</v>
      </c>
      <c r="G26" s="114">
        <f>ROUND(E26*D26,2)</f>
        <v>-22474.77</v>
      </c>
      <c r="H26" s="114">
        <f t="shared" si="0"/>
        <v>0</v>
      </c>
      <c r="K26" s="114"/>
      <c r="L26" s="114"/>
      <c r="M26" s="114"/>
    </row>
    <row r="27" spans="1:13" x14ac:dyDescent="0.2">
      <c r="B27" s="105" t="s">
        <v>81</v>
      </c>
      <c r="C27" s="234"/>
      <c r="D27" s="143">
        <f>'Normalized Therms'!$P$13*'12ME Dec18 Bill Freq'!N8</f>
        <v>22537947.382000003</v>
      </c>
      <c r="E27" s="116">
        <v>-6.0999999999999943E-4</v>
      </c>
      <c r="F27" s="116">
        <v>-6.0999999999999943E-4</v>
      </c>
      <c r="G27" s="240">
        <f>ROUND(E27*D27,2)</f>
        <v>-13748.15</v>
      </c>
      <c r="H27" s="114">
        <f t="shared" si="0"/>
        <v>0</v>
      </c>
      <c r="K27" s="114"/>
      <c r="L27" s="114"/>
      <c r="M27" s="114"/>
    </row>
    <row r="28" spans="1:13" x14ac:dyDescent="0.2">
      <c r="B28" s="105" t="s">
        <v>6</v>
      </c>
      <c r="C28" s="234"/>
      <c r="D28" s="143"/>
      <c r="E28" s="116"/>
      <c r="F28" s="116"/>
      <c r="G28" s="114">
        <f>SUM(G23:G27)</f>
        <v>-83507.009999999995</v>
      </c>
      <c r="H28" s="160">
        <f>SUM(H23:H27)</f>
        <v>0</v>
      </c>
      <c r="K28" s="114"/>
      <c r="L28" s="114"/>
      <c r="M28" s="114"/>
    </row>
    <row r="29" spans="1:13" x14ac:dyDescent="0.2">
      <c r="C29" s="234"/>
      <c r="D29" s="145"/>
      <c r="E29" s="116"/>
      <c r="F29" s="116"/>
      <c r="G29" s="114"/>
      <c r="H29" s="114"/>
      <c r="K29" s="114"/>
      <c r="L29" s="114"/>
      <c r="M29" s="114"/>
    </row>
    <row r="30" spans="1:13" x14ac:dyDescent="0.2">
      <c r="A30" s="105" t="s">
        <v>82</v>
      </c>
      <c r="C30" s="234" t="s">
        <v>35</v>
      </c>
      <c r="D30" s="143"/>
      <c r="E30" s="116"/>
      <c r="F30" s="116"/>
      <c r="G30" s="114"/>
      <c r="H30" s="114"/>
      <c r="K30" s="114"/>
      <c r="L30" s="114"/>
      <c r="M30" s="114"/>
    </row>
    <row r="31" spans="1:13" x14ac:dyDescent="0.2">
      <c r="B31" s="105" t="s">
        <v>78</v>
      </c>
      <c r="C31" s="234"/>
      <c r="D31" s="143">
        <f>'12ME Dec18 Data'!N10</f>
        <v>1160980.7009999999</v>
      </c>
      <c r="E31" s="117">
        <v>-1.0000000000000009E-2</v>
      </c>
      <c r="F31" s="117">
        <v>-1.0000000000000009E-2</v>
      </c>
      <c r="G31" s="114">
        <f>ROUND(E31*D31,2)</f>
        <v>-11609.81</v>
      </c>
      <c r="H31" s="114">
        <f t="shared" si="0"/>
        <v>0</v>
      </c>
      <c r="K31" s="114"/>
      <c r="L31" s="114"/>
      <c r="M31" s="114"/>
    </row>
    <row r="32" spans="1:13" x14ac:dyDescent="0.2">
      <c r="B32" s="105" t="s">
        <v>83</v>
      </c>
      <c r="C32" s="234"/>
      <c r="D32" s="206">
        <f>'Normalized Therms'!P18</f>
        <v>20617014.420000002</v>
      </c>
      <c r="E32" s="116">
        <v>0</v>
      </c>
      <c r="F32" s="116">
        <v>0</v>
      </c>
      <c r="G32" s="114">
        <f>ROUND(E32*D32,2)</f>
        <v>0</v>
      </c>
      <c r="H32" s="114">
        <f t="shared" si="0"/>
        <v>0</v>
      </c>
      <c r="K32" s="114"/>
      <c r="L32" s="114"/>
      <c r="M32" s="114"/>
    </row>
    <row r="33" spans="1:13" x14ac:dyDescent="0.2">
      <c r="B33" s="105" t="s">
        <v>79</v>
      </c>
      <c r="C33" s="234"/>
      <c r="D33" s="143"/>
      <c r="E33" s="116"/>
      <c r="F33" s="116"/>
      <c r="G33" s="114"/>
      <c r="H33" s="114"/>
      <c r="K33" s="114"/>
      <c r="L33" s="114"/>
      <c r="M33" s="114"/>
    </row>
    <row r="34" spans="1:13" x14ac:dyDescent="0.2">
      <c r="B34" s="105" t="s">
        <v>80</v>
      </c>
      <c r="C34" s="234"/>
      <c r="D34" s="143">
        <f>'Normalized Therms'!$P$18*'12ME Dec18 Bill Freq'!N37</f>
        <v>4274079.34</v>
      </c>
      <c r="E34" s="116">
        <v>-7.4000000000001842E-4</v>
      </c>
      <c r="F34" s="116">
        <v>-7.4000000000001842E-4</v>
      </c>
      <c r="G34" s="114">
        <f>ROUND(E34*D34,2)</f>
        <v>-3162.82</v>
      </c>
      <c r="H34" s="114">
        <f t="shared" si="0"/>
        <v>0</v>
      </c>
      <c r="K34" s="114"/>
      <c r="L34" s="114"/>
      <c r="M34" s="114"/>
    </row>
    <row r="35" spans="1:13" x14ac:dyDescent="0.2">
      <c r="B35" s="105" t="s">
        <v>81</v>
      </c>
      <c r="C35" s="234"/>
      <c r="D35" s="206">
        <f>'Normalized Therms'!$P$18*'12ME Dec18 Bill Freq'!N38</f>
        <v>15213158.120000001</v>
      </c>
      <c r="E35" s="116">
        <v>-5.9000000000000719E-4</v>
      </c>
      <c r="F35" s="116">
        <v>-5.9000000000000719E-4</v>
      </c>
      <c r="G35" s="240">
        <f>ROUND(E35*D35,2)</f>
        <v>-8975.76</v>
      </c>
      <c r="H35" s="114">
        <f t="shared" si="0"/>
        <v>0</v>
      </c>
      <c r="K35" s="114"/>
      <c r="L35" s="114"/>
      <c r="M35" s="114"/>
    </row>
    <row r="36" spans="1:13" x14ac:dyDescent="0.2">
      <c r="B36" s="105" t="s">
        <v>6</v>
      </c>
      <c r="C36" s="234"/>
      <c r="D36" s="143"/>
      <c r="E36" s="116"/>
      <c r="F36" s="116"/>
      <c r="G36" s="114">
        <f>SUM(G31:G35)</f>
        <v>-23748.39</v>
      </c>
      <c r="H36" s="160">
        <f>SUM(H31:H35)</f>
        <v>0</v>
      </c>
      <c r="K36" s="114"/>
      <c r="L36" s="114"/>
      <c r="M36" s="114"/>
    </row>
    <row r="37" spans="1:13" x14ac:dyDescent="0.2">
      <c r="C37" s="234"/>
      <c r="D37" s="143"/>
      <c r="E37" s="116"/>
      <c r="F37" s="116"/>
      <c r="G37" s="114"/>
      <c r="H37" s="114"/>
      <c r="K37" s="114"/>
      <c r="L37" s="114"/>
      <c r="M37" s="114"/>
    </row>
    <row r="38" spans="1:13" x14ac:dyDescent="0.2">
      <c r="B38" s="105" t="s">
        <v>84</v>
      </c>
      <c r="C38" s="234" t="s">
        <v>85</v>
      </c>
      <c r="D38" s="143"/>
      <c r="E38" s="116"/>
      <c r="F38" s="116"/>
      <c r="G38" s="114">
        <f t="shared" ref="G38:H38" si="1">G28+G36</f>
        <v>-107255.4</v>
      </c>
      <c r="H38" s="114">
        <f t="shared" si="1"/>
        <v>0</v>
      </c>
      <c r="K38" s="114"/>
      <c r="L38" s="114"/>
      <c r="M38" s="114"/>
    </row>
    <row r="39" spans="1:13" x14ac:dyDescent="0.2">
      <c r="C39" s="234"/>
      <c r="D39" s="145"/>
      <c r="E39" s="116"/>
      <c r="F39" s="116"/>
      <c r="G39" s="114"/>
      <c r="H39" s="114"/>
      <c r="K39" s="114"/>
      <c r="L39" s="114"/>
      <c r="M39" s="114"/>
    </row>
    <row r="40" spans="1:13" ht="15" x14ac:dyDescent="0.25">
      <c r="A40" s="105" t="s">
        <v>11</v>
      </c>
      <c r="C40" s="234">
        <v>86</v>
      </c>
      <c r="D40" s="145"/>
      <c r="E40" s="116"/>
      <c r="F40" s="116"/>
      <c r="G40" s="119"/>
      <c r="H40" s="114"/>
      <c r="K40" s="114"/>
      <c r="L40" s="114"/>
      <c r="M40" s="114"/>
    </row>
    <row r="41" spans="1:13" x14ac:dyDescent="0.2">
      <c r="B41" s="105" t="s">
        <v>78</v>
      </c>
      <c r="C41" s="234"/>
      <c r="D41" s="143">
        <f>'12ME Dec18 Data'!N13</f>
        <v>82401.308999999994</v>
      </c>
      <c r="E41" s="117">
        <v>-1.0000000000000009E-2</v>
      </c>
      <c r="F41" s="117">
        <v>-1.0000000000000009E-2</v>
      </c>
      <c r="G41" s="114">
        <f>ROUND(E41*D41,2)</f>
        <v>-824.01</v>
      </c>
      <c r="H41" s="114">
        <f t="shared" si="0"/>
        <v>0</v>
      </c>
      <c r="K41" s="114"/>
      <c r="L41" s="114"/>
      <c r="M41" s="114"/>
    </row>
    <row r="42" spans="1:13" x14ac:dyDescent="0.2">
      <c r="B42" s="105" t="s">
        <v>87</v>
      </c>
      <c r="C42" s="234"/>
      <c r="D42" s="143">
        <f>'Normalized Therms'!P15</f>
        <v>8752636.7929999996</v>
      </c>
      <c r="E42" s="116">
        <v>-5.0000000000001432E-5</v>
      </c>
      <c r="F42" s="116">
        <v>-5.0000000000001432E-5</v>
      </c>
      <c r="G42" s="114">
        <f>ROUND(E42*D42,2)</f>
        <v>-437.63</v>
      </c>
      <c r="H42" s="114">
        <f t="shared" si="0"/>
        <v>0</v>
      </c>
      <c r="K42" s="114"/>
      <c r="L42" s="114"/>
      <c r="M42" s="114"/>
    </row>
    <row r="43" spans="1:13" ht="15" x14ac:dyDescent="0.25">
      <c r="B43" s="105" t="s">
        <v>79</v>
      </c>
      <c r="C43" s="234"/>
      <c r="D43" s="145"/>
      <c r="E43" s="116"/>
      <c r="F43" s="116"/>
      <c r="G43" s="119"/>
      <c r="H43" s="114"/>
      <c r="K43" s="114"/>
      <c r="L43" s="114"/>
      <c r="M43" s="114"/>
    </row>
    <row r="44" spans="1:13" x14ac:dyDescent="0.2">
      <c r="B44" s="105" t="s">
        <v>94</v>
      </c>
      <c r="C44" s="234"/>
      <c r="D44" s="143">
        <f>'Normalized Therms'!P15*'12ME Dec18 Bill Freq'!N20</f>
        <v>2054251.2669999995</v>
      </c>
      <c r="E44" s="116">
        <v>-1.1400000000000021E-3</v>
      </c>
      <c r="F44" s="116">
        <v>-1.1400000000000021E-3</v>
      </c>
      <c r="G44" s="114">
        <f>ROUND(E44*D44,2)</f>
        <v>-2341.85</v>
      </c>
      <c r="H44" s="114">
        <f t="shared" si="0"/>
        <v>0</v>
      </c>
      <c r="K44" s="114"/>
      <c r="L44" s="114"/>
      <c r="M44" s="114"/>
    </row>
    <row r="45" spans="1:13" x14ac:dyDescent="0.2">
      <c r="B45" s="105" t="s">
        <v>95</v>
      </c>
      <c r="C45" s="234"/>
      <c r="D45" s="206">
        <f>'Normalized Therms'!P15*'12ME Dec18 Bill Freq'!N21</f>
        <v>6698385.5259999987</v>
      </c>
      <c r="E45" s="116">
        <v>-8.1000000000000516E-4</v>
      </c>
      <c r="F45" s="116">
        <v>-8.1000000000000516E-4</v>
      </c>
      <c r="G45" s="240">
        <f>ROUND(E45*D45,2)</f>
        <v>-5425.69</v>
      </c>
      <c r="H45" s="114">
        <f t="shared" si="0"/>
        <v>0</v>
      </c>
      <c r="K45" s="114"/>
      <c r="L45" s="114"/>
      <c r="M45" s="114"/>
    </row>
    <row r="46" spans="1:13" x14ac:dyDescent="0.2">
      <c r="B46" s="105" t="s">
        <v>6</v>
      </c>
      <c r="C46" s="234"/>
      <c r="D46" s="143"/>
      <c r="E46" s="116"/>
      <c r="F46" s="116"/>
      <c r="G46" s="114">
        <f>SUM(G41:G45)</f>
        <v>-9029.18</v>
      </c>
      <c r="H46" s="160">
        <f>SUM(H41:H45)</f>
        <v>0</v>
      </c>
      <c r="K46" s="114"/>
      <c r="L46" s="114"/>
      <c r="M46" s="114"/>
    </row>
    <row r="47" spans="1:13" x14ac:dyDescent="0.2">
      <c r="C47" s="234"/>
      <c r="D47" s="143"/>
      <c r="E47" s="116"/>
      <c r="F47" s="116"/>
      <c r="G47" s="114"/>
      <c r="H47" s="114"/>
      <c r="K47" s="114"/>
      <c r="L47" s="114"/>
      <c r="M47" s="114"/>
    </row>
    <row r="48" spans="1:13" ht="15" x14ac:dyDescent="0.25">
      <c r="A48" s="105" t="s">
        <v>96</v>
      </c>
      <c r="C48" s="234" t="s">
        <v>39</v>
      </c>
      <c r="D48" s="145"/>
      <c r="E48" s="116"/>
      <c r="F48" s="116"/>
      <c r="G48" s="119"/>
      <c r="H48" s="114"/>
      <c r="K48" s="114"/>
      <c r="L48" s="114"/>
      <c r="M48" s="114"/>
    </row>
    <row r="49" spans="1:13" x14ac:dyDescent="0.2">
      <c r="B49" s="105" t="s">
        <v>78</v>
      </c>
      <c r="C49" s="234"/>
      <c r="D49" s="143">
        <f>'12ME Dec18 Data'!N14</f>
        <v>9750</v>
      </c>
      <c r="E49" s="117">
        <v>-1.0000000000000009E-2</v>
      </c>
      <c r="F49" s="117">
        <v>-1.0000000000000009E-2</v>
      </c>
      <c r="G49" s="114">
        <f>ROUND(E49*D49,2)</f>
        <v>-97.5</v>
      </c>
      <c r="H49" s="114">
        <f t="shared" si="0"/>
        <v>0</v>
      </c>
      <c r="K49" s="114"/>
      <c r="L49" s="114"/>
      <c r="M49" s="114"/>
    </row>
    <row r="50" spans="1:13" ht="15" x14ac:dyDescent="0.25">
      <c r="B50" s="105" t="s">
        <v>79</v>
      </c>
      <c r="C50" s="234"/>
      <c r="D50" s="145"/>
      <c r="E50" s="116"/>
      <c r="F50" s="116"/>
      <c r="G50" s="119"/>
      <c r="H50" s="114"/>
      <c r="K50" s="114"/>
      <c r="L50" s="114"/>
      <c r="M50" s="114"/>
    </row>
    <row r="51" spans="1:13" x14ac:dyDescent="0.2">
      <c r="B51" s="105" t="s">
        <v>94</v>
      </c>
      <c r="C51" s="234"/>
      <c r="D51" s="143">
        <f>'Normalized Therms'!$P$20*'12ME Dec18 Bill Freq'!N50</f>
        <v>23011.74</v>
      </c>
      <c r="E51" s="116">
        <v>-1.1099999999999999E-3</v>
      </c>
      <c r="F51" s="116">
        <v>-1.1099999999999999E-3</v>
      </c>
      <c r="G51" s="114">
        <f>ROUND(E51*D51,2)</f>
        <v>-25.54</v>
      </c>
      <c r="H51" s="114">
        <f t="shared" si="0"/>
        <v>0</v>
      </c>
      <c r="K51" s="114"/>
      <c r="L51" s="114"/>
      <c r="M51" s="114"/>
    </row>
    <row r="52" spans="1:13" x14ac:dyDescent="0.2">
      <c r="B52" s="105" t="s">
        <v>95</v>
      </c>
      <c r="C52" s="234"/>
      <c r="D52" s="143">
        <f>'Normalized Therms'!$P$20*'12ME Dec18 Bill Freq'!N51</f>
        <v>328276.40999999997</v>
      </c>
      <c r="E52" s="116">
        <v>-7.8000000000000291E-4</v>
      </c>
      <c r="F52" s="116">
        <v>-7.8000000000000291E-4</v>
      </c>
      <c r="G52" s="240">
        <f>ROUND(E52*D52,2)</f>
        <v>-256.06</v>
      </c>
      <c r="H52" s="114">
        <f t="shared" si="0"/>
        <v>0</v>
      </c>
      <c r="K52" s="114"/>
      <c r="L52" s="114"/>
      <c r="M52" s="114"/>
    </row>
    <row r="53" spans="1:13" x14ac:dyDescent="0.2">
      <c r="B53" s="105" t="s">
        <v>6</v>
      </c>
      <c r="C53" s="234"/>
      <c r="D53" s="143"/>
      <c r="E53" s="116"/>
      <c r="F53" s="116"/>
      <c r="G53" s="114">
        <f>SUM(G49:G52)</f>
        <v>-379.1</v>
      </c>
      <c r="H53" s="160">
        <f>SUM(H49:H52)</f>
        <v>0</v>
      </c>
      <c r="K53" s="114"/>
      <c r="L53" s="114"/>
      <c r="M53" s="114"/>
    </row>
    <row r="54" spans="1:13" x14ac:dyDescent="0.2">
      <c r="C54" s="234"/>
      <c r="D54" s="143"/>
      <c r="E54" s="116"/>
      <c r="F54" s="116"/>
      <c r="G54" s="114"/>
      <c r="K54" s="114"/>
      <c r="L54" s="114"/>
      <c r="M54" s="114"/>
    </row>
    <row r="55" spans="1:13" x14ac:dyDescent="0.2">
      <c r="B55" s="105" t="s">
        <v>97</v>
      </c>
      <c r="C55" s="234" t="s">
        <v>98</v>
      </c>
      <c r="D55" s="143"/>
      <c r="E55" s="116"/>
      <c r="F55" s="116"/>
      <c r="G55" s="114">
        <f t="shared" ref="G55:H55" si="2">G46+G53</f>
        <v>-9408.2800000000007</v>
      </c>
      <c r="H55" s="114">
        <f t="shared" si="2"/>
        <v>0</v>
      </c>
      <c r="K55" s="114"/>
      <c r="L55" s="114"/>
      <c r="M55" s="114"/>
    </row>
    <row r="56" spans="1:13" x14ac:dyDescent="0.2">
      <c r="C56" s="234"/>
      <c r="D56" s="143"/>
      <c r="E56" s="123"/>
      <c r="F56" s="123"/>
      <c r="G56" s="114"/>
      <c r="H56" s="114"/>
      <c r="K56" s="114"/>
      <c r="L56" s="114"/>
      <c r="M56" s="114"/>
    </row>
    <row r="57" spans="1:13" x14ac:dyDescent="0.2">
      <c r="B57" s="105" t="s">
        <v>6</v>
      </c>
      <c r="C57" s="314" t="s">
        <v>237</v>
      </c>
      <c r="D57" s="143">
        <f>SUM(D10,D13,D18,D26:D27,D34:D35,D44:D45,D51:D52)</f>
        <v>926640067.86300004</v>
      </c>
      <c r="E57" s="123"/>
      <c r="F57" s="123"/>
      <c r="G57" s="114">
        <f>G10+G15+G20+G28+G36+G46+G53</f>
        <v>9464770.290000001</v>
      </c>
      <c r="H57" s="114">
        <f>H10+H15+H20+H28+H36+H46+H53</f>
        <v>0</v>
      </c>
      <c r="K57" s="114"/>
      <c r="L57" s="114"/>
      <c r="M57" s="114"/>
    </row>
    <row r="58" spans="1:13" x14ac:dyDescent="0.2">
      <c r="C58" s="314" t="s">
        <v>204</v>
      </c>
      <c r="D58" s="143">
        <f>SUM(D23,D31,D41,D49)</f>
        <v>5719549.6840000004</v>
      </c>
      <c r="M58" s="114"/>
    </row>
    <row r="59" spans="1:13" x14ac:dyDescent="0.2">
      <c r="A59" s="124"/>
      <c r="B59" s="125"/>
      <c r="C59" s="126"/>
      <c r="M59" s="114"/>
    </row>
    <row r="60" spans="1:13" ht="12.75" customHeight="1" x14ac:dyDescent="0.2">
      <c r="A60" s="124"/>
      <c r="B60" s="126"/>
      <c r="C60" s="122"/>
      <c r="D60" s="122"/>
      <c r="E60" s="122"/>
      <c r="F60" s="122"/>
      <c r="G60" s="122"/>
      <c r="H60" s="122"/>
      <c r="M60" s="114"/>
    </row>
    <row r="61" spans="1:13" x14ac:dyDescent="0.2">
      <c r="B61" s="125"/>
      <c r="M61" s="114"/>
    </row>
    <row r="62" spans="1:13" x14ac:dyDescent="0.2">
      <c r="M62" s="114"/>
    </row>
    <row r="63" spans="1:13" x14ac:dyDescent="0.2">
      <c r="M63" s="114"/>
    </row>
    <row r="64" spans="1:13" x14ac:dyDescent="0.2">
      <c r="M64" s="114"/>
    </row>
    <row r="65" spans="13:13" x14ac:dyDescent="0.2">
      <c r="M65" s="114"/>
    </row>
    <row r="66" spans="13:13" x14ac:dyDescent="0.2">
      <c r="M66" s="114"/>
    </row>
    <row r="67" spans="13:13" x14ac:dyDescent="0.2">
      <c r="M67" s="114"/>
    </row>
    <row r="68" spans="13:13" x14ac:dyDescent="0.2">
      <c r="M68" s="114"/>
    </row>
    <row r="69" spans="13:13" x14ac:dyDescent="0.2">
      <c r="M69" s="114"/>
    </row>
    <row r="70" spans="13:13" x14ac:dyDescent="0.2">
      <c r="M70" s="114"/>
    </row>
    <row r="71" spans="13:13" x14ac:dyDescent="0.2">
      <c r="M71" s="114"/>
    </row>
    <row r="72" spans="13:13" x14ac:dyDescent="0.2">
      <c r="M72" s="114"/>
    </row>
    <row r="73" spans="13:13" x14ac:dyDescent="0.2">
      <c r="M73" s="114"/>
    </row>
    <row r="74" spans="13:13" x14ac:dyDescent="0.2">
      <c r="M74" s="114"/>
    </row>
    <row r="75" spans="13:13" x14ac:dyDescent="0.2">
      <c r="M75" s="114"/>
    </row>
    <row r="76" spans="13:13" x14ac:dyDescent="0.2">
      <c r="M76" s="114"/>
    </row>
    <row r="77" spans="13:13" x14ac:dyDescent="0.2">
      <c r="M77" s="114"/>
    </row>
    <row r="78" spans="13:13" x14ac:dyDescent="0.2">
      <c r="M78" s="114"/>
    </row>
    <row r="79" spans="13:13" x14ac:dyDescent="0.2">
      <c r="M79" s="114"/>
    </row>
    <row r="80" spans="13:13" x14ac:dyDescent="0.2">
      <c r="M80" s="114"/>
    </row>
    <row r="81" spans="13:13" x14ac:dyDescent="0.2">
      <c r="M81" s="114"/>
    </row>
    <row r="82" spans="13:13" x14ac:dyDescent="0.2">
      <c r="M82" s="114"/>
    </row>
    <row r="83" spans="13:13" x14ac:dyDescent="0.2">
      <c r="M83" s="114"/>
    </row>
    <row r="84" spans="13:13" x14ac:dyDescent="0.2">
      <c r="M84" s="114"/>
    </row>
    <row r="85" spans="13:13" x14ac:dyDescent="0.2">
      <c r="M85" s="114"/>
    </row>
    <row r="86" spans="13:13" x14ac:dyDescent="0.2">
      <c r="M86" s="114"/>
    </row>
    <row r="87" spans="13:13" x14ac:dyDescent="0.2">
      <c r="M87" s="114"/>
    </row>
    <row r="88" spans="13:13" x14ac:dyDescent="0.2">
      <c r="M88" s="114"/>
    </row>
    <row r="89" spans="13:13" x14ac:dyDescent="0.2">
      <c r="M89" s="114"/>
    </row>
    <row r="90" spans="13:13" x14ac:dyDescent="0.2">
      <c r="M90" s="114"/>
    </row>
    <row r="91" spans="13:13" x14ac:dyDescent="0.2">
      <c r="M91" s="114"/>
    </row>
    <row r="92" spans="13:13" x14ac:dyDescent="0.2">
      <c r="M92" s="114"/>
    </row>
    <row r="93" spans="13:13" x14ac:dyDescent="0.2">
      <c r="M93" s="114"/>
    </row>
    <row r="94" spans="13:13" x14ac:dyDescent="0.2">
      <c r="M94" s="114"/>
    </row>
    <row r="95" spans="13:13" x14ac:dyDescent="0.2">
      <c r="M95" s="114"/>
    </row>
    <row r="96" spans="13:13" x14ac:dyDescent="0.2">
      <c r="M96" s="114"/>
    </row>
    <row r="97" spans="13:13" x14ac:dyDescent="0.2">
      <c r="M97" s="114"/>
    </row>
  </sheetData>
  <mergeCells count="3">
    <mergeCell ref="A1:H1"/>
    <mergeCell ref="A2:H2"/>
    <mergeCell ref="A3:H3"/>
  </mergeCells>
  <printOptions horizontalCentered="1"/>
  <pageMargins left="0.7" right="0.7" top="0.5" bottom="0.5" header="0.3" footer="0.3"/>
  <pageSetup scale="66" orientation="landscape" blackAndWhite="1" r:id="rId1"/>
  <headerFooter>
    <oddFooter>&amp;L&amp;F
&amp;A&amp;C&amp;P&amp;R&amp;D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48"/>
  <sheetViews>
    <sheetView zoomScale="90" zoomScaleNormal="90" workbookViewId="0">
      <selection activeCell="M42" sqref="M42"/>
    </sheetView>
  </sheetViews>
  <sheetFormatPr defaultColWidth="9.140625" defaultRowHeight="15" x14ac:dyDescent="0.25"/>
  <cols>
    <col min="1" max="1" width="2.140625" style="190" customWidth="1"/>
    <col min="2" max="2" width="2.42578125" style="190" customWidth="1"/>
    <col min="3" max="3" width="33.7109375" style="190" customWidth="1"/>
    <col min="4" max="5" width="11.85546875" style="190" customWidth="1"/>
    <col min="6" max="6" width="2.7109375" style="191" customWidth="1"/>
    <col min="7" max="8" width="11.85546875" style="190" customWidth="1"/>
    <col min="9" max="9" width="2.7109375" style="190" customWidth="1"/>
    <col min="10" max="11" width="11.85546875" style="190" customWidth="1"/>
    <col min="12" max="12" width="2.7109375" style="190" customWidth="1"/>
    <col min="13" max="14" width="11.85546875" style="190" customWidth="1"/>
    <col min="15" max="15" width="2.7109375" style="190" customWidth="1"/>
    <col min="16" max="17" width="11.85546875" style="190" customWidth="1"/>
    <col min="18" max="18" width="2.7109375" style="190" customWidth="1"/>
    <col min="19" max="20" width="11.85546875" style="190" customWidth="1"/>
    <col min="21" max="16384" width="9.140625" style="190"/>
  </cols>
  <sheetData>
    <row r="1" spans="2:20" x14ac:dyDescent="0.25">
      <c r="B1" s="395" t="s">
        <v>0</v>
      </c>
      <c r="C1" s="395"/>
      <c r="D1" s="395"/>
      <c r="E1" s="395"/>
      <c r="F1" s="395"/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5"/>
      <c r="R1" s="395"/>
      <c r="S1" s="395"/>
      <c r="T1" s="395"/>
    </row>
    <row r="2" spans="2:20" x14ac:dyDescent="0.25">
      <c r="B2" s="395" t="s">
        <v>395</v>
      </c>
      <c r="C2" s="395"/>
      <c r="D2" s="395"/>
      <c r="E2" s="395"/>
      <c r="F2" s="395"/>
      <c r="G2" s="395"/>
      <c r="H2" s="395"/>
      <c r="I2" s="395"/>
      <c r="J2" s="395"/>
      <c r="K2" s="395"/>
      <c r="L2" s="395"/>
      <c r="M2" s="395"/>
      <c r="N2" s="395"/>
      <c r="O2" s="395"/>
      <c r="P2" s="395"/>
      <c r="Q2" s="395"/>
      <c r="R2" s="395"/>
      <c r="S2" s="395"/>
      <c r="T2" s="395"/>
    </row>
    <row r="3" spans="2:20" x14ac:dyDescent="0.25">
      <c r="B3" s="393" t="s">
        <v>400</v>
      </c>
      <c r="C3" s="393"/>
      <c r="D3" s="393"/>
      <c r="E3" s="393"/>
      <c r="F3" s="393"/>
      <c r="G3" s="393"/>
      <c r="H3" s="393"/>
      <c r="I3" s="393"/>
      <c r="J3" s="393"/>
      <c r="K3" s="393"/>
      <c r="L3" s="393"/>
      <c r="M3" s="393"/>
      <c r="N3" s="393"/>
      <c r="O3" s="393"/>
      <c r="P3" s="393"/>
      <c r="Q3" s="393"/>
      <c r="R3" s="393"/>
      <c r="S3" s="393"/>
      <c r="T3" s="393"/>
    </row>
    <row r="4" spans="2:20" x14ac:dyDescent="0.25">
      <c r="B4" s="393"/>
      <c r="C4" s="393"/>
      <c r="D4" s="393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3"/>
    </row>
    <row r="5" spans="2:20" x14ac:dyDescent="0.25">
      <c r="I5" s="43"/>
    </row>
    <row r="6" spans="2:20" x14ac:dyDescent="0.25">
      <c r="D6" s="298" t="s">
        <v>23</v>
      </c>
      <c r="E6" s="298"/>
      <c r="F6" s="44"/>
      <c r="G6" s="298" t="s">
        <v>402</v>
      </c>
      <c r="H6" s="298"/>
      <c r="I6" s="43"/>
      <c r="J6" s="298" t="s">
        <v>403</v>
      </c>
      <c r="K6" s="298"/>
      <c r="M6" s="298" t="s">
        <v>429</v>
      </c>
      <c r="N6" s="298"/>
      <c r="P6" s="388" t="s">
        <v>404</v>
      </c>
      <c r="Q6" s="388"/>
      <c r="S6" s="298" t="s">
        <v>372</v>
      </c>
      <c r="T6" s="298"/>
    </row>
    <row r="7" spans="2:20" ht="17.25" x14ac:dyDescent="0.25">
      <c r="D7" s="299" t="s">
        <v>52</v>
      </c>
      <c r="E7" s="299" t="s">
        <v>53</v>
      </c>
      <c r="F7" s="184"/>
      <c r="G7" s="299" t="s">
        <v>22</v>
      </c>
      <c r="H7" s="299" t="s">
        <v>53</v>
      </c>
      <c r="I7" s="43"/>
      <c r="J7" s="299" t="s">
        <v>22</v>
      </c>
      <c r="K7" s="299" t="s">
        <v>53</v>
      </c>
      <c r="M7" s="299" t="s">
        <v>22</v>
      </c>
      <c r="N7" s="299" t="s">
        <v>53</v>
      </c>
      <c r="P7" s="299" t="s">
        <v>22</v>
      </c>
      <c r="Q7" s="299" t="s">
        <v>53</v>
      </c>
      <c r="S7" s="299" t="s">
        <v>22</v>
      </c>
      <c r="T7" s="299" t="s">
        <v>53</v>
      </c>
    </row>
    <row r="8" spans="2:20" x14ac:dyDescent="0.25">
      <c r="B8" s="190" t="s">
        <v>54</v>
      </c>
      <c r="D8" s="45">
        <v>64</v>
      </c>
      <c r="E8" s="46"/>
      <c r="F8" s="47"/>
      <c r="G8" s="45">
        <v>64</v>
      </c>
      <c r="H8" s="46"/>
      <c r="I8" s="43"/>
      <c r="J8" s="45">
        <v>64</v>
      </c>
      <c r="K8" s="46"/>
      <c r="M8" s="45">
        <v>64</v>
      </c>
      <c r="N8" s="46"/>
      <c r="P8" s="45">
        <v>64</v>
      </c>
      <c r="Q8" s="46"/>
      <c r="S8" s="45">
        <v>64</v>
      </c>
      <c r="T8" s="46"/>
    </row>
    <row r="9" spans="2:20" x14ac:dyDescent="0.25">
      <c r="D9" s="45"/>
      <c r="E9" s="46"/>
      <c r="F9" s="47"/>
      <c r="G9" s="45"/>
      <c r="H9" s="46"/>
      <c r="I9" s="43"/>
      <c r="J9" s="45"/>
      <c r="K9" s="46"/>
      <c r="M9" s="45"/>
      <c r="N9" s="46"/>
      <c r="P9" s="45"/>
      <c r="Q9" s="46"/>
      <c r="S9" s="45"/>
      <c r="T9" s="46"/>
    </row>
    <row r="10" spans="2:20" x14ac:dyDescent="0.25">
      <c r="B10" s="190" t="s">
        <v>55</v>
      </c>
      <c r="D10" s="45"/>
      <c r="E10" s="46"/>
      <c r="F10" s="47"/>
      <c r="G10" s="45"/>
      <c r="H10" s="46"/>
      <c r="I10" s="43"/>
      <c r="J10" s="45"/>
      <c r="K10" s="46"/>
      <c r="M10" s="45"/>
      <c r="N10" s="46"/>
      <c r="P10" s="45"/>
      <c r="Q10" s="46"/>
      <c r="S10" s="45"/>
      <c r="T10" s="46"/>
    </row>
    <row r="11" spans="2:20" x14ac:dyDescent="0.25">
      <c r="C11" s="190" t="s">
        <v>56</v>
      </c>
      <c r="D11" s="48">
        <v>11</v>
      </c>
      <c r="E11" s="46">
        <f>D11</f>
        <v>11</v>
      </c>
      <c r="F11" s="49"/>
      <c r="G11" s="389">
        <f>'[65]Rate Design Res'!$H$12</f>
        <v>11.52</v>
      </c>
      <c r="H11" s="46">
        <f>G11</f>
        <v>11.52</v>
      </c>
      <c r="J11" s="50">
        <f>$D$11</f>
        <v>11</v>
      </c>
      <c r="K11" s="46">
        <f>J11</f>
        <v>11</v>
      </c>
      <c r="M11" s="50">
        <f>$D$11</f>
        <v>11</v>
      </c>
      <c r="N11" s="46">
        <f>M11</f>
        <v>11</v>
      </c>
      <c r="P11" s="50">
        <f>$D$11</f>
        <v>11</v>
      </c>
      <c r="Q11" s="46">
        <f>P11</f>
        <v>11</v>
      </c>
      <c r="S11" s="389">
        <f>'[65]Rate Design Res'!$H$12</f>
        <v>11.52</v>
      </c>
      <c r="T11" s="46">
        <f>S11</f>
        <v>11.52</v>
      </c>
    </row>
    <row r="12" spans="2:20" x14ac:dyDescent="0.25">
      <c r="C12" s="190" t="s">
        <v>346</v>
      </c>
      <c r="D12" s="49">
        <v>0.67</v>
      </c>
      <c r="E12" s="297">
        <f>D12</f>
        <v>0.67</v>
      </c>
      <c r="F12" s="49"/>
      <c r="G12" s="56">
        <f>$D$12</f>
        <v>0.67</v>
      </c>
      <c r="H12" s="297">
        <f>G12</f>
        <v>0.67</v>
      </c>
      <c r="J12" s="390">
        <f>'Schedule 141 Revenue'!$F$9</f>
        <v>0</v>
      </c>
      <c r="K12" s="297">
        <f>J12</f>
        <v>0</v>
      </c>
      <c r="M12" s="56">
        <f>$D$12</f>
        <v>0.67</v>
      </c>
      <c r="N12" s="297">
        <f>M12</f>
        <v>0.67</v>
      </c>
      <c r="P12" s="56">
        <f>$D$12</f>
        <v>0.67</v>
      </c>
      <c r="Q12" s="297">
        <f>P12</f>
        <v>0.67</v>
      </c>
      <c r="S12" s="390">
        <f>'Schedule 141 Revenue'!$F$9</f>
        <v>0</v>
      </c>
      <c r="T12" s="297">
        <f>S12</f>
        <v>0</v>
      </c>
    </row>
    <row r="13" spans="2:20" x14ac:dyDescent="0.25">
      <c r="C13" s="190" t="s">
        <v>358</v>
      </c>
      <c r="D13" s="49">
        <v>-0.15</v>
      </c>
      <c r="E13" s="297">
        <f>D13</f>
        <v>-0.15</v>
      </c>
      <c r="F13" s="49"/>
      <c r="G13" s="56">
        <f>$D$13</f>
        <v>-0.15</v>
      </c>
      <c r="H13" s="297">
        <f>G13</f>
        <v>-0.15</v>
      </c>
      <c r="J13" s="56">
        <f>$D$13</f>
        <v>-0.15</v>
      </c>
      <c r="K13" s="297">
        <f>J13</f>
        <v>-0.15</v>
      </c>
      <c r="M13" s="390">
        <f>'Schedule 141X Revenue'!$F$9</f>
        <v>0</v>
      </c>
      <c r="N13" s="297">
        <f>M13</f>
        <v>0</v>
      </c>
      <c r="P13" s="56">
        <f>$D$13</f>
        <v>-0.15</v>
      </c>
      <c r="Q13" s="297">
        <f>P13</f>
        <v>-0.15</v>
      </c>
      <c r="S13" s="390">
        <f>'Schedule 141X Revenue'!$F$9</f>
        <v>0</v>
      </c>
      <c r="T13" s="297">
        <f>S13</f>
        <v>0</v>
      </c>
    </row>
    <row r="14" spans="2:20" x14ac:dyDescent="0.25">
      <c r="C14" s="190" t="s">
        <v>14</v>
      </c>
      <c r="D14" s="300">
        <f>SUM(D11:D13)</f>
        <v>11.52</v>
      </c>
      <c r="E14" s="300">
        <f>SUM(E11:E13)</f>
        <v>11.52</v>
      </c>
      <c r="F14" s="49"/>
      <c r="G14" s="300">
        <f>SUM(G11:G13)</f>
        <v>12.04</v>
      </c>
      <c r="H14" s="300">
        <f>SUM(H11:H13)</f>
        <v>12.04</v>
      </c>
      <c r="J14" s="300">
        <f>SUM(J11:J13)</f>
        <v>10.85</v>
      </c>
      <c r="K14" s="300">
        <f>SUM(K11:K13)</f>
        <v>10.85</v>
      </c>
      <c r="M14" s="300">
        <f>SUM(M11:M13)</f>
        <v>11.67</v>
      </c>
      <c r="N14" s="300">
        <f>SUM(N11:N13)</f>
        <v>11.67</v>
      </c>
      <c r="P14" s="300">
        <f>SUM(P11:P13)</f>
        <v>11.52</v>
      </c>
      <c r="Q14" s="300">
        <f>SUM(Q11:Q13)</f>
        <v>11.52</v>
      </c>
      <c r="S14" s="300">
        <f>SUM(S11:S13)</f>
        <v>11.52</v>
      </c>
      <c r="T14" s="300">
        <f>SUM(T11:T13)</f>
        <v>11.52</v>
      </c>
    </row>
    <row r="15" spans="2:20" x14ac:dyDescent="0.25">
      <c r="D15" s="48"/>
      <c r="E15" s="46"/>
      <c r="F15" s="49"/>
      <c r="G15" s="50"/>
      <c r="H15" s="46"/>
      <c r="J15" s="50"/>
      <c r="K15" s="46"/>
      <c r="M15" s="50"/>
      <c r="N15" s="46"/>
      <c r="P15" s="50"/>
      <c r="Q15" s="46"/>
      <c r="S15" s="50"/>
      <c r="T15" s="46"/>
    </row>
    <row r="16" spans="2:20" x14ac:dyDescent="0.25">
      <c r="B16" s="190" t="s">
        <v>57</v>
      </c>
      <c r="E16" s="46"/>
      <c r="H16" s="46"/>
      <c r="K16" s="46"/>
      <c r="N16" s="46"/>
      <c r="Q16" s="46"/>
      <c r="T16" s="46"/>
    </row>
    <row r="17" spans="3:20" x14ac:dyDescent="0.25">
      <c r="C17" s="190" t="s">
        <v>58</v>
      </c>
      <c r="D17" s="71">
        <v>0.34603</v>
      </c>
      <c r="E17" s="46"/>
      <c r="F17" s="51"/>
      <c r="G17" s="312">
        <f>'[65]Rate Design Res'!$H$13</f>
        <v>0.44362000000000001</v>
      </c>
      <c r="H17" s="46"/>
      <c r="J17" s="52">
        <f>$D$17</f>
        <v>0.34603</v>
      </c>
      <c r="K17" s="46"/>
      <c r="M17" s="52">
        <f>$D$17</f>
        <v>0.34603</v>
      </c>
      <c r="N17" s="46"/>
      <c r="P17" s="52">
        <f>$D$17</f>
        <v>0.34603</v>
      </c>
      <c r="Q17" s="46"/>
      <c r="S17" s="312">
        <f>'[65]Rate Design Res'!$H$13</f>
        <v>0.44362000000000001</v>
      </c>
      <c r="T17" s="46"/>
    </row>
    <row r="18" spans="3:20" x14ac:dyDescent="0.25">
      <c r="C18" s="190" t="s">
        <v>61</v>
      </c>
      <c r="D18" s="72">
        <v>5.3699999999999998E-3</v>
      </c>
      <c r="E18" s="46"/>
      <c r="F18" s="51"/>
      <c r="G18" s="52">
        <f>$D$18</f>
        <v>5.3699999999999998E-3</v>
      </c>
      <c r="H18" s="46"/>
      <c r="J18" s="52">
        <f>$D$18</f>
        <v>5.3699999999999998E-3</v>
      </c>
      <c r="K18" s="46"/>
      <c r="M18" s="52">
        <f>$D$18</f>
        <v>5.3699999999999998E-3</v>
      </c>
      <c r="N18" s="46"/>
      <c r="P18" s="52">
        <f>$D$18</f>
        <v>5.3699999999999998E-3</v>
      </c>
      <c r="Q18" s="46"/>
      <c r="S18" s="52">
        <f>$D$18</f>
        <v>5.3699999999999998E-3</v>
      </c>
      <c r="T18" s="46"/>
    </row>
    <row r="19" spans="3:20" x14ac:dyDescent="0.25">
      <c r="C19" s="190" t="s">
        <v>59</v>
      </c>
      <c r="D19" s="71">
        <v>2.2350000000000002E-2</v>
      </c>
      <c r="E19" s="46"/>
      <c r="F19" s="51"/>
      <c r="G19" s="228">
        <f>$D$19</f>
        <v>2.2350000000000002E-2</v>
      </c>
      <c r="H19" s="46"/>
      <c r="J19" s="228">
        <f>$D$19</f>
        <v>2.2350000000000002E-2</v>
      </c>
      <c r="K19" s="46"/>
      <c r="M19" s="228">
        <f>$D$19</f>
        <v>2.2350000000000002E-2</v>
      </c>
      <c r="N19" s="46"/>
      <c r="P19" s="228">
        <f>$D$19</f>
        <v>2.2350000000000002E-2</v>
      </c>
      <c r="Q19" s="46"/>
      <c r="S19" s="228">
        <f>$D$19</f>
        <v>2.2350000000000002E-2</v>
      </c>
      <c r="T19" s="46"/>
    </row>
    <row r="20" spans="3:20" x14ac:dyDescent="0.25">
      <c r="C20" s="190" t="s">
        <v>346</v>
      </c>
      <c r="D20" s="71">
        <v>2.1229999999999999E-2</v>
      </c>
      <c r="E20" s="46"/>
      <c r="F20" s="51"/>
      <c r="G20" s="52">
        <f>$D$20</f>
        <v>2.1229999999999999E-2</v>
      </c>
      <c r="H20" s="46"/>
      <c r="J20" s="312">
        <f>'Schedule 141 Revenue'!$F$10</f>
        <v>0</v>
      </c>
      <c r="K20" s="46"/>
      <c r="M20" s="52">
        <f>$D$20</f>
        <v>2.1229999999999999E-2</v>
      </c>
      <c r="N20" s="46"/>
      <c r="P20" s="52">
        <f>$D$20</f>
        <v>2.1229999999999999E-2</v>
      </c>
      <c r="Q20" s="46"/>
      <c r="S20" s="312">
        <f>'Schedule 141 Revenue'!$F$10</f>
        <v>0</v>
      </c>
      <c r="T20" s="46"/>
    </row>
    <row r="21" spans="3:20" x14ac:dyDescent="0.25">
      <c r="C21" s="190" t="s">
        <v>358</v>
      </c>
      <c r="D21" s="71">
        <v>-4.79E-3</v>
      </c>
      <c r="E21" s="46"/>
      <c r="F21" s="51"/>
      <c r="G21" s="52">
        <f>$D$21</f>
        <v>-4.79E-3</v>
      </c>
      <c r="H21" s="46"/>
      <c r="J21" s="52">
        <f>$D$21</f>
        <v>-4.79E-3</v>
      </c>
      <c r="K21" s="46"/>
      <c r="M21" s="312">
        <f>'Schedule 141X Revenue'!$F$10</f>
        <v>0</v>
      </c>
      <c r="N21" s="46"/>
      <c r="P21" s="52">
        <f>$D$21</f>
        <v>-4.79E-3</v>
      </c>
      <c r="Q21" s="46"/>
      <c r="S21" s="312">
        <f>'Schedule 141X Revenue'!$F$10</f>
        <v>0</v>
      </c>
      <c r="T21" s="46"/>
    </row>
    <row r="22" spans="3:20" x14ac:dyDescent="0.25">
      <c r="C22" s="190" t="s">
        <v>374</v>
      </c>
      <c r="D22" s="71">
        <v>-1.0580000000000001E-2</v>
      </c>
      <c r="E22" s="46"/>
      <c r="F22" s="51"/>
      <c r="G22" s="228">
        <f>$D$22</f>
        <v>-1.0580000000000001E-2</v>
      </c>
      <c r="H22" s="46"/>
      <c r="J22" s="228">
        <f>$D$22</f>
        <v>-1.0580000000000001E-2</v>
      </c>
      <c r="K22" s="46"/>
      <c r="M22" s="228">
        <f>$D$22</f>
        <v>-1.0580000000000001E-2</v>
      </c>
      <c r="N22" s="46"/>
      <c r="P22" s="228">
        <f>$D$22</f>
        <v>-1.0580000000000001E-2</v>
      </c>
      <c r="Q22" s="46"/>
      <c r="S22" s="228">
        <f>$D$22</f>
        <v>-1.0580000000000001E-2</v>
      </c>
      <c r="T22" s="46"/>
    </row>
    <row r="23" spans="3:20" x14ac:dyDescent="0.25">
      <c r="C23" s="190" t="s">
        <v>60</v>
      </c>
      <c r="D23" s="71">
        <v>1.9550000000000001E-2</v>
      </c>
      <c r="E23" s="46"/>
      <c r="F23" s="51"/>
      <c r="G23" s="228">
        <f>$D$23</f>
        <v>1.9550000000000001E-2</v>
      </c>
      <c r="H23" s="46"/>
      <c r="J23" s="228">
        <f>$D$23</f>
        <v>1.9550000000000001E-2</v>
      </c>
      <c r="K23" s="46"/>
      <c r="M23" s="228">
        <f>$D$23</f>
        <v>1.9550000000000001E-2</v>
      </c>
      <c r="N23" s="46"/>
      <c r="P23" s="228">
        <f>$D$23</f>
        <v>1.9550000000000001E-2</v>
      </c>
      <c r="Q23" s="46"/>
      <c r="S23" s="228">
        <f>$D$23</f>
        <v>1.9550000000000001E-2</v>
      </c>
      <c r="T23" s="46"/>
    </row>
    <row r="24" spans="3:20" x14ac:dyDescent="0.25">
      <c r="C24" s="190" t="s">
        <v>62</v>
      </c>
      <c r="D24" s="73">
        <v>1.1209999999999999E-2</v>
      </c>
      <c r="E24" s="46"/>
      <c r="F24" s="51"/>
      <c r="G24" s="228">
        <f>$D$24</f>
        <v>1.1209999999999999E-2</v>
      </c>
      <c r="H24" s="46"/>
      <c r="J24" s="228">
        <f>$D$24</f>
        <v>1.1209999999999999E-2</v>
      </c>
      <c r="K24" s="46"/>
      <c r="M24" s="228">
        <f>$D$24</f>
        <v>1.1209999999999999E-2</v>
      </c>
      <c r="N24" s="46"/>
      <c r="P24" s="312">
        <f>'Schedule 149 Revenue'!$E$8</f>
        <v>0</v>
      </c>
      <c r="Q24" s="46"/>
      <c r="S24" s="312">
        <f>'Schedule 149 Revenue'!$E$8</f>
        <v>0</v>
      </c>
      <c r="T24" s="46"/>
    </row>
    <row r="25" spans="3:20" x14ac:dyDescent="0.25">
      <c r="C25" s="190" t="s">
        <v>14</v>
      </c>
      <c r="D25" s="53">
        <f>SUM(D17:D24)</f>
        <v>0.41037000000000001</v>
      </c>
      <c r="E25" s="46">
        <f>ROUND(D25*D$8,2)</f>
        <v>26.26</v>
      </c>
      <c r="F25" s="51"/>
      <c r="G25" s="53">
        <f>SUM(G17:G24)</f>
        <v>0.50795999999999997</v>
      </c>
      <c r="H25" s="46">
        <f>ROUND(G25*G$8,2)</f>
        <v>32.51</v>
      </c>
      <c r="J25" s="53">
        <f>SUM(J17:J24)</f>
        <v>0.38913999999999999</v>
      </c>
      <c r="K25" s="46">
        <f>ROUND(J25*J$8,2)</f>
        <v>24.9</v>
      </c>
      <c r="M25" s="53">
        <f>SUM(M17:M24)</f>
        <v>0.41516000000000003</v>
      </c>
      <c r="N25" s="46">
        <f>ROUND(M25*M$8,2)</f>
        <v>26.57</v>
      </c>
      <c r="P25" s="53">
        <f>SUM(P17:P24)</f>
        <v>0.39916000000000001</v>
      </c>
      <c r="Q25" s="46">
        <f>ROUND(P25*P$8,2)</f>
        <v>25.55</v>
      </c>
      <c r="S25" s="53">
        <f>SUM(S17:S24)</f>
        <v>0.48031000000000001</v>
      </c>
      <c r="T25" s="46">
        <f>ROUND(S25*S$8,2)</f>
        <v>30.74</v>
      </c>
    </row>
    <row r="26" spans="3:20" x14ac:dyDescent="0.25">
      <c r="T26" s="46"/>
    </row>
    <row r="27" spans="3:20" x14ac:dyDescent="0.25">
      <c r="C27" s="190" t="s">
        <v>63</v>
      </c>
      <c r="D27" s="200">
        <v>1.8149999999999999E-2</v>
      </c>
      <c r="E27" s="46">
        <f>ROUND(D27*D$8,2)</f>
        <v>1.1599999999999999</v>
      </c>
      <c r="F27" s="51"/>
      <c r="G27" s="231">
        <f>$D$27</f>
        <v>1.8149999999999999E-2</v>
      </c>
      <c r="H27" s="46">
        <f>ROUND(G27*G$8,2)</f>
        <v>1.1599999999999999</v>
      </c>
      <c r="J27" s="231">
        <f>$D$27</f>
        <v>1.8149999999999999E-2</v>
      </c>
      <c r="K27" s="46">
        <f>ROUND(J27*J$8,2)</f>
        <v>1.1599999999999999</v>
      </c>
      <c r="M27" s="231">
        <f>$D$27</f>
        <v>1.8149999999999999E-2</v>
      </c>
      <c r="N27" s="46">
        <f>ROUND(M27*M$8,2)</f>
        <v>1.1599999999999999</v>
      </c>
      <c r="P27" s="231">
        <f>$D$27</f>
        <v>1.8149999999999999E-2</v>
      </c>
      <c r="Q27" s="46">
        <f>ROUND(P27*P$8,2)</f>
        <v>1.1599999999999999</v>
      </c>
      <c r="S27" s="231">
        <f>$D$27</f>
        <v>1.8149999999999999E-2</v>
      </c>
      <c r="T27" s="46">
        <f>ROUND(S27*S$8,2)</f>
        <v>1.1599999999999999</v>
      </c>
    </row>
    <row r="28" spans="3:20" x14ac:dyDescent="0.25">
      <c r="D28" s="201"/>
      <c r="E28" s="46"/>
      <c r="F28" s="51"/>
      <c r="G28" s="52"/>
      <c r="H28" s="46"/>
      <c r="J28" s="52"/>
      <c r="K28" s="46"/>
      <c r="M28" s="52"/>
      <c r="N28" s="46"/>
      <c r="P28" s="52"/>
      <c r="Q28" s="46"/>
      <c r="S28" s="52"/>
      <c r="T28" s="46"/>
    </row>
    <row r="29" spans="3:20" x14ac:dyDescent="0.25">
      <c r="C29" s="190" t="s">
        <v>64</v>
      </c>
      <c r="D29" s="200">
        <v>0</v>
      </c>
      <c r="E29" s="46">
        <f>ROUND(D29*D$8,2)</f>
        <v>0</v>
      </c>
      <c r="F29" s="51"/>
      <c r="G29" s="228">
        <f>$D$29</f>
        <v>0</v>
      </c>
      <c r="H29" s="46">
        <f>ROUND(G29*G$8,2)</f>
        <v>0</v>
      </c>
      <c r="J29" s="228">
        <f>$D$29</f>
        <v>0</v>
      </c>
      <c r="K29" s="46">
        <f>ROUND(J29*J$8,2)</f>
        <v>0</v>
      </c>
      <c r="M29" s="228">
        <f>$D$29</f>
        <v>0</v>
      </c>
      <c r="N29" s="46">
        <f>ROUND(M29*M$8,2)</f>
        <v>0</v>
      </c>
      <c r="P29" s="228">
        <f>$D$29</f>
        <v>0</v>
      </c>
      <c r="Q29" s="46">
        <f>ROUND(P29*P$8,2)</f>
        <v>0</v>
      </c>
      <c r="S29" s="228">
        <f>$D$29</f>
        <v>0</v>
      </c>
      <c r="T29" s="46">
        <f>ROUND(S29*S$8,2)</f>
        <v>0</v>
      </c>
    </row>
    <row r="30" spans="3:20" x14ac:dyDescent="0.25">
      <c r="D30" s="201"/>
      <c r="E30" s="46"/>
      <c r="F30" s="51"/>
      <c r="G30" s="52"/>
      <c r="H30" s="46"/>
      <c r="J30" s="52"/>
      <c r="K30" s="46"/>
      <c r="M30" s="52"/>
      <c r="N30" s="46"/>
      <c r="P30" s="52"/>
      <c r="Q30" s="46"/>
      <c r="S30" s="52"/>
      <c r="T30" s="46"/>
    </row>
    <row r="31" spans="3:20" x14ac:dyDescent="0.25">
      <c r="C31" s="190" t="s">
        <v>65</v>
      </c>
      <c r="D31" s="200">
        <v>0.32665</v>
      </c>
      <c r="E31" s="46"/>
      <c r="F31" s="51"/>
      <c r="G31" s="52">
        <f>$D$31</f>
        <v>0.32665</v>
      </c>
      <c r="H31" s="46"/>
      <c r="J31" s="52">
        <f>$D$31</f>
        <v>0.32665</v>
      </c>
      <c r="K31" s="46"/>
      <c r="M31" s="52">
        <f>$D$31</f>
        <v>0.32665</v>
      </c>
      <c r="N31" s="46"/>
      <c r="P31" s="52">
        <f>$D$31</f>
        <v>0.32665</v>
      </c>
      <c r="Q31" s="46"/>
      <c r="S31" s="52">
        <f>$D$31</f>
        <v>0.32665</v>
      </c>
      <c r="T31" s="46"/>
    </row>
    <row r="32" spans="3:20" x14ac:dyDescent="0.25">
      <c r="C32" s="190" t="s">
        <v>66</v>
      </c>
      <c r="D32" s="200">
        <v>-3.8500000000000001E-3</v>
      </c>
      <c r="E32" s="46"/>
      <c r="F32" s="51"/>
      <c r="G32" s="228">
        <f>$D$32</f>
        <v>-3.8500000000000001E-3</v>
      </c>
      <c r="H32" s="46"/>
      <c r="J32" s="228">
        <f>$D$32</f>
        <v>-3.8500000000000001E-3</v>
      </c>
      <c r="K32" s="46"/>
      <c r="M32" s="228">
        <f>$D$32</f>
        <v>-3.8500000000000001E-3</v>
      </c>
      <c r="N32" s="46"/>
      <c r="P32" s="228">
        <f>$D$32</f>
        <v>-3.8500000000000001E-3</v>
      </c>
      <c r="Q32" s="46"/>
      <c r="S32" s="228">
        <f>$D$32</f>
        <v>-3.8500000000000001E-3</v>
      </c>
      <c r="T32" s="46"/>
    </row>
    <row r="33" spans="2:20" x14ac:dyDescent="0.25">
      <c r="C33" s="190" t="s">
        <v>14</v>
      </c>
      <c r="D33" s="53">
        <f>SUM(D31:D32)</f>
        <v>0.32279999999999998</v>
      </c>
      <c r="E33" s="46">
        <f>ROUND(D33*D$8,2)</f>
        <v>20.66</v>
      </c>
      <c r="F33" s="51"/>
      <c r="G33" s="53">
        <f>SUM(G31:G32)</f>
        <v>0.32279999999999998</v>
      </c>
      <c r="H33" s="46">
        <f>ROUND(G33*G$8,2)</f>
        <v>20.66</v>
      </c>
      <c r="J33" s="53">
        <f>SUM(J31:J32)</f>
        <v>0.32279999999999998</v>
      </c>
      <c r="K33" s="46">
        <f>ROUND(J33*J$8,2)</f>
        <v>20.66</v>
      </c>
      <c r="M33" s="53">
        <f>SUM(M31:M32)</f>
        <v>0.32279999999999998</v>
      </c>
      <c r="N33" s="46">
        <f>ROUND(M33*M$8,2)</f>
        <v>20.66</v>
      </c>
      <c r="P33" s="53">
        <f>SUM(P31:P32)</f>
        <v>0.32279999999999998</v>
      </c>
      <c r="Q33" s="46">
        <f>ROUND(P33*P$8,2)</f>
        <v>20.66</v>
      </c>
      <c r="S33" s="53">
        <f>SUM(S31:S32)</f>
        <v>0.32279999999999998</v>
      </c>
      <c r="T33" s="46">
        <f>ROUND(S33*S$8,2)</f>
        <v>20.66</v>
      </c>
    </row>
    <row r="34" spans="2:20" x14ac:dyDescent="0.25">
      <c r="C34" s="190" t="s">
        <v>67</v>
      </c>
      <c r="D34" s="53">
        <f>D25+D27+D29+D33</f>
        <v>0.75131999999999999</v>
      </c>
      <c r="E34" s="54">
        <f>SUM(E25,E27,E29,E33)</f>
        <v>48.08</v>
      </c>
      <c r="F34" s="55"/>
      <c r="G34" s="53">
        <f>G25+G27+G29+G33</f>
        <v>0.84890999999999994</v>
      </c>
      <c r="H34" s="54">
        <f>SUM(H25,H27,H29,H33)</f>
        <v>54.33</v>
      </c>
      <c r="J34" s="53">
        <f>J25+J27+J29+J33</f>
        <v>0.73008999999999991</v>
      </c>
      <c r="K34" s="54">
        <f>SUM(K25,K27,K29,K33)</f>
        <v>46.72</v>
      </c>
      <c r="M34" s="53">
        <f>M25+M27+M29+M33</f>
        <v>0.75611000000000006</v>
      </c>
      <c r="N34" s="54">
        <f>SUM(N25,N27,N29,N33)</f>
        <v>48.39</v>
      </c>
      <c r="P34" s="53">
        <f>P25+P27+P29+P33</f>
        <v>0.74011000000000005</v>
      </c>
      <c r="Q34" s="54">
        <f>SUM(Q25,Q27,Q29,Q33)</f>
        <v>47.370000000000005</v>
      </c>
      <c r="S34" s="53">
        <f>S25+S27+S29+S33</f>
        <v>0.82125999999999999</v>
      </c>
      <c r="T34" s="54">
        <f>SUM(T25,T27,T29,T33)</f>
        <v>52.56</v>
      </c>
    </row>
    <row r="35" spans="2:20" x14ac:dyDescent="0.25">
      <c r="E35" s="46"/>
      <c r="H35" s="46"/>
      <c r="K35" s="46"/>
      <c r="N35" s="46"/>
      <c r="Q35" s="46"/>
      <c r="T35" s="46"/>
    </row>
    <row r="36" spans="2:20" x14ac:dyDescent="0.25">
      <c r="B36" s="190" t="s">
        <v>68</v>
      </c>
      <c r="D36" s="50"/>
      <c r="E36" s="46">
        <f>E14+E34</f>
        <v>59.599999999999994</v>
      </c>
      <c r="F36" s="56"/>
      <c r="G36" s="50"/>
      <c r="H36" s="46">
        <f>H14+H34</f>
        <v>66.37</v>
      </c>
      <c r="J36" s="50"/>
      <c r="K36" s="46">
        <f>K14+K34</f>
        <v>57.57</v>
      </c>
      <c r="M36" s="50"/>
      <c r="N36" s="46">
        <f>N14+N34</f>
        <v>60.06</v>
      </c>
      <c r="P36" s="50"/>
      <c r="Q36" s="46">
        <f>Q14+Q34</f>
        <v>58.89</v>
      </c>
      <c r="S36" s="50"/>
      <c r="T36" s="46">
        <f>T14+T34</f>
        <v>64.08</v>
      </c>
    </row>
    <row r="37" spans="2:20" x14ac:dyDescent="0.25">
      <c r="B37" s="190" t="s">
        <v>69</v>
      </c>
      <c r="D37" s="50"/>
      <c r="E37" s="46"/>
      <c r="F37" s="56"/>
      <c r="G37" s="50"/>
      <c r="H37" s="46">
        <f>H36-$E36</f>
        <v>6.7700000000000102</v>
      </c>
      <c r="J37" s="50"/>
      <c r="K37" s="46">
        <f>K36-$E36</f>
        <v>-2.029999999999994</v>
      </c>
      <c r="M37" s="50"/>
      <c r="N37" s="46">
        <f>N36-$E36</f>
        <v>0.46000000000000796</v>
      </c>
      <c r="P37" s="50"/>
      <c r="Q37" s="46">
        <f>Q36-$E36</f>
        <v>-0.70999999999999375</v>
      </c>
      <c r="S37" s="50"/>
      <c r="T37" s="46">
        <f>T36-$E36</f>
        <v>4.480000000000004</v>
      </c>
    </row>
    <row r="38" spans="2:20" x14ac:dyDescent="0.25">
      <c r="B38" s="190" t="s">
        <v>70</v>
      </c>
      <c r="D38" s="57"/>
      <c r="E38" s="57"/>
      <c r="F38" s="58"/>
      <c r="G38" s="57"/>
      <c r="H38" s="232">
        <f>H37/$E36</f>
        <v>0.11359060402684582</v>
      </c>
      <c r="J38" s="57"/>
      <c r="K38" s="232">
        <f>K37/$E36</f>
        <v>-3.4060402684563659E-2</v>
      </c>
      <c r="M38" s="57"/>
      <c r="N38" s="232">
        <f>N37/$E36</f>
        <v>7.7181208053692619E-3</v>
      </c>
      <c r="P38" s="57"/>
      <c r="Q38" s="232">
        <f>Q37/$E36</f>
        <v>-1.1912751677852246E-2</v>
      </c>
      <c r="S38" s="57"/>
      <c r="T38" s="232">
        <f>T37/$E36</f>
        <v>7.5167785234899406E-2</v>
      </c>
    </row>
    <row r="39" spans="2:20" x14ac:dyDescent="0.25">
      <c r="E39" s="46"/>
    </row>
    <row r="40" spans="2:20" x14ac:dyDescent="0.25">
      <c r="B40" s="190" t="s">
        <v>71</v>
      </c>
      <c r="D40" s="52">
        <f>D25+D27+D29</f>
        <v>0.42852000000000001</v>
      </c>
      <c r="E40" s="46"/>
      <c r="F40" s="55"/>
      <c r="G40" s="52">
        <f>G25+G27+G29</f>
        <v>0.52610999999999997</v>
      </c>
      <c r="J40" s="52">
        <f>J25+J27+J29</f>
        <v>0.40728999999999999</v>
      </c>
      <c r="M40" s="52">
        <f>M25+M27+M29</f>
        <v>0.43331000000000003</v>
      </c>
      <c r="P40" s="52">
        <f>P25+P27+P29</f>
        <v>0.41731000000000001</v>
      </c>
      <c r="S40" s="52">
        <f>S25+S27+S29</f>
        <v>0.49846000000000001</v>
      </c>
    </row>
    <row r="42" spans="2:20" ht="17.25" x14ac:dyDescent="0.25">
      <c r="B42" s="59" t="s">
        <v>401</v>
      </c>
    </row>
    <row r="43" spans="2:20" x14ac:dyDescent="0.25">
      <c r="C43" s="59"/>
      <c r="D43" s="59"/>
      <c r="E43" s="59"/>
      <c r="F43" s="60"/>
      <c r="G43" s="60"/>
      <c r="H43" s="60"/>
    </row>
    <row r="48" spans="2:20" ht="14.25" customHeight="1" x14ac:dyDescent="0.25"/>
  </sheetData>
  <mergeCells count="4">
    <mergeCell ref="B1:T1"/>
    <mergeCell ref="B2:T2"/>
    <mergeCell ref="B3:T3"/>
    <mergeCell ref="B4:T4"/>
  </mergeCells>
  <printOptions horizontalCentered="1"/>
  <pageMargins left="0.5" right="0.5" top="1" bottom="1" header="0.5" footer="0.5"/>
  <pageSetup scale="66" orientation="landscape" blackAndWhite="1" r:id="rId1"/>
  <headerFooter alignWithMargins="0">
    <oddFooter>&amp;L&amp;F  
&amp;A&amp;RExhibit No. ___(JAP-15)
                   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8"/>
  <sheetViews>
    <sheetView zoomScaleNormal="100" workbookViewId="0">
      <pane ySplit="8" topLeftCell="A9" activePane="bottomLeft" state="frozen"/>
      <selection pane="bottomLeft" activeCell="J35" sqref="J35"/>
    </sheetView>
  </sheetViews>
  <sheetFormatPr defaultColWidth="9.140625" defaultRowHeight="12.75" x14ac:dyDescent="0.2"/>
  <cols>
    <col min="1" max="1" width="2.85546875" style="105" customWidth="1"/>
    <col min="2" max="2" width="40.85546875" style="105" customWidth="1"/>
    <col min="3" max="3" width="8.7109375" style="105" bestFit="1" customWidth="1"/>
    <col min="4" max="4" width="16.5703125" style="105" bestFit="1" customWidth="1"/>
    <col min="5" max="6" width="14.42578125" style="105" customWidth="1"/>
    <col min="7" max="8" width="17.140625" style="105" customWidth="1"/>
    <col min="9" max="9" width="15.5703125" style="105" customWidth="1"/>
    <col min="10" max="11" width="9.140625" style="105"/>
    <col min="12" max="13" width="11.28515625" style="105" bestFit="1" customWidth="1"/>
    <col min="14" max="14" width="9.7109375" style="105" bestFit="1" customWidth="1"/>
    <col min="15" max="16384" width="9.140625" style="105"/>
  </cols>
  <sheetData>
    <row r="1" spans="1:13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104"/>
    </row>
    <row r="2" spans="1:13" x14ac:dyDescent="0.2">
      <c r="A2" s="397" t="s">
        <v>343</v>
      </c>
      <c r="B2" s="397"/>
      <c r="C2" s="397"/>
      <c r="D2" s="397"/>
      <c r="E2" s="397"/>
      <c r="F2" s="397"/>
      <c r="G2" s="397"/>
      <c r="H2" s="397"/>
      <c r="I2" s="104"/>
    </row>
    <row r="3" spans="1:13" x14ac:dyDescent="0.2">
      <c r="A3" s="397" t="s">
        <v>336</v>
      </c>
      <c r="B3" s="397"/>
      <c r="C3" s="397"/>
      <c r="D3" s="397"/>
      <c r="E3" s="397"/>
      <c r="F3" s="397"/>
      <c r="G3" s="397"/>
      <c r="H3" s="397"/>
      <c r="I3" s="104"/>
    </row>
    <row r="4" spans="1:13" x14ac:dyDescent="0.2">
      <c r="A4" s="159"/>
      <c r="B4" s="159"/>
      <c r="C4" s="159"/>
      <c r="D4" s="159"/>
      <c r="E4" s="159"/>
      <c r="F4" s="159"/>
      <c r="G4" s="158"/>
      <c r="H4" s="104"/>
    </row>
    <row r="5" spans="1:13" x14ac:dyDescent="0.2">
      <c r="A5" s="106"/>
      <c r="B5" s="106"/>
      <c r="C5" s="106"/>
      <c r="D5" s="106"/>
      <c r="E5" s="106"/>
      <c r="F5" s="106"/>
      <c r="G5" s="106"/>
      <c r="H5" s="104"/>
    </row>
    <row r="6" spans="1:13" ht="15" customHeight="1" x14ac:dyDescent="0.25">
      <c r="C6" s="106"/>
      <c r="D6" s="5" t="s">
        <v>15</v>
      </c>
      <c r="E6" s="107" t="s">
        <v>5</v>
      </c>
      <c r="F6" s="107" t="s">
        <v>1</v>
      </c>
      <c r="G6" s="5"/>
      <c r="H6" s="106" t="s">
        <v>72</v>
      </c>
    </row>
    <row r="7" spans="1:13" ht="15" customHeight="1" x14ac:dyDescent="0.25">
      <c r="C7" s="106" t="s">
        <v>17</v>
      </c>
      <c r="D7" s="5" t="s">
        <v>3</v>
      </c>
      <c r="E7" s="107" t="s">
        <v>72</v>
      </c>
      <c r="F7" s="107" t="s">
        <v>72</v>
      </c>
      <c r="G7" s="5" t="s">
        <v>15</v>
      </c>
      <c r="H7" s="106" t="s">
        <v>207</v>
      </c>
    </row>
    <row r="8" spans="1:13" ht="15" x14ac:dyDescent="0.25">
      <c r="A8" s="127" t="s">
        <v>117</v>
      </c>
      <c r="B8" s="127"/>
      <c r="C8" s="108" t="s">
        <v>21</v>
      </c>
      <c r="D8" s="238" t="str">
        <f>'Base Rate Impacts'!$D$8</f>
        <v>Jan 18 - Dec 18</v>
      </c>
      <c r="E8" s="109" t="s">
        <v>22</v>
      </c>
      <c r="F8" s="109" t="s">
        <v>22</v>
      </c>
      <c r="G8" s="108" t="s">
        <v>248</v>
      </c>
      <c r="H8" s="108" t="s">
        <v>245</v>
      </c>
    </row>
    <row r="9" spans="1:13" x14ac:dyDescent="0.2">
      <c r="A9" s="111"/>
      <c r="B9" s="111"/>
      <c r="C9" s="111"/>
      <c r="D9" s="111"/>
      <c r="E9" s="112"/>
      <c r="F9" s="112"/>
      <c r="G9" s="111"/>
      <c r="H9" s="110"/>
    </row>
    <row r="10" spans="1:13" x14ac:dyDescent="0.2">
      <c r="A10" s="105" t="s">
        <v>119</v>
      </c>
      <c r="B10" s="111"/>
      <c r="C10" s="111">
        <v>16</v>
      </c>
      <c r="D10" s="143">
        <f>'Normalized Therms'!P10</f>
        <v>9344.1039999999994</v>
      </c>
      <c r="E10" s="113">
        <v>0</v>
      </c>
      <c r="F10" s="113">
        <v>0</v>
      </c>
      <c r="G10" s="114">
        <f>ROUND(E10*D10,2)</f>
        <v>0</v>
      </c>
      <c r="H10" s="114">
        <f>ROUND((F10-E10)*D10,2)</f>
        <v>0</v>
      </c>
    </row>
    <row r="11" spans="1:13" x14ac:dyDescent="0.2">
      <c r="A11" s="111"/>
      <c r="B11" s="111"/>
      <c r="C11" s="111"/>
      <c r="D11" s="144"/>
      <c r="E11" s="115"/>
      <c r="F11" s="115"/>
      <c r="G11" s="114"/>
      <c r="H11" s="110"/>
    </row>
    <row r="12" spans="1:13" ht="15" x14ac:dyDescent="0.25">
      <c r="A12" s="105" t="s">
        <v>10</v>
      </c>
      <c r="C12" s="106">
        <v>85</v>
      </c>
      <c r="D12" s="145"/>
      <c r="E12" s="116"/>
      <c r="F12" s="116"/>
      <c r="G12" s="119"/>
      <c r="H12" s="114"/>
      <c r="K12" s="114"/>
      <c r="L12" s="114"/>
      <c r="M12" s="114"/>
    </row>
    <row r="13" spans="1:13" x14ac:dyDescent="0.2">
      <c r="B13" s="105" t="s">
        <v>86</v>
      </c>
      <c r="C13" s="106"/>
      <c r="D13" s="143">
        <f>'12ME Dec18 Data'!N29</f>
        <v>329.5178182456545</v>
      </c>
      <c r="E13" s="120">
        <v>0</v>
      </c>
      <c r="F13" s="120">
        <v>0</v>
      </c>
      <c r="G13" s="114">
        <f>ROUND(E13*D13,2)</f>
        <v>0</v>
      </c>
      <c r="H13" s="114">
        <f>ROUND((F13-E13)*D13,2)</f>
        <v>0</v>
      </c>
      <c r="K13" s="114"/>
      <c r="L13" s="114"/>
      <c r="M13" s="114"/>
    </row>
    <row r="14" spans="1:13" x14ac:dyDescent="0.2">
      <c r="B14" s="105" t="s">
        <v>78</v>
      </c>
      <c r="C14" s="106"/>
      <c r="D14" s="143"/>
      <c r="E14" s="120"/>
      <c r="F14" s="120"/>
      <c r="G14" s="114"/>
      <c r="H14" s="114"/>
      <c r="K14" s="114"/>
      <c r="L14" s="114"/>
      <c r="M14" s="114"/>
    </row>
    <row r="15" spans="1:13" x14ac:dyDescent="0.2">
      <c r="B15" s="105" t="s">
        <v>87</v>
      </c>
      <c r="C15" s="106"/>
      <c r="D15" s="143">
        <f>'Normalized Therms'!P14</f>
        <v>15787998.554000001</v>
      </c>
      <c r="E15" s="121">
        <v>0</v>
      </c>
      <c r="F15" s="121">
        <v>0</v>
      </c>
      <c r="G15" s="114">
        <f>ROUND(E15*D15,2)</f>
        <v>0</v>
      </c>
      <c r="H15" s="114">
        <f>ROUND((F15-E15)*D15,2)</f>
        <v>0</v>
      </c>
      <c r="K15" s="114"/>
      <c r="L15" s="114"/>
      <c r="M15" s="114"/>
    </row>
    <row r="16" spans="1:13" ht="15" x14ac:dyDescent="0.25">
      <c r="B16" s="105" t="s">
        <v>79</v>
      </c>
      <c r="C16" s="106"/>
      <c r="D16" s="145"/>
      <c r="E16" s="121"/>
      <c r="F16" s="121"/>
      <c r="G16" s="119"/>
      <c r="H16" s="114"/>
      <c r="K16" s="114"/>
      <c r="L16" s="114"/>
      <c r="M16" s="114"/>
    </row>
    <row r="17" spans="1:13" x14ac:dyDescent="0.2">
      <c r="B17" s="105" t="s">
        <v>88</v>
      </c>
      <c r="C17" s="106"/>
      <c r="D17" s="143">
        <f>'Normalized Therms'!$P$14*'12ME Dec18 Bill Freq'!N13</f>
        <v>7617621.6730000013</v>
      </c>
      <c r="E17" s="121">
        <v>0</v>
      </c>
      <c r="F17" s="121">
        <v>0</v>
      </c>
      <c r="G17" s="114">
        <f>ROUND(E17*D17,2)</f>
        <v>0</v>
      </c>
      <c r="H17" s="114">
        <f t="shared" ref="H17:H19" si="0">ROUND((F17-E17)*D17,2)</f>
        <v>0</v>
      </c>
      <c r="K17" s="114"/>
      <c r="L17" s="114"/>
      <c r="M17" s="114"/>
    </row>
    <row r="18" spans="1:13" x14ac:dyDescent="0.2">
      <c r="B18" s="105" t="s">
        <v>89</v>
      </c>
      <c r="C18" s="106"/>
      <c r="D18" s="143">
        <f>'Normalized Therms'!$P$14*'12ME Dec18 Bill Freq'!N14</f>
        <v>4021281.8229999999</v>
      </c>
      <c r="E18" s="121">
        <v>0</v>
      </c>
      <c r="F18" s="121">
        <v>0</v>
      </c>
      <c r="G18" s="114">
        <f>ROUND(E18*D18,2)</f>
        <v>0</v>
      </c>
      <c r="H18" s="114">
        <f t="shared" si="0"/>
        <v>0</v>
      </c>
      <c r="K18" s="114"/>
      <c r="L18" s="114"/>
      <c r="M18" s="114"/>
    </row>
    <row r="19" spans="1:13" x14ac:dyDescent="0.2">
      <c r="B19" s="105" t="s">
        <v>90</v>
      </c>
      <c r="C19" s="106"/>
      <c r="D19" s="143">
        <f>'Normalized Therms'!$P$14*'12ME Dec18 Bill Freq'!N15</f>
        <v>4149095.0579999997</v>
      </c>
      <c r="E19" s="121">
        <v>0</v>
      </c>
      <c r="F19" s="121">
        <v>0</v>
      </c>
      <c r="G19" s="118">
        <f>ROUND(E19*D19,2)</f>
        <v>0</v>
      </c>
      <c r="H19" s="114">
        <f t="shared" si="0"/>
        <v>0</v>
      </c>
      <c r="K19" s="114"/>
      <c r="L19" s="114"/>
      <c r="M19" s="114"/>
    </row>
    <row r="20" spans="1:13" x14ac:dyDescent="0.2">
      <c r="B20" s="105" t="s">
        <v>6</v>
      </c>
      <c r="C20" s="106"/>
      <c r="D20" s="143"/>
      <c r="E20" s="121"/>
      <c r="F20" s="121"/>
      <c r="G20" s="114">
        <f>SUM(G13:G19)</f>
        <v>0</v>
      </c>
      <c r="H20" s="160">
        <f>SUM(H13:H19)</f>
        <v>0</v>
      </c>
      <c r="K20" s="114"/>
      <c r="L20" s="114"/>
      <c r="M20" s="114"/>
    </row>
    <row r="21" spans="1:13" x14ac:dyDescent="0.2">
      <c r="C21" s="106"/>
      <c r="D21" s="145"/>
      <c r="E21" s="121"/>
      <c r="F21" s="121"/>
      <c r="G21" s="114"/>
      <c r="H21" s="114"/>
      <c r="K21" s="114"/>
      <c r="L21" s="114"/>
      <c r="M21" s="114"/>
    </row>
    <row r="22" spans="1:13" ht="15" x14ac:dyDescent="0.25">
      <c r="A22" s="105" t="s">
        <v>91</v>
      </c>
      <c r="C22" s="106" t="s">
        <v>37</v>
      </c>
      <c r="D22" s="145"/>
      <c r="E22" s="121"/>
      <c r="F22" s="121"/>
      <c r="G22" s="119"/>
      <c r="H22" s="114"/>
      <c r="K22" s="114"/>
      <c r="L22" s="114"/>
      <c r="M22" s="114"/>
    </row>
    <row r="23" spans="1:13" x14ac:dyDescent="0.2">
      <c r="B23" s="105" t="s">
        <v>86</v>
      </c>
      <c r="C23" s="106"/>
      <c r="D23" s="143">
        <f>'12ME Dec18 Data'!N30</f>
        <v>1199.4001036779719</v>
      </c>
      <c r="E23" s="120">
        <v>0</v>
      </c>
      <c r="F23" s="120">
        <v>0</v>
      </c>
      <c r="G23" s="114">
        <f>ROUND(E23*D23,2)</f>
        <v>0</v>
      </c>
      <c r="H23" s="114">
        <f t="shared" ref="H23:H24" si="1">ROUND((F23-E23)*D23,2)</f>
        <v>0</v>
      </c>
      <c r="K23" s="114"/>
      <c r="L23" s="114"/>
      <c r="M23" s="114"/>
    </row>
    <row r="24" spans="1:13" x14ac:dyDescent="0.2">
      <c r="B24" s="105" t="s">
        <v>78</v>
      </c>
      <c r="C24" s="106"/>
      <c r="D24" s="143"/>
      <c r="E24" s="121">
        <v>0</v>
      </c>
      <c r="F24" s="121">
        <v>0</v>
      </c>
      <c r="G24" s="114">
        <f>ROUND(E24*D24,2)</f>
        <v>0</v>
      </c>
      <c r="H24" s="114">
        <f t="shared" si="1"/>
        <v>0</v>
      </c>
      <c r="K24" s="114"/>
      <c r="L24" s="114"/>
      <c r="M24" s="114"/>
    </row>
    <row r="25" spans="1:13" ht="15" x14ac:dyDescent="0.25">
      <c r="B25" s="105" t="s">
        <v>79</v>
      </c>
      <c r="C25" s="106"/>
      <c r="D25" s="145"/>
      <c r="E25" s="121"/>
      <c r="F25" s="121"/>
      <c r="G25" s="119"/>
      <c r="H25" s="114"/>
      <c r="K25" s="114"/>
      <c r="L25" s="114"/>
      <c r="M25" s="114"/>
    </row>
    <row r="26" spans="1:13" x14ac:dyDescent="0.2">
      <c r="B26" s="105" t="s">
        <v>88</v>
      </c>
      <c r="C26" s="106"/>
      <c r="D26" s="143">
        <f>'Normalized Therms'!$P$19*'12ME Dec18 Bill Freq'!N43</f>
        <v>28123063.68</v>
      </c>
      <c r="E26" s="121">
        <v>0</v>
      </c>
      <c r="F26" s="121">
        <v>0</v>
      </c>
      <c r="G26" s="114">
        <f>ROUND(E26*D26,2)</f>
        <v>0</v>
      </c>
      <c r="H26" s="114">
        <f t="shared" ref="H26:H28" si="2">ROUND((F26-E26)*D26,2)</f>
        <v>0</v>
      </c>
      <c r="K26" s="114"/>
      <c r="L26" s="114"/>
      <c r="M26" s="114"/>
    </row>
    <row r="27" spans="1:13" x14ac:dyDescent="0.2">
      <c r="B27" s="105" t="s">
        <v>89</v>
      </c>
      <c r="C27" s="106"/>
      <c r="D27" s="143">
        <f>'Normalized Therms'!$P$19*'12ME Dec18 Bill Freq'!N44</f>
        <v>18732272.720000003</v>
      </c>
      <c r="E27" s="121">
        <v>0</v>
      </c>
      <c r="F27" s="121">
        <v>0</v>
      </c>
      <c r="G27" s="114">
        <f>ROUND(E27*D27,2)</f>
        <v>0</v>
      </c>
      <c r="H27" s="114">
        <f t="shared" si="2"/>
        <v>0</v>
      </c>
      <c r="K27" s="114"/>
      <c r="L27" s="114"/>
      <c r="M27" s="114"/>
    </row>
    <row r="28" spans="1:13" x14ac:dyDescent="0.2">
      <c r="B28" s="105" t="s">
        <v>90</v>
      </c>
      <c r="C28" s="106"/>
      <c r="D28" s="143">
        <f>'Normalized Therms'!$P$19*'12ME Dec18 Bill Freq'!N45</f>
        <v>27976821.810000002</v>
      </c>
      <c r="E28" s="121">
        <v>0</v>
      </c>
      <c r="F28" s="121">
        <v>0</v>
      </c>
      <c r="G28" s="118">
        <f>ROUND(E28*D28,2)</f>
        <v>0</v>
      </c>
      <c r="H28" s="114">
        <f t="shared" si="2"/>
        <v>0</v>
      </c>
      <c r="K28" s="114"/>
      <c r="L28" s="114"/>
      <c r="M28" s="114"/>
    </row>
    <row r="29" spans="1:13" x14ac:dyDescent="0.2">
      <c r="B29" s="105" t="s">
        <v>6</v>
      </c>
      <c r="C29" s="106"/>
      <c r="D29" s="143"/>
      <c r="E29" s="116"/>
      <c r="F29" s="116"/>
      <c r="G29" s="114">
        <f>SUM(G23:G28)</f>
        <v>0</v>
      </c>
      <c r="H29" s="160">
        <f>SUM(H23:H28)</f>
        <v>0</v>
      </c>
      <c r="K29" s="114"/>
      <c r="L29" s="114"/>
      <c r="M29" s="114"/>
    </row>
    <row r="30" spans="1:13" x14ac:dyDescent="0.2">
      <c r="C30" s="106"/>
      <c r="D30" s="143"/>
      <c r="E30" s="116"/>
      <c r="F30" s="116"/>
      <c r="G30" s="114"/>
      <c r="H30" s="114"/>
      <c r="K30" s="114"/>
      <c r="L30" s="114"/>
      <c r="M30" s="114"/>
    </row>
    <row r="31" spans="1:13" x14ac:dyDescent="0.2">
      <c r="B31" s="105" t="s">
        <v>92</v>
      </c>
      <c r="C31" s="106" t="s">
        <v>93</v>
      </c>
      <c r="D31" s="143"/>
      <c r="E31" s="116"/>
      <c r="F31" s="116"/>
      <c r="G31" s="114">
        <f>G20+G29</f>
        <v>0</v>
      </c>
      <c r="H31" s="114">
        <f>ROUND((F31-E31)*D31,2)</f>
        <v>0</v>
      </c>
      <c r="K31" s="114"/>
      <c r="L31" s="114"/>
      <c r="M31" s="114"/>
    </row>
    <row r="32" spans="1:13" x14ac:dyDescent="0.2">
      <c r="C32" s="106"/>
      <c r="D32" s="143"/>
      <c r="E32" s="116"/>
      <c r="F32" s="116"/>
      <c r="G32" s="114"/>
      <c r="H32" s="114"/>
      <c r="K32" s="114"/>
      <c r="L32" s="114"/>
      <c r="M32" s="114"/>
    </row>
    <row r="33" spans="1:13" ht="15" x14ac:dyDescent="0.25">
      <c r="A33" s="105" t="s">
        <v>10</v>
      </c>
      <c r="C33" s="106">
        <v>87</v>
      </c>
      <c r="D33" s="145"/>
      <c r="E33" s="116"/>
      <c r="F33" s="116"/>
      <c r="G33" s="119"/>
      <c r="H33" s="114"/>
      <c r="K33" s="114"/>
      <c r="L33" s="114"/>
      <c r="M33" s="114"/>
    </row>
    <row r="34" spans="1:13" x14ac:dyDescent="0.2">
      <c r="B34" s="105" t="s">
        <v>86</v>
      </c>
      <c r="C34" s="106"/>
      <c r="D34" s="143">
        <f>'12ME Dec18 Data'!N33</f>
        <v>60.025001175986063</v>
      </c>
      <c r="E34" s="120">
        <v>0</v>
      </c>
      <c r="F34" s="120">
        <v>0</v>
      </c>
      <c r="G34" s="114">
        <f>ROUND(E34*D34,2)</f>
        <v>0</v>
      </c>
      <c r="H34" s="114">
        <f t="shared" ref="H34:H36" si="3">ROUND((F34-E34)*D34,2)</f>
        <v>0</v>
      </c>
      <c r="K34" s="114"/>
      <c r="L34" s="114"/>
      <c r="M34" s="114"/>
    </row>
    <row r="35" spans="1:13" x14ac:dyDescent="0.2">
      <c r="B35" s="105" t="s">
        <v>78</v>
      </c>
      <c r="C35" s="106"/>
      <c r="D35" s="143"/>
      <c r="E35" s="121">
        <v>0</v>
      </c>
      <c r="F35" s="121">
        <v>0</v>
      </c>
      <c r="G35" s="114">
        <f>ROUND(E35*D35,2)</f>
        <v>0</v>
      </c>
      <c r="H35" s="114">
        <f t="shared" si="3"/>
        <v>0</v>
      </c>
      <c r="K35" s="114"/>
      <c r="L35" s="114"/>
      <c r="M35" s="114"/>
    </row>
    <row r="36" spans="1:13" x14ac:dyDescent="0.2">
      <c r="B36" s="105" t="s">
        <v>87</v>
      </c>
      <c r="C36" s="106"/>
      <c r="D36" s="143">
        <f>'Normalized Therms'!P16</f>
        <v>22881723.659000002</v>
      </c>
      <c r="E36" s="121">
        <v>0</v>
      </c>
      <c r="F36" s="121">
        <v>0</v>
      </c>
      <c r="G36" s="114">
        <f>ROUND(E36*D36,2)</f>
        <v>0</v>
      </c>
      <c r="H36" s="114">
        <f t="shared" si="3"/>
        <v>0</v>
      </c>
      <c r="K36" s="114"/>
      <c r="L36" s="114"/>
      <c r="M36" s="114"/>
    </row>
    <row r="37" spans="1:13" ht="15" x14ac:dyDescent="0.25">
      <c r="B37" s="105" t="s">
        <v>79</v>
      </c>
      <c r="C37" s="106"/>
      <c r="D37" s="145"/>
      <c r="E37" s="121"/>
      <c r="F37" s="121"/>
      <c r="G37" s="119"/>
      <c r="H37" s="114"/>
      <c r="K37" s="114"/>
      <c r="L37" s="114"/>
      <c r="M37" s="114"/>
    </row>
    <row r="38" spans="1:13" x14ac:dyDescent="0.2">
      <c r="B38" s="105" t="s">
        <v>88</v>
      </c>
      <c r="C38" s="106"/>
      <c r="D38" s="143">
        <f>'Normalized Therms'!$P$16*'12ME Dec18 Bill Freq'!N26</f>
        <v>1500625.1840000001</v>
      </c>
      <c r="E38" s="121">
        <v>0</v>
      </c>
      <c r="F38" s="121">
        <v>0</v>
      </c>
      <c r="G38" s="114">
        <f t="shared" ref="G38:G43" si="4">ROUND(E38*D38,2)</f>
        <v>0</v>
      </c>
      <c r="H38" s="114">
        <f t="shared" ref="H38:H43" si="5">ROUND((F38-E38)*D38,2)</f>
        <v>0</v>
      </c>
      <c r="K38" s="114"/>
      <c r="L38" s="114"/>
      <c r="M38" s="114"/>
    </row>
    <row r="39" spans="1:13" x14ac:dyDescent="0.2">
      <c r="B39" s="105" t="s">
        <v>89</v>
      </c>
      <c r="C39" s="106"/>
      <c r="D39" s="143">
        <f>'Normalized Therms'!$P$16*'12ME Dec18 Bill Freq'!N27</f>
        <v>1470839.4029999999</v>
      </c>
      <c r="E39" s="121">
        <v>0</v>
      </c>
      <c r="F39" s="121">
        <v>0</v>
      </c>
      <c r="G39" s="114">
        <f t="shared" si="4"/>
        <v>0</v>
      </c>
      <c r="H39" s="114">
        <f t="shared" si="5"/>
        <v>0</v>
      </c>
      <c r="K39" s="114"/>
      <c r="L39" s="114"/>
      <c r="M39" s="114"/>
    </row>
    <row r="40" spans="1:13" x14ac:dyDescent="0.2">
      <c r="B40" s="105" t="s">
        <v>99</v>
      </c>
      <c r="C40" s="106"/>
      <c r="D40" s="143">
        <f>'Normalized Therms'!$P$16*'12ME Dec18 Bill Freq'!N28</f>
        <v>2603460.2510000002</v>
      </c>
      <c r="E40" s="121">
        <v>0</v>
      </c>
      <c r="F40" s="121">
        <v>0</v>
      </c>
      <c r="G40" s="114">
        <f t="shared" si="4"/>
        <v>0</v>
      </c>
      <c r="H40" s="114">
        <f t="shared" si="5"/>
        <v>0</v>
      </c>
      <c r="K40" s="114"/>
      <c r="L40" s="114"/>
      <c r="M40" s="114"/>
    </row>
    <row r="41" spans="1:13" x14ac:dyDescent="0.2">
      <c r="B41" s="105" t="s">
        <v>100</v>
      </c>
      <c r="C41" s="106"/>
      <c r="D41" s="143">
        <f>'Normalized Therms'!$P$16*'12ME Dec18 Bill Freq'!N29</f>
        <v>3197116.5289999996</v>
      </c>
      <c r="E41" s="121">
        <v>0</v>
      </c>
      <c r="F41" s="121">
        <v>0</v>
      </c>
      <c r="G41" s="114">
        <f t="shared" si="4"/>
        <v>0</v>
      </c>
      <c r="H41" s="114">
        <f t="shared" si="5"/>
        <v>0</v>
      </c>
      <c r="K41" s="114"/>
      <c r="L41" s="114"/>
      <c r="M41" s="114"/>
    </row>
    <row r="42" spans="1:13" x14ac:dyDescent="0.2">
      <c r="B42" s="122" t="s">
        <v>101</v>
      </c>
      <c r="C42" s="106"/>
      <c r="D42" s="143">
        <f>'Normalized Therms'!$P$16*'12ME Dec18 Bill Freq'!N30</f>
        <v>3739136.7420000001</v>
      </c>
      <c r="E42" s="121">
        <v>0</v>
      </c>
      <c r="F42" s="121">
        <v>0</v>
      </c>
      <c r="G42" s="114">
        <f t="shared" si="4"/>
        <v>0</v>
      </c>
      <c r="H42" s="114">
        <f t="shared" si="5"/>
        <v>0</v>
      </c>
      <c r="K42" s="114"/>
      <c r="L42" s="114"/>
      <c r="M42" s="114"/>
    </row>
    <row r="43" spans="1:13" x14ac:dyDescent="0.2">
      <c r="B43" s="105" t="s">
        <v>102</v>
      </c>
      <c r="C43" s="106"/>
      <c r="D43" s="143">
        <f>'Normalized Therms'!$P$16*'12ME Dec18 Bill Freq'!N31</f>
        <v>10370545.550000001</v>
      </c>
      <c r="E43" s="121">
        <v>0</v>
      </c>
      <c r="F43" s="121">
        <v>0</v>
      </c>
      <c r="G43" s="118">
        <f t="shared" si="4"/>
        <v>0</v>
      </c>
      <c r="H43" s="114">
        <f t="shared" si="5"/>
        <v>0</v>
      </c>
      <c r="K43" s="114"/>
      <c r="L43" s="114"/>
      <c r="M43" s="114"/>
    </row>
    <row r="44" spans="1:13" x14ac:dyDescent="0.2">
      <c r="B44" s="105" t="s">
        <v>6</v>
      </c>
      <c r="C44" s="106"/>
      <c r="D44" s="143"/>
      <c r="E44" s="121"/>
      <c r="F44" s="121"/>
      <c r="G44" s="114">
        <f>SUM(G34:G43)</f>
        <v>0</v>
      </c>
      <c r="H44" s="160">
        <f>SUM(H34:H43)</f>
        <v>0</v>
      </c>
      <c r="K44" s="114"/>
      <c r="L44" s="114"/>
      <c r="M44" s="114"/>
    </row>
    <row r="45" spans="1:13" x14ac:dyDescent="0.2">
      <c r="C45" s="106"/>
      <c r="D45" s="143"/>
      <c r="E45" s="121"/>
      <c r="F45" s="121"/>
      <c r="G45" s="114"/>
      <c r="H45" s="114"/>
      <c r="K45" s="114"/>
      <c r="L45" s="114"/>
      <c r="M45" s="114"/>
    </row>
    <row r="46" spans="1:13" ht="15" x14ac:dyDescent="0.25">
      <c r="A46" s="105" t="s">
        <v>91</v>
      </c>
      <c r="C46" s="106" t="s">
        <v>41</v>
      </c>
      <c r="D46" s="145"/>
      <c r="E46" s="121"/>
      <c r="F46" s="121"/>
      <c r="G46" s="119"/>
      <c r="H46" s="114"/>
      <c r="K46" s="114"/>
      <c r="L46" s="114"/>
      <c r="M46" s="114"/>
    </row>
    <row r="47" spans="1:13" x14ac:dyDescent="0.2">
      <c r="B47" s="105" t="s">
        <v>86</v>
      </c>
      <c r="C47" s="106"/>
      <c r="D47" s="143">
        <f>'12ME Dec18 Data'!N34</f>
        <v>118.76667017913593</v>
      </c>
      <c r="E47" s="120">
        <v>0</v>
      </c>
      <c r="F47" s="120">
        <v>0</v>
      </c>
      <c r="G47" s="114">
        <f>ROUND(E47*D47,2)</f>
        <v>0</v>
      </c>
      <c r="H47" s="114">
        <f t="shared" ref="H47:H48" si="6">ROUND((F47-E47)*D47,2)</f>
        <v>0</v>
      </c>
      <c r="K47" s="114"/>
      <c r="L47" s="114"/>
      <c r="M47" s="114"/>
    </row>
    <row r="48" spans="1:13" x14ac:dyDescent="0.2">
      <c r="B48" s="105" t="s">
        <v>78</v>
      </c>
      <c r="C48" s="106"/>
      <c r="D48" s="143"/>
      <c r="E48" s="121">
        <v>0</v>
      </c>
      <c r="F48" s="121">
        <v>0</v>
      </c>
      <c r="G48" s="114">
        <f>ROUND(E48*D48,2)</f>
        <v>0</v>
      </c>
      <c r="H48" s="114">
        <f t="shared" si="6"/>
        <v>0</v>
      </c>
      <c r="K48" s="114"/>
      <c r="L48" s="114"/>
      <c r="M48" s="114"/>
    </row>
    <row r="49" spans="1:13" ht="15" x14ac:dyDescent="0.25">
      <c r="B49" s="105" t="s">
        <v>79</v>
      </c>
      <c r="C49" s="106"/>
      <c r="D49" s="145"/>
      <c r="E49" s="121"/>
      <c r="F49" s="121"/>
      <c r="G49" s="119"/>
      <c r="H49" s="114"/>
      <c r="K49" s="114"/>
      <c r="L49" s="114"/>
      <c r="M49" s="114"/>
    </row>
    <row r="50" spans="1:13" x14ac:dyDescent="0.2">
      <c r="B50" s="105" t="s">
        <v>88</v>
      </c>
      <c r="C50" s="106"/>
      <c r="D50" s="143">
        <f>'Normalized Therms'!$P$21*'12ME Dec18 Bill Freq'!N56</f>
        <v>2999999.9999999995</v>
      </c>
      <c r="E50" s="121">
        <v>0</v>
      </c>
      <c r="F50" s="121">
        <v>0</v>
      </c>
      <c r="G50" s="114">
        <f t="shared" ref="G50:G55" si="7">ROUND(E50*D50,2)</f>
        <v>0</v>
      </c>
      <c r="H50" s="114">
        <f t="shared" ref="H50:H55" si="8">ROUND((F50-E50)*D50,2)</f>
        <v>0</v>
      </c>
      <c r="K50" s="114"/>
      <c r="L50" s="114"/>
      <c r="M50" s="114"/>
    </row>
    <row r="51" spans="1:13" x14ac:dyDescent="0.2">
      <c r="B51" s="105" t="s">
        <v>89</v>
      </c>
      <c r="C51" s="106"/>
      <c r="D51" s="143">
        <f>'Normalized Therms'!$P$21*'12ME Dec18 Bill Freq'!N57</f>
        <v>2999999.9999999995</v>
      </c>
      <c r="E51" s="121">
        <v>0</v>
      </c>
      <c r="F51" s="121">
        <v>0</v>
      </c>
      <c r="G51" s="114">
        <f t="shared" si="7"/>
        <v>0</v>
      </c>
      <c r="H51" s="114">
        <f t="shared" si="8"/>
        <v>0</v>
      </c>
      <c r="K51" s="114"/>
      <c r="L51" s="114"/>
      <c r="M51" s="114"/>
    </row>
    <row r="52" spans="1:13" x14ac:dyDescent="0.2">
      <c r="B52" s="105" t="s">
        <v>99</v>
      </c>
      <c r="C52" s="106"/>
      <c r="D52" s="143">
        <f>'Normalized Therms'!$P$21*'12ME Dec18 Bill Freq'!N58</f>
        <v>5983755.4799999986</v>
      </c>
      <c r="E52" s="121">
        <v>0</v>
      </c>
      <c r="F52" s="121">
        <v>0</v>
      </c>
      <c r="G52" s="114">
        <f t="shared" si="7"/>
        <v>0</v>
      </c>
      <c r="H52" s="114">
        <f t="shared" si="8"/>
        <v>0</v>
      </c>
      <c r="K52" s="114"/>
      <c r="L52" s="114"/>
      <c r="M52" s="114"/>
    </row>
    <row r="53" spans="1:13" x14ac:dyDescent="0.2">
      <c r="B53" s="105" t="s">
        <v>100</v>
      </c>
      <c r="C53" s="106"/>
      <c r="D53" s="143">
        <f>'Normalized Therms'!$P$21*'12ME Dec18 Bill Freq'!N59</f>
        <v>11737512.85</v>
      </c>
      <c r="E53" s="121">
        <v>0</v>
      </c>
      <c r="F53" s="121">
        <v>0</v>
      </c>
      <c r="G53" s="114">
        <f t="shared" si="7"/>
        <v>0</v>
      </c>
      <c r="H53" s="114">
        <f t="shared" si="8"/>
        <v>0</v>
      </c>
      <c r="K53" s="114"/>
      <c r="L53" s="114"/>
      <c r="M53" s="114"/>
    </row>
    <row r="54" spans="1:13" x14ac:dyDescent="0.2">
      <c r="B54" s="122" t="s">
        <v>101</v>
      </c>
      <c r="C54" s="106"/>
      <c r="D54" s="143">
        <f>'Normalized Therms'!$P$21*'12ME Dec18 Bill Freq'!N60</f>
        <v>26253607.009999998</v>
      </c>
      <c r="E54" s="121">
        <v>0</v>
      </c>
      <c r="F54" s="121">
        <v>0</v>
      </c>
      <c r="G54" s="114">
        <f t="shared" si="7"/>
        <v>0</v>
      </c>
      <c r="H54" s="114">
        <f t="shared" si="8"/>
        <v>0</v>
      </c>
      <c r="K54" s="114"/>
      <c r="L54" s="114"/>
      <c r="M54" s="114"/>
    </row>
    <row r="55" spans="1:13" x14ac:dyDescent="0.2">
      <c r="B55" s="105" t="s">
        <v>102</v>
      </c>
      <c r="C55" s="106"/>
      <c r="D55" s="143">
        <f>'Normalized Therms'!$P$21*'12ME Dec18 Bill Freq'!N61</f>
        <v>50252432.389999993</v>
      </c>
      <c r="E55" s="121">
        <v>0</v>
      </c>
      <c r="F55" s="121">
        <v>0</v>
      </c>
      <c r="G55" s="118">
        <f t="shared" si="7"/>
        <v>0</v>
      </c>
      <c r="H55" s="114">
        <f t="shared" si="8"/>
        <v>0</v>
      </c>
      <c r="K55" s="114"/>
      <c r="L55" s="114"/>
      <c r="M55" s="114"/>
    </row>
    <row r="56" spans="1:13" x14ac:dyDescent="0.2">
      <c r="B56" s="105" t="s">
        <v>6</v>
      </c>
      <c r="C56" s="106"/>
      <c r="D56" s="143"/>
      <c r="E56" s="116"/>
      <c r="F56" s="116"/>
      <c r="G56" s="114">
        <f>SUM(G47:G55)</f>
        <v>0</v>
      </c>
      <c r="H56" s="160">
        <f>SUM(H47:H55)</f>
        <v>0</v>
      </c>
      <c r="K56" s="114"/>
      <c r="L56" s="114"/>
      <c r="M56" s="114"/>
    </row>
    <row r="57" spans="1:13" x14ac:dyDescent="0.2">
      <c r="C57" s="106"/>
      <c r="D57" s="143"/>
      <c r="E57" s="116"/>
      <c r="F57" s="116"/>
      <c r="G57" s="114"/>
      <c r="H57" s="114"/>
      <c r="K57" s="114"/>
      <c r="L57" s="114"/>
      <c r="M57" s="114"/>
    </row>
    <row r="58" spans="1:13" x14ac:dyDescent="0.2">
      <c r="B58" s="105" t="s">
        <v>103</v>
      </c>
      <c r="C58" s="106" t="s">
        <v>104</v>
      </c>
      <c r="D58" s="143"/>
      <c r="E58" s="116"/>
      <c r="F58" s="116"/>
      <c r="G58" s="114">
        <f>G44+G56</f>
        <v>0</v>
      </c>
      <c r="H58" s="114">
        <f>ROUND((F58-E58)*D58,2)</f>
        <v>0</v>
      </c>
      <c r="K58" s="114"/>
      <c r="L58" s="114"/>
      <c r="M58" s="114"/>
    </row>
    <row r="59" spans="1:13" x14ac:dyDescent="0.2">
      <c r="C59" s="106"/>
      <c r="D59" s="143"/>
      <c r="E59" s="116"/>
      <c r="F59" s="116"/>
      <c r="G59" s="114"/>
      <c r="H59" s="114"/>
      <c r="K59" s="114"/>
      <c r="L59" s="114"/>
      <c r="M59" s="114"/>
    </row>
    <row r="60" spans="1:13" x14ac:dyDescent="0.2">
      <c r="A60" s="105" t="s">
        <v>120</v>
      </c>
      <c r="C60" s="106"/>
      <c r="D60" s="143"/>
      <c r="E60" s="116"/>
      <c r="F60" s="116"/>
      <c r="G60" s="114"/>
      <c r="H60" s="114"/>
      <c r="K60" s="114"/>
      <c r="L60" s="114"/>
      <c r="M60" s="114"/>
    </row>
    <row r="61" spans="1:13" x14ac:dyDescent="0.2">
      <c r="B61" s="105" t="s">
        <v>121</v>
      </c>
      <c r="C61" s="105" t="s">
        <v>122</v>
      </c>
      <c r="D61" s="143">
        <f>'12ME Dec18 Rentals'!O5</f>
        <v>12263</v>
      </c>
      <c r="E61" s="120">
        <v>0</v>
      </c>
      <c r="F61" s="120">
        <v>0</v>
      </c>
      <c r="G61" s="114">
        <f t="shared" ref="G61:G66" si="9">ROUND(E61*D61,2)</f>
        <v>0</v>
      </c>
      <c r="H61" s="114">
        <f t="shared" ref="H61:H66" si="10">ROUND((F61-E61)*D61,2)</f>
        <v>0</v>
      </c>
      <c r="K61" s="114"/>
      <c r="L61" s="114"/>
      <c r="M61" s="114"/>
    </row>
    <row r="62" spans="1:13" x14ac:dyDescent="0.2">
      <c r="B62" s="105" t="s">
        <v>123</v>
      </c>
      <c r="C62" s="105" t="s">
        <v>124</v>
      </c>
      <c r="D62" s="143">
        <f>'12ME Dec18 Rentals'!O6</f>
        <v>190792</v>
      </c>
      <c r="E62" s="120">
        <v>0</v>
      </c>
      <c r="F62" s="120">
        <v>0</v>
      </c>
      <c r="G62" s="114">
        <f t="shared" si="9"/>
        <v>0</v>
      </c>
      <c r="H62" s="114">
        <f t="shared" si="10"/>
        <v>0</v>
      </c>
      <c r="K62" s="114"/>
      <c r="L62" s="114"/>
      <c r="M62" s="114"/>
    </row>
    <row r="63" spans="1:13" x14ac:dyDescent="0.2">
      <c r="B63" s="105" t="s">
        <v>125</v>
      </c>
      <c r="C63" s="105" t="s">
        <v>126</v>
      </c>
      <c r="D63" s="143">
        <f>'12ME Dec18 Rentals'!O7</f>
        <v>36011</v>
      </c>
      <c r="E63" s="120">
        <v>0</v>
      </c>
      <c r="F63" s="120">
        <v>0</v>
      </c>
      <c r="G63" s="114">
        <f t="shared" si="9"/>
        <v>0</v>
      </c>
      <c r="H63" s="114">
        <f t="shared" si="10"/>
        <v>0</v>
      </c>
      <c r="K63" s="114"/>
      <c r="L63" s="114"/>
      <c r="M63" s="114"/>
    </row>
    <row r="64" spans="1:13" x14ac:dyDescent="0.2">
      <c r="B64" s="105" t="s">
        <v>127</v>
      </c>
      <c r="C64" s="105" t="s">
        <v>128</v>
      </c>
      <c r="D64" s="143">
        <f>'12ME Dec18 Rentals'!O8</f>
        <v>7959</v>
      </c>
      <c r="E64" s="120">
        <v>0</v>
      </c>
      <c r="F64" s="120">
        <v>0</v>
      </c>
      <c r="G64" s="114">
        <f t="shared" si="9"/>
        <v>0</v>
      </c>
      <c r="H64" s="114">
        <f t="shared" si="10"/>
        <v>0</v>
      </c>
      <c r="K64" s="114"/>
      <c r="L64" s="114"/>
      <c r="M64" s="114"/>
    </row>
    <row r="65" spans="1:13" x14ac:dyDescent="0.2">
      <c r="B65" s="105" t="s">
        <v>129</v>
      </c>
      <c r="C65" s="105" t="s">
        <v>130</v>
      </c>
      <c r="D65" s="143">
        <f>'12ME Dec18 Rentals'!O9</f>
        <v>40377</v>
      </c>
      <c r="E65" s="120">
        <v>0</v>
      </c>
      <c r="F65" s="120">
        <v>0</v>
      </c>
      <c r="G65" s="114">
        <f t="shared" si="9"/>
        <v>0</v>
      </c>
      <c r="H65" s="114">
        <f t="shared" si="10"/>
        <v>0</v>
      </c>
      <c r="K65" s="114"/>
      <c r="L65" s="114"/>
      <c r="M65" s="114"/>
    </row>
    <row r="66" spans="1:13" x14ac:dyDescent="0.2">
      <c r="B66" s="105" t="s">
        <v>131</v>
      </c>
      <c r="C66" s="105" t="s">
        <v>132</v>
      </c>
      <c r="D66" s="143">
        <f>'12ME Dec18 Rentals'!O10</f>
        <v>2345</v>
      </c>
      <c r="E66" s="120">
        <v>0</v>
      </c>
      <c r="F66" s="120">
        <v>0</v>
      </c>
      <c r="G66" s="118">
        <f t="shared" si="9"/>
        <v>0</v>
      </c>
      <c r="H66" s="114">
        <f t="shared" si="10"/>
        <v>0</v>
      </c>
      <c r="K66" s="114"/>
      <c r="L66" s="114"/>
      <c r="M66" s="114"/>
    </row>
    <row r="67" spans="1:13" x14ac:dyDescent="0.2">
      <c r="B67" s="105" t="s">
        <v>133</v>
      </c>
      <c r="C67" s="106"/>
      <c r="D67" s="143"/>
      <c r="E67" s="121"/>
      <c r="F67" s="121"/>
      <c r="G67" s="114">
        <f>SUM(G61:G66)</f>
        <v>0</v>
      </c>
      <c r="H67" s="160">
        <f>SUM(H61:H66)</f>
        <v>0</v>
      </c>
      <c r="K67" s="114"/>
      <c r="L67" s="114"/>
      <c r="M67" s="114"/>
    </row>
    <row r="68" spans="1:13" x14ac:dyDescent="0.2">
      <c r="C68" s="106"/>
      <c r="D68" s="143"/>
      <c r="E68" s="121"/>
      <c r="F68" s="121"/>
      <c r="G68" s="114"/>
      <c r="H68" s="114"/>
      <c r="K68" s="114"/>
      <c r="L68" s="114"/>
      <c r="M68" s="114"/>
    </row>
    <row r="69" spans="1:13" x14ac:dyDescent="0.2">
      <c r="A69" s="105" t="s">
        <v>134</v>
      </c>
      <c r="C69" s="106"/>
      <c r="D69" s="143"/>
      <c r="E69" s="121"/>
      <c r="F69" s="121"/>
      <c r="G69" s="114"/>
      <c r="H69" s="114"/>
      <c r="K69" s="114"/>
      <c r="L69" s="114"/>
      <c r="M69" s="114"/>
    </row>
    <row r="70" spans="1:13" x14ac:dyDescent="0.2">
      <c r="B70" s="105" t="s">
        <v>135</v>
      </c>
      <c r="C70" s="105" t="s">
        <v>136</v>
      </c>
      <c r="D70" s="143">
        <f>'12ME Dec18 Rentals'!O14</f>
        <v>1384</v>
      </c>
      <c r="E70" s="120">
        <v>0</v>
      </c>
      <c r="F70" s="120">
        <v>0</v>
      </c>
      <c r="G70" s="114">
        <f t="shared" ref="G70:G76" si="11">ROUND(E70*D70,2)</f>
        <v>0</v>
      </c>
      <c r="H70" s="114">
        <f t="shared" ref="H70:H76" si="12">ROUND((F70-E70)*D70,2)</f>
        <v>0</v>
      </c>
      <c r="K70" s="114"/>
      <c r="L70" s="114"/>
      <c r="M70" s="114"/>
    </row>
    <row r="71" spans="1:13" x14ac:dyDescent="0.2">
      <c r="B71" s="105" t="s">
        <v>137</v>
      </c>
      <c r="C71" s="105" t="s">
        <v>138</v>
      </c>
      <c r="D71" s="143">
        <f>'12ME Dec18 Rentals'!O15</f>
        <v>1036</v>
      </c>
      <c r="E71" s="120">
        <v>0</v>
      </c>
      <c r="F71" s="120">
        <v>0</v>
      </c>
      <c r="G71" s="114">
        <f t="shared" si="11"/>
        <v>0</v>
      </c>
      <c r="H71" s="114">
        <f t="shared" si="12"/>
        <v>0</v>
      </c>
      <c r="K71" s="114"/>
      <c r="L71" s="114"/>
      <c r="M71" s="114"/>
    </row>
    <row r="72" spans="1:13" x14ac:dyDescent="0.2">
      <c r="B72" s="105" t="s">
        <v>139</v>
      </c>
      <c r="C72" s="105" t="s">
        <v>140</v>
      </c>
      <c r="D72" s="143">
        <f>'12ME Dec18 Rentals'!O16</f>
        <v>2711</v>
      </c>
      <c r="E72" s="120">
        <v>0</v>
      </c>
      <c r="F72" s="120">
        <v>0</v>
      </c>
      <c r="G72" s="114">
        <f t="shared" si="11"/>
        <v>0</v>
      </c>
      <c r="H72" s="114">
        <f t="shared" si="12"/>
        <v>0</v>
      </c>
      <c r="K72" s="114"/>
      <c r="L72" s="114"/>
      <c r="M72" s="114"/>
    </row>
    <row r="73" spans="1:13" x14ac:dyDescent="0.2">
      <c r="B73" s="105" t="s">
        <v>141</v>
      </c>
      <c r="C73" s="105" t="s">
        <v>142</v>
      </c>
      <c r="D73" s="143">
        <f>'12ME Dec18 Rentals'!O17</f>
        <v>157</v>
      </c>
      <c r="E73" s="120">
        <v>0</v>
      </c>
      <c r="F73" s="120">
        <v>0</v>
      </c>
      <c r="G73" s="114">
        <f t="shared" si="11"/>
        <v>0</v>
      </c>
      <c r="H73" s="114">
        <f t="shared" si="12"/>
        <v>0</v>
      </c>
      <c r="K73" s="114"/>
      <c r="L73" s="114"/>
      <c r="M73" s="114"/>
    </row>
    <row r="74" spans="1:13" x14ac:dyDescent="0.2">
      <c r="B74" s="105" t="s">
        <v>143</v>
      </c>
      <c r="C74" s="105" t="s">
        <v>144</v>
      </c>
      <c r="D74" s="143">
        <f>'12ME Dec18 Rentals'!O18</f>
        <v>6638</v>
      </c>
      <c r="E74" s="120">
        <v>0</v>
      </c>
      <c r="F74" s="120">
        <v>0</v>
      </c>
      <c r="G74" s="114">
        <f t="shared" si="11"/>
        <v>0</v>
      </c>
      <c r="H74" s="114">
        <f t="shared" si="12"/>
        <v>0</v>
      </c>
      <c r="K74" s="114"/>
      <c r="L74" s="114"/>
      <c r="M74" s="114"/>
    </row>
    <row r="75" spans="1:13" x14ac:dyDescent="0.2">
      <c r="B75" s="105" t="s">
        <v>145</v>
      </c>
      <c r="C75" s="105" t="s">
        <v>146</v>
      </c>
      <c r="D75" s="143">
        <f>'12ME Dec18 Rentals'!O19</f>
        <v>4526</v>
      </c>
      <c r="E75" s="120">
        <v>0</v>
      </c>
      <c r="F75" s="120">
        <v>0</v>
      </c>
      <c r="G75" s="114">
        <f t="shared" si="11"/>
        <v>0</v>
      </c>
      <c r="H75" s="114">
        <f t="shared" si="12"/>
        <v>0</v>
      </c>
      <c r="K75" s="114"/>
      <c r="L75" s="114"/>
      <c r="M75" s="114"/>
    </row>
    <row r="76" spans="1:13" x14ac:dyDescent="0.2">
      <c r="B76" s="105" t="s">
        <v>147</v>
      </c>
      <c r="C76" s="105" t="s">
        <v>148</v>
      </c>
      <c r="D76" s="143">
        <f>'12ME Dec18 Rentals'!O20</f>
        <v>13159</v>
      </c>
      <c r="E76" s="120">
        <v>0</v>
      </c>
      <c r="F76" s="120">
        <v>0</v>
      </c>
      <c r="G76" s="118">
        <f t="shared" si="11"/>
        <v>0</v>
      </c>
      <c r="H76" s="114">
        <f t="shared" si="12"/>
        <v>0</v>
      </c>
      <c r="K76" s="114"/>
      <c r="L76" s="114"/>
      <c r="M76" s="114"/>
    </row>
    <row r="77" spans="1:13" x14ac:dyDescent="0.2">
      <c r="B77" s="105" t="s">
        <v>149</v>
      </c>
      <c r="C77" s="106"/>
      <c r="D77" s="143"/>
      <c r="E77" s="121"/>
      <c r="F77" s="121"/>
      <c r="G77" s="114">
        <f>SUM(G70:G76)</f>
        <v>0</v>
      </c>
      <c r="H77" s="160">
        <f>SUM(H70:H76)</f>
        <v>0</v>
      </c>
      <c r="K77" s="114"/>
      <c r="L77" s="114"/>
      <c r="M77" s="114"/>
    </row>
    <row r="78" spans="1:13" x14ac:dyDescent="0.2">
      <c r="C78" s="106"/>
      <c r="D78" s="143"/>
      <c r="E78" s="121"/>
      <c r="F78" s="121"/>
      <c r="G78" s="114"/>
      <c r="H78" s="114"/>
      <c r="K78" s="114"/>
      <c r="L78" s="114"/>
      <c r="M78" s="114"/>
    </row>
    <row r="79" spans="1:13" x14ac:dyDescent="0.2">
      <c r="A79" s="105" t="s">
        <v>150</v>
      </c>
      <c r="C79" s="106"/>
      <c r="D79" s="143"/>
      <c r="E79" s="121"/>
      <c r="F79" s="121"/>
      <c r="G79" s="114"/>
      <c r="H79" s="114"/>
      <c r="K79" s="114"/>
      <c r="L79" s="114"/>
      <c r="M79" s="114"/>
    </row>
    <row r="80" spans="1:13" x14ac:dyDescent="0.2">
      <c r="B80" s="105" t="s">
        <v>151</v>
      </c>
      <c r="C80" s="105" t="s">
        <v>152</v>
      </c>
      <c r="D80" s="143">
        <f>'12ME Dec18 Rentals'!O24</f>
        <v>11501</v>
      </c>
      <c r="E80" s="120">
        <v>0</v>
      </c>
      <c r="F80" s="120">
        <v>0</v>
      </c>
      <c r="G80" s="114">
        <f>ROUND(E80*D80,2)</f>
        <v>0</v>
      </c>
      <c r="H80" s="114">
        <f t="shared" ref="H80:H83" si="13">ROUND((F80-E80)*D80,2)</f>
        <v>0</v>
      </c>
      <c r="K80" s="114"/>
      <c r="L80" s="114"/>
      <c r="M80" s="114"/>
    </row>
    <row r="81" spans="1:13" x14ac:dyDescent="0.2">
      <c r="B81" s="105" t="s">
        <v>153</v>
      </c>
      <c r="C81" s="105" t="s">
        <v>154</v>
      </c>
      <c r="D81" s="143">
        <f>'12ME Dec18 Rentals'!O25</f>
        <v>844</v>
      </c>
      <c r="E81" s="120">
        <v>0</v>
      </c>
      <c r="F81" s="120">
        <v>0</v>
      </c>
      <c r="G81" s="114">
        <f>ROUND(E81*D81,2)</f>
        <v>0</v>
      </c>
      <c r="H81" s="114">
        <f t="shared" si="13"/>
        <v>0</v>
      </c>
      <c r="K81" s="114"/>
      <c r="L81" s="114"/>
      <c r="M81" s="114"/>
    </row>
    <row r="82" spans="1:13" x14ac:dyDescent="0.2">
      <c r="B82" s="105" t="s">
        <v>155</v>
      </c>
      <c r="C82" s="105" t="s">
        <v>156</v>
      </c>
      <c r="D82" s="143">
        <f>'12ME Dec18 Rentals'!O26</f>
        <v>541</v>
      </c>
      <c r="E82" s="120">
        <v>0</v>
      </c>
      <c r="F82" s="120">
        <v>0</v>
      </c>
      <c r="G82" s="114">
        <f>ROUND(E82*D82,2)</f>
        <v>0</v>
      </c>
      <c r="H82" s="114">
        <f t="shared" si="13"/>
        <v>0</v>
      </c>
      <c r="K82" s="114"/>
      <c r="L82" s="114"/>
      <c r="M82" s="114"/>
    </row>
    <row r="83" spans="1:13" x14ac:dyDescent="0.2">
      <c r="B83" s="105" t="s">
        <v>157</v>
      </c>
      <c r="C83" s="105" t="s">
        <v>158</v>
      </c>
      <c r="D83" s="143">
        <f>'12ME Dec18 Rentals'!O27</f>
        <v>19205</v>
      </c>
      <c r="E83" s="120">
        <v>0</v>
      </c>
      <c r="F83" s="120">
        <v>0</v>
      </c>
      <c r="G83" s="118">
        <f>ROUND(E83*D83,2)</f>
        <v>0</v>
      </c>
      <c r="H83" s="114">
        <f t="shared" si="13"/>
        <v>0</v>
      </c>
      <c r="K83" s="114"/>
      <c r="L83" s="114"/>
      <c r="M83" s="114"/>
    </row>
    <row r="84" spans="1:13" x14ac:dyDescent="0.2">
      <c r="B84" s="105" t="s">
        <v>149</v>
      </c>
      <c r="C84" s="106"/>
      <c r="D84" s="143"/>
      <c r="E84" s="123"/>
      <c r="F84" s="123"/>
      <c r="G84" s="114">
        <f>SUM(G80:G83)</f>
        <v>0</v>
      </c>
      <c r="H84" s="160">
        <f>SUM(H80:H83)</f>
        <v>0</v>
      </c>
      <c r="K84" s="114"/>
      <c r="L84" s="114"/>
      <c r="M84" s="114"/>
    </row>
    <row r="85" spans="1:13" x14ac:dyDescent="0.2">
      <c r="C85" s="106"/>
      <c r="D85" s="143"/>
      <c r="E85" s="123"/>
      <c r="F85" s="123"/>
      <c r="G85" s="114"/>
      <c r="H85" s="114"/>
      <c r="K85" s="114"/>
      <c r="L85" s="114"/>
      <c r="M85" s="114"/>
    </row>
    <row r="86" spans="1:13" x14ac:dyDescent="0.2">
      <c r="B86" s="105" t="s">
        <v>159</v>
      </c>
      <c r="C86" s="106" t="s">
        <v>160</v>
      </c>
      <c r="D86" s="143"/>
      <c r="E86" s="123"/>
      <c r="F86" s="123"/>
      <c r="G86" s="114">
        <f>SUM(G67,G77,G84)</f>
        <v>0</v>
      </c>
      <c r="H86" s="114">
        <f>ROUND((F86-E86)*D86,2)</f>
        <v>0</v>
      </c>
      <c r="K86" s="114"/>
      <c r="L86" s="114"/>
      <c r="M86" s="114"/>
    </row>
    <row r="87" spans="1:13" x14ac:dyDescent="0.2">
      <c r="C87" s="106"/>
      <c r="D87" s="143"/>
      <c r="E87" s="123"/>
      <c r="F87" s="123"/>
      <c r="G87" s="114"/>
      <c r="H87" s="114"/>
      <c r="K87" s="114"/>
      <c r="L87" s="114"/>
      <c r="M87" s="114"/>
    </row>
    <row r="88" spans="1:13" x14ac:dyDescent="0.2">
      <c r="B88" s="105" t="s">
        <v>6</v>
      </c>
      <c r="C88" s="106"/>
      <c r="D88" s="143"/>
      <c r="E88" s="123"/>
      <c r="F88" s="123"/>
      <c r="G88" s="114">
        <f>G10+G20+G29+G44+G56+G86</f>
        <v>0</v>
      </c>
      <c r="H88" s="114">
        <f>ROUND((F88-E88)*D88,2)</f>
        <v>0</v>
      </c>
      <c r="K88" s="114"/>
      <c r="L88" s="114"/>
      <c r="M88" s="114"/>
    </row>
    <row r="89" spans="1:13" x14ac:dyDescent="0.2">
      <c r="L89" s="114"/>
    </row>
    <row r="90" spans="1:13" x14ac:dyDescent="0.2">
      <c r="A90" s="125"/>
      <c r="B90" s="126"/>
      <c r="L90" s="114"/>
    </row>
    <row r="91" spans="1:13" ht="12.75" customHeight="1" x14ac:dyDescent="0.2">
      <c r="A91" s="124"/>
      <c r="B91" s="126"/>
      <c r="C91" s="122"/>
      <c r="D91" s="122"/>
      <c r="E91" s="122"/>
      <c r="F91" s="122"/>
      <c r="G91" s="122"/>
      <c r="H91" s="122"/>
      <c r="M91" s="114"/>
    </row>
    <row r="92" spans="1:13" x14ac:dyDescent="0.2">
      <c r="B92" s="125"/>
      <c r="M92" s="114"/>
    </row>
    <row r="93" spans="1:13" x14ac:dyDescent="0.2">
      <c r="M93" s="114"/>
    </row>
    <row r="94" spans="1:13" x14ac:dyDescent="0.2">
      <c r="M94" s="114"/>
    </row>
    <row r="95" spans="1:13" x14ac:dyDescent="0.2">
      <c r="M95" s="114"/>
    </row>
    <row r="96" spans="1:13" x14ac:dyDescent="0.2">
      <c r="M96" s="114"/>
    </row>
    <row r="97" spans="13:13" x14ac:dyDescent="0.2">
      <c r="M97" s="114"/>
    </row>
    <row r="98" spans="13:13" x14ac:dyDescent="0.2">
      <c r="M98" s="114"/>
    </row>
    <row r="99" spans="13:13" x14ac:dyDescent="0.2">
      <c r="M99" s="114"/>
    </row>
    <row r="100" spans="13:13" x14ac:dyDescent="0.2">
      <c r="M100" s="114"/>
    </row>
    <row r="101" spans="13:13" x14ac:dyDescent="0.2">
      <c r="M101" s="114"/>
    </row>
    <row r="102" spans="13:13" x14ac:dyDescent="0.2">
      <c r="M102" s="114"/>
    </row>
    <row r="103" spans="13:13" x14ac:dyDescent="0.2">
      <c r="M103" s="114"/>
    </row>
    <row r="104" spans="13:13" x14ac:dyDescent="0.2">
      <c r="M104" s="114"/>
    </row>
    <row r="105" spans="13:13" x14ac:dyDescent="0.2">
      <c r="M105" s="114"/>
    </row>
    <row r="106" spans="13:13" x14ac:dyDescent="0.2">
      <c r="M106" s="114"/>
    </row>
    <row r="107" spans="13:13" x14ac:dyDescent="0.2">
      <c r="M107" s="114"/>
    </row>
    <row r="108" spans="13:13" x14ac:dyDescent="0.2">
      <c r="M108" s="114"/>
    </row>
    <row r="109" spans="13:13" x14ac:dyDescent="0.2">
      <c r="M109" s="114"/>
    </row>
    <row r="110" spans="13:13" x14ac:dyDescent="0.2">
      <c r="M110" s="114"/>
    </row>
    <row r="111" spans="13:13" x14ac:dyDescent="0.2">
      <c r="M111" s="114"/>
    </row>
    <row r="112" spans="13:13" x14ac:dyDescent="0.2">
      <c r="M112" s="114"/>
    </row>
    <row r="113" spans="13:13" x14ac:dyDescent="0.2">
      <c r="M113" s="114"/>
    </row>
    <row r="114" spans="13:13" x14ac:dyDescent="0.2">
      <c r="M114" s="114"/>
    </row>
    <row r="115" spans="13:13" x14ac:dyDescent="0.2">
      <c r="M115" s="114"/>
    </row>
    <row r="116" spans="13:13" x14ac:dyDescent="0.2">
      <c r="M116" s="114"/>
    </row>
    <row r="117" spans="13:13" x14ac:dyDescent="0.2">
      <c r="M117" s="114"/>
    </row>
    <row r="118" spans="13:13" x14ac:dyDescent="0.2">
      <c r="M118" s="114"/>
    </row>
    <row r="119" spans="13:13" x14ac:dyDescent="0.2">
      <c r="M119" s="114"/>
    </row>
    <row r="120" spans="13:13" x14ac:dyDescent="0.2">
      <c r="M120" s="114"/>
    </row>
    <row r="121" spans="13:13" x14ac:dyDescent="0.2">
      <c r="M121" s="114"/>
    </row>
    <row r="122" spans="13:13" x14ac:dyDescent="0.2">
      <c r="M122" s="114"/>
    </row>
    <row r="123" spans="13:13" x14ac:dyDescent="0.2">
      <c r="M123" s="114"/>
    </row>
    <row r="124" spans="13:13" x14ac:dyDescent="0.2">
      <c r="M124" s="114"/>
    </row>
    <row r="125" spans="13:13" x14ac:dyDescent="0.2">
      <c r="M125" s="114"/>
    </row>
    <row r="126" spans="13:13" x14ac:dyDescent="0.2">
      <c r="M126" s="114"/>
    </row>
    <row r="127" spans="13:13" x14ac:dyDescent="0.2">
      <c r="M127" s="114"/>
    </row>
    <row r="128" spans="13:13" x14ac:dyDescent="0.2">
      <c r="M128" s="114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75" fitToHeight="2" orientation="landscape" blackAndWhite="1" r:id="rId1"/>
  <headerFooter>
    <oddFooter>&amp;L&amp;F
&amp;A&amp;C&amp;P&amp;R&amp;D</oddFooter>
  </headerFooter>
  <rowBreaks count="1" manualBreakCount="1">
    <brk id="3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zoomScaleNormal="100" workbookViewId="0">
      <selection activeCell="G17" sqref="G17"/>
    </sheetView>
  </sheetViews>
  <sheetFormatPr defaultRowHeight="15" x14ac:dyDescent="0.25"/>
  <cols>
    <col min="1" max="1" width="38.7109375" customWidth="1"/>
    <col min="2" max="2" width="9.140625" bestFit="1" customWidth="1"/>
    <col min="3" max="3" width="15.85546875" customWidth="1"/>
    <col min="4" max="4" width="16.85546875" bestFit="1" customWidth="1"/>
    <col min="5" max="5" width="16.85546875" customWidth="1"/>
    <col min="6" max="6" width="20.42578125" customWidth="1"/>
    <col min="7" max="7" width="15.140625" customWidth="1"/>
    <col min="8" max="8" width="7.85546875" bestFit="1" customWidth="1"/>
  </cols>
  <sheetData>
    <row r="1" spans="1:9" s="75" customFormat="1" ht="15" customHeight="1" x14ac:dyDescent="0.2">
      <c r="A1" s="397" t="s">
        <v>0</v>
      </c>
      <c r="B1" s="397"/>
      <c r="C1" s="397"/>
      <c r="D1" s="397"/>
      <c r="E1" s="397"/>
      <c r="F1" s="397"/>
      <c r="G1" s="397"/>
      <c r="H1" s="397"/>
      <c r="I1" s="74"/>
    </row>
    <row r="2" spans="1:9" s="75" customFormat="1" ht="15" customHeight="1" x14ac:dyDescent="0.2">
      <c r="A2" s="397" t="s">
        <v>342</v>
      </c>
      <c r="B2" s="397"/>
      <c r="C2" s="397"/>
      <c r="D2" s="397"/>
      <c r="E2" s="397"/>
      <c r="F2" s="397"/>
      <c r="G2" s="397"/>
      <c r="H2" s="397"/>
      <c r="I2" s="74"/>
    </row>
    <row r="3" spans="1:9" s="75" customFormat="1" ht="15" customHeight="1" x14ac:dyDescent="0.2">
      <c r="A3" s="397" t="s">
        <v>260</v>
      </c>
      <c r="B3" s="397"/>
      <c r="C3" s="397"/>
      <c r="D3" s="397"/>
      <c r="E3" s="397"/>
      <c r="F3" s="397"/>
      <c r="G3" s="397"/>
      <c r="H3" s="397"/>
      <c r="I3" s="74"/>
    </row>
    <row r="4" spans="1:9" x14ac:dyDescent="0.25">
      <c r="D4" s="4"/>
      <c r="E4" s="4"/>
    </row>
    <row r="5" spans="1:9" x14ac:dyDescent="0.25">
      <c r="A5" s="5"/>
      <c r="B5" s="5"/>
      <c r="C5" s="5" t="s">
        <v>15</v>
      </c>
      <c r="D5" s="5" t="s">
        <v>5</v>
      </c>
      <c r="E5" s="5" t="s">
        <v>1</v>
      </c>
      <c r="F5" s="5"/>
      <c r="G5" s="5" t="s">
        <v>110</v>
      </c>
      <c r="H5" s="5"/>
    </row>
    <row r="6" spans="1:9" x14ac:dyDescent="0.25">
      <c r="A6" s="5"/>
      <c r="B6" s="5" t="s">
        <v>17</v>
      </c>
      <c r="C6" s="5" t="s">
        <v>3</v>
      </c>
      <c r="D6" s="5" t="s">
        <v>110</v>
      </c>
      <c r="E6" s="5" t="s">
        <v>110</v>
      </c>
      <c r="F6" s="5" t="s">
        <v>15</v>
      </c>
      <c r="G6" s="5" t="s">
        <v>2</v>
      </c>
      <c r="H6" s="5" t="s">
        <v>20</v>
      </c>
    </row>
    <row r="7" spans="1:9" x14ac:dyDescent="0.25">
      <c r="A7" s="6" t="s">
        <v>4</v>
      </c>
      <c r="B7" s="6" t="s">
        <v>21</v>
      </c>
      <c r="C7" s="238" t="str">
        <f>'Base Rate Impacts'!$D$8</f>
        <v>Jan 18 - Dec 18</v>
      </c>
      <c r="D7" s="6" t="s">
        <v>22</v>
      </c>
      <c r="E7" s="6" t="s">
        <v>22</v>
      </c>
      <c r="F7" s="6" t="s">
        <v>2</v>
      </c>
      <c r="G7" s="6" t="s">
        <v>24</v>
      </c>
      <c r="H7" s="6" t="s">
        <v>24</v>
      </c>
    </row>
    <row r="8" spans="1:9" x14ac:dyDescent="0.25">
      <c r="A8" t="s">
        <v>7</v>
      </c>
      <c r="B8" s="8" t="s">
        <v>30</v>
      </c>
      <c r="C8" s="183">
        <f>SUM('Normalized Therms'!P9,'Normalized Therms'!P11)</f>
        <v>613662173.62800002</v>
      </c>
      <c r="D8" s="10">
        <v>1.1209999999999999E-2</v>
      </c>
      <c r="E8" s="10">
        <v>0</v>
      </c>
      <c r="F8" s="161">
        <f>C8*D8</f>
        <v>6879152.9663698804</v>
      </c>
      <c r="G8" s="12">
        <f>(E8-D8)*C8</f>
        <v>-6879152.9663698804</v>
      </c>
      <c r="H8" s="2">
        <f>G8/F8</f>
        <v>-1</v>
      </c>
    </row>
    <row r="9" spans="1:9" x14ac:dyDescent="0.25">
      <c r="A9" t="s">
        <v>31</v>
      </c>
      <c r="B9" s="8">
        <v>16</v>
      </c>
      <c r="C9" s="183">
        <f>'Normalized Therms'!P10</f>
        <v>9344.1039999999994</v>
      </c>
      <c r="D9" s="10">
        <v>1.1209999999999999E-2</v>
      </c>
      <c r="E9" s="10">
        <v>0</v>
      </c>
      <c r="F9" s="161">
        <f t="shared" ref="F9:F20" si="0">C9*D9</f>
        <v>104.74740583999998</v>
      </c>
      <c r="G9" s="12">
        <f t="shared" ref="G9:G20" si="1">(E9-D9)*C9</f>
        <v>-104.74740583999998</v>
      </c>
      <c r="H9" s="2">
        <f t="shared" ref="H9:H21" si="2">G9/F9</f>
        <v>-1</v>
      </c>
    </row>
    <row r="10" spans="1:9" x14ac:dyDescent="0.25">
      <c r="A10" t="s">
        <v>8</v>
      </c>
      <c r="B10" s="8">
        <v>31</v>
      </c>
      <c r="C10" s="183">
        <f>'Normalized Therms'!P12</f>
        <v>232245222.90300003</v>
      </c>
      <c r="D10" s="10">
        <v>1.0880000000000001E-2</v>
      </c>
      <c r="E10" s="10">
        <v>0</v>
      </c>
      <c r="F10" s="161">
        <f t="shared" si="0"/>
        <v>2526828.0251846407</v>
      </c>
      <c r="G10" s="12">
        <f t="shared" si="1"/>
        <v>-2526828.0251846407</v>
      </c>
      <c r="H10" s="2">
        <f t="shared" si="2"/>
        <v>-1</v>
      </c>
    </row>
    <row r="11" spans="1:9" x14ac:dyDescent="0.25">
      <c r="A11" t="s">
        <v>9</v>
      </c>
      <c r="B11" s="8">
        <v>41</v>
      </c>
      <c r="C11" s="183">
        <f>'Normalized Therms'!P13</f>
        <v>65497864.558000013</v>
      </c>
      <c r="D11" s="10">
        <v>6.2199999999999998E-3</v>
      </c>
      <c r="E11" s="10">
        <v>0</v>
      </c>
      <c r="F11" s="161">
        <f t="shared" si="0"/>
        <v>407396.71755076008</v>
      </c>
      <c r="G11" s="12">
        <f t="shared" si="1"/>
        <v>-407396.71755076008</v>
      </c>
      <c r="H11" s="2">
        <f t="shared" si="2"/>
        <v>-1</v>
      </c>
    </row>
    <row r="12" spans="1:9" x14ac:dyDescent="0.25">
      <c r="A12" t="s">
        <v>10</v>
      </c>
      <c r="B12" s="8">
        <v>85</v>
      </c>
      <c r="C12" s="183">
        <f>'Normalized Therms'!P14</f>
        <v>15787998.554000001</v>
      </c>
      <c r="D12" s="10">
        <v>3.31E-3</v>
      </c>
      <c r="E12" s="10">
        <v>0</v>
      </c>
      <c r="F12" s="161">
        <f t="shared" si="0"/>
        <v>52258.275213740002</v>
      </c>
      <c r="G12" s="12">
        <f t="shared" si="1"/>
        <v>-52258.275213740002</v>
      </c>
      <c r="H12" s="2">
        <f t="shared" si="2"/>
        <v>-1</v>
      </c>
    </row>
    <row r="13" spans="1:9" x14ac:dyDescent="0.25">
      <c r="A13" t="s">
        <v>11</v>
      </c>
      <c r="B13" s="8">
        <v>86</v>
      </c>
      <c r="C13" s="183">
        <f>'Normalized Therms'!P15</f>
        <v>8752636.7929999996</v>
      </c>
      <c r="D13" s="10">
        <v>4.15E-3</v>
      </c>
      <c r="E13" s="10">
        <v>0</v>
      </c>
      <c r="F13" s="161">
        <f t="shared" si="0"/>
        <v>36323.442690949996</v>
      </c>
      <c r="G13" s="12">
        <f t="shared" si="1"/>
        <v>-36323.442690949996</v>
      </c>
      <c r="H13" s="2">
        <f t="shared" si="2"/>
        <v>-1</v>
      </c>
    </row>
    <row r="14" spans="1:9" x14ac:dyDescent="0.25">
      <c r="A14" t="s">
        <v>12</v>
      </c>
      <c r="B14" s="8">
        <v>87</v>
      </c>
      <c r="C14" s="183">
        <f>'Normalized Therms'!P16</f>
        <v>22881723.659000002</v>
      </c>
      <c r="D14" s="10">
        <v>2.0200000000000001E-3</v>
      </c>
      <c r="E14" s="10">
        <v>0</v>
      </c>
      <c r="F14" s="161">
        <f t="shared" si="0"/>
        <v>46221.081791180004</v>
      </c>
      <c r="G14" s="12">
        <f t="shared" si="1"/>
        <v>-46221.081791180004</v>
      </c>
      <c r="H14" s="2">
        <f t="shared" si="2"/>
        <v>-1</v>
      </c>
    </row>
    <row r="15" spans="1:9" x14ac:dyDescent="0.25">
      <c r="A15" t="s">
        <v>32</v>
      </c>
      <c r="B15" s="8" t="s">
        <v>33</v>
      </c>
      <c r="C15" s="183">
        <f>'Normalized Therms'!P17</f>
        <v>31498.21</v>
      </c>
      <c r="D15" s="10">
        <v>1.0880000000000001E-2</v>
      </c>
      <c r="E15" s="10">
        <v>0</v>
      </c>
      <c r="F15" s="161">
        <f t="shared" si="0"/>
        <v>342.70052480000004</v>
      </c>
      <c r="G15" s="12">
        <f t="shared" si="1"/>
        <v>-342.70052480000004</v>
      </c>
      <c r="H15" s="2">
        <f t="shared" si="2"/>
        <v>-1</v>
      </c>
    </row>
    <row r="16" spans="1:9" x14ac:dyDescent="0.25">
      <c r="A16" t="s">
        <v>34</v>
      </c>
      <c r="B16" t="s">
        <v>35</v>
      </c>
      <c r="C16" s="183">
        <f>'Normalized Therms'!P18</f>
        <v>20617014.420000002</v>
      </c>
      <c r="D16" s="10">
        <v>6.2199999999999998E-3</v>
      </c>
      <c r="E16" s="10">
        <v>0</v>
      </c>
      <c r="F16" s="161">
        <f t="shared" si="0"/>
        <v>128237.8296924</v>
      </c>
      <c r="G16" s="12">
        <f t="shared" si="1"/>
        <v>-128237.8296924</v>
      </c>
      <c r="H16" s="2">
        <f t="shared" si="2"/>
        <v>-1</v>
      </c>
    </row>
    <row r="17" spans="1:11" x14ac:dyDescent="0.25">
      <c r="A17" t="s">
        <v>36</v>
      </c>
      <c r="B17" t="s">
        <v>37</v>
      </c>
      <c r="C17" s="183">
        <f>'Normalized Therms'!P19</f>
        <v>74832158.210000008</v>
      </c>
      <c r="D17" s="10">
        <v>3.31E-3</v>
      </c>
      <c r="E17" s="10">
        <v>0</v>
      </c>
      <c r="F17" s="161">
        <f t="shared" si="0"/>
        <v>247694.44367510002</v>
      </c>
      <c r="G17" s="12">
        <f t="shared" si="1"/>
        <v>-247694.44367510002</v>
      </c>
      <c r="H17" s="2">
        <f t="shared" si="2"/>
        <v>-1</v>
      </c>
    </row>
    <row r="18" spans="1:11" x14ac:dyDescent="0.25">
      <c r="A18" t="s">
        <v>38</v>
      </c>
      <c r="B18" t="s">
        <v>39</v>
      </c>
      <c r="C18" s="183">
        <f>'Normalized Therms'!P20</f>
        <v>351288.14999999997</v>
      </c>
      <c r="D18" s="10">
        <v>4.15E-3</v>
      </c>
      <c r="E18" s="10">
        <v>0</v>
      </c>
      <c r="F18" s="161">
        <f t="shared" si="0"/>
        <v>1457.8458224999999</v>
      </c>
      <c r="G18" s="12">
        <f t="shared" si="1"/>
        <v>-1457.8458224999999</v>
      </c>
      <c r="H18" s="2">
        <f t="shared" si="2"/>
        <v>-1</v>
      </c>
    </row>
    <row r="19" spans="1:11" x14ac:dyDescent="0.25">
      <c r="A19" t="s">
        <v>40</v>
      </c>
      <c r="B19" t="s">
        <v>41</v>
      </c>
      <c r="C19" s="183">
        <f>'Normalized Therms'!P21</f>
        <v>100227307.72999999</v>
      </c>
      <c r="D19" s="10">
        <v>2.0200000000000001E-3</v>
      </c>
      <c r="E19" s="10">
        <v>0</v>
      </c>
      <c r="F19" s="161">
        <f t="shared" si="0"/>
        <v>202459.16161459999</v>
      </c>
      <c r="G19" s="12">
        <f>(E19-D19)*C19</f>
        <v>-202459.16161459999</v>
      </c>
      <c r="H19" s="2">
        <f t="shared" si="2"/>
        <v>-1</v>
      </c>
    </row>
    <row r="20" spans="1:11" x14ac:dyDescent="0.25">
      <c r="A20" t="s">
        <v>13</v>
      </c>
      <c r="C20" s="183">
        <f>'Normalized Therms'!P22</f>
        <v>37090866.75</v>
      </c>
      <c r="D20" s="14">
        <v>2.47E-3</v>
      </c>
      <c r="E20" s="14">
        <v>0</v>
      </c>
      <c r="F20" s="161">
        <f t="shared" si="0"/>
        <v>91614.440872499996</v>
      </c>
      <c r="G20" s="12">
        <f t="shared" si="1"/>
        <v>-91614.440872499996</v>
      </c>
      <c r="H20" s="2">
        <f t="shared" si="2"/>
        <v>-1</v>
      </c>
    </row>
    <row r="21" spans="1:11" x14ac:dyDescent="0.25">
      <c r="A21" t="s">
        <v>6</v>
      </c>
      <c r="C21" s="15">
        <f>SUM(C8:C20)</f>
        <v>1191987097.6689999</v>
      </c>
      <c r="D21" s="9"/>
      <c r="E21" s="9"/>
      <c r="F21" s="162">
        <f t="shared" ref="F21:G21" si="3">SUM(F8:F20)</f>
        <v>10620091.678408891</v>
      </c>
      <c r="G21" s="16">
        <f t="shared" si="3"/>
        <v>-10620091.678408891</v>
      </c>
      <c r="H21" s="3">
        <f t="shared" si="2"/>
        <v>-1</v>
      </c>
    </row>
    <row r="22" spans="1:11" s="24" customFormat="1" x14ac:dyDescent="0.25">
      <c r="A22" s="17"/>
      <c r="B22" s="18"/>
      <c r="C22" s="21"/>
      <c r="D22" s="20"/>
      <c r="E22" s="20"/>
      <c r="F22" s="20"/>
      <c r="G22" s="23"/>
    </row>
    <row r="23" spans="1:11" s="24" customFormat="1" x14ac:dyDescent="0.25">
      <c r="A23" s="17" t="s">
        <v>340</v>
      </c>
      <c r="B23" s="17"/>
      <c r="C23" s="207">
        <f>'12ME Dec18 Rentals'!$O$30</f>
        <v>351449</v>
      </c>
      <c r="D23" s="26">
        <v>0</v>
      </c>
      <c r="E23" s="26">
        <v>0</v>
      </c>
      <c r="F23" s="161">
        <f>D23*C23</f>
        <v>0</v>
      </c>
      <c r="G23" s="12">
        <f t="shared" ref="G23" si="4">(E23-D23)*C23</f>
        <v>0</v>
      </c>
      <c r="H23" s="2"/>
      <c r="I23" s="27"/>
      <c r="J23" s="25"/>
      <c r="K23" s="28"/>
    </row>
    <row r="24" spans="1:11" s="24" customFormat="1" x14ac:dyDescent="0.25">
      <c r="A24" s="29" t="s">
        <v>6</v>
      </c>
      <c r="B24" s="29"/>
      <c r="C24" s="31"/>
      <c r="D24" s="31"/>
      <c r="E24" s="31"/>
      <c r="F24" s="30">
        <f t="shared" ref="F24:G24" si="5">F21+F23</f>
        <v>10620091.678408891</v>
      </c>
      <c r="G24" s="30">
        <f t="shared" si="5"/>
        <v>-10620091.678408891</v>
      </c>
      <c r="H24" s="3">
        <f>G24/F24</f>
        <v>-1</v>
      </c>
      <c r="I24" s="27"/>
    </row>
    <row r="25" spans="1:11" x14ac:dyDescent="0.25">
      <c r="F25" s="12"/>
    </row>
    <row r="26" spans="1:11" x14ac:dyDescent="0.25">
      <c r="C26" s="32"/>
      <c r="F26" s="12"/>
    </row>
    <row r="27" spans="1:11" x14ac:dyDescent="0.25">
      <c r="A27" s="166"/>
    </row>
  </sheetData>
  <mergeCells count="3">
    <mergeCell ref="A1:H1"/>
    <mergeCell ref="A2:H2"/>
    <mergeCell ref="A3:H3"/>
  </mergeCells>
  <printOptions horizontalCentered="1"/>
  <pageMargins left="0.7" right="0.7" top="0.75" bottom="0.75" header="0.3" footer="0.3"/>
  <pageSetup scale="86" orientation="landscape" blackAndWhite="1" r:id="rId1"/>
  <headerFooter>
    <oddFooter>&amp;L&amp;F 
&amp;A&amp;C&amp;P&amp;R&amp;D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U31" sqref="U31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41"/>
  <sheetViews>
    <sheetView zoomScale="90" zoomScaleNormal="90" workbookViewId="0">
      <selection activeCell="S27" sqref="S27"/>
    </sheetView>
  </sheetViews>
  <sheetFormatPr defaultColWidth="9.140625" defaultRowHeight="15" x14ac:dyDescent="0.25"/>
  <cols>
    <col min="1" max="1" width="1.5703125" style="62" customWidth="1"/>
    <col min="2" max="2" width="15.5703125" style="62" customWidth="1"/>
    <col min="3" max="3" width="4" style="62" bestFit="1" customWidth="1"/>
    <col min="4" max="15" width="13.140625" style="62" customWidth="1"/>
    <col min="16" max="16" width="14.140625" style="62" customWidth="1"/>
    <col min="17" max="16384" width="9.140625" style="62"/>
  </cols>
  <sheetData>
    <row r="1" spans="2:18" x14ac:dyDescent="0.25">
      <c r="B1" s="401" t="s">
        <v>0</v>
      </c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</row>
    <row r="2" spans="2:18" x14ac:dyDescent="0.25">
      <c r="B2" s="402" t="s">
        <v>392</v>
      </c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  <c r="N2" s="402"/>
      <c r="O2" s="402"/>
      <c r="P2" s="402"/>
    </row>
    <row r="3" spans="2:18" x14ac:dyDescent="0.25">
      <c r="B3" s="402" t="s">
        <v>408</v>
      </c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</row>
    <row r="4" spans="2:18" x14ac:dyDescent="0.25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</row>
    <row r="5" spans="2:18" x14ac:dyDescent="0.25">
      <c r="B5" s="62" t="s">
        <v>391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</row>
    <row r="7" spans="2:18" x14ac:dyDescent="0.25">
      <c r="B7" s="64" t="s">
        <v>21</v>
      </c>
      <c r="D7" s="70">
        <v>43101</v>
      </c>
      <c r="E7" s="70">
        <f>EDATE(D7,1)</f>
        <v>43132</v>
      </c>
      <c r="F7" s="70">
        <f t="shared" ref="F7:O7" si="0">EDATE(E7,1)</f>
        <v>43160</v>
      </c>
      <c r="G7" s="70">
        <f t="shared" si="0"/>
        <v>43191</v>
      </c>
      <c r="H7" s="70">
        <f t="shared" si="0"/>
        <v>43221</v>
      </c>
      <c r="I7" s="70">
        <f t="shared" si="0"/>
        <v>43252</v>
      </c>
      <c r="J7" s="70">
        <f t="shared" si="0"/>
        <v>43282</v>
      </c>
      <c r="K7" s="70">
        <f t="shared" si="0"/>
        <v>43313</v>
      </c>
      <c r="L7" s="70">
        <f t="shared" si="0"/>
        <v>43344</v>
      </c>
      <c r="M7" s="70">
        <f t="shared" si="0"/>
        <v>43374</v>
      </c>
      <c r="N7" s="70">
        <f t="shared" si="0"/>
        <v>43405</v>
      </c>
      <c r="O7" s="70">
        <f t="shared" si="0"/>
        <v>43435</v>
      </c>
      <c r="P7" s="65" t="s">
        <v>6</v>
      </c>
    </row>
    <row r="8" spans="2:18" x14ac:dyDescent="0.25">
      <c r="B8" s="66"/>
    </row>
    <row r="9" spans="2:18" x14ac:dyDescent="0.25">
      <c r="B9" s="66">
        <v>23</v>
      </c>
      <c r="D9" s="379">
        <v>97231115.094999999</v>
      </c>
      <c r="E9" s="379">
        <v>73373166.540999994</v>
      </c>
      <c r="F9" s="379">
        <v>75850006.523000002</v>
      </c>
      <c r="G9" s="379">
        <v>50273385.369000003</v>
      </c>
      <c r="H9" s="379">
        <v>30885641.842999998</v>
      </c>
      <c r="I9" s="379">
        <v>19280944.662999999</v>
      </c>
      <c r="J9" s="379">
        <v>13445152.333000001</v>
      </c>
      <c r="K9" s="379">
        <v>13243856.593</v>
      </c>
      <c r="L9" s="379">
        <v>21691921.379000001</v>
      </c>
      <c r="M9" s="379">
        <v>44274554.725000001</v>
      </c>
      <c r="N9" s="379">
        <v>77701213.745000005</v>
      </c>
      <c r="O9" s="379">
        <v>96411150.341000006</v>
      </c>
      <c r="P9" s="63">
        <f>SUM(D9:O9)</f>
        <v>613662109.14999998</v>
      </c>
      <c r="R9" s="199"/>
    </row>
    <row r="10" spans="2:18" x14ac:dyDescent="0.25">
      <c r="B10" s="197">
        <v>16</v>
      </c>
      <c r="D10" s="379">
        <v>797.62900000000002</v>
      </c>
      <c r="E10" s="379">
        <v>723.62300000000005</v>
      </c>
      <c r="F10" s="379">
        <v>835.85599999999999</v>
      </c>
      <c r="G10" s="379">
        <v>821.65099999999995</v>
      </c>
      <c r="H10" s="379">
        <v>818.67499999999995</v>
      </c>
      <c r="I10" s="379">
        <v>776.11900000000003</v>
      </c>
      <c r="J10" s="379">
        <v>813.22500000000002</v>
      </c>
      <c r="K10" s="379">
        <v>791.37</v>
      </c>
      <c r="L10" s="379">
        <v>794.43100000000004</v>
      </c>
      <c r="M10" s="379">
        <v>846.26900000000001</v>
      </c>
      <c r="N10" s="379">
        <v>670.62199999999996</v>
      </c>
      <c r="O10" s="379">
        <v>654.63400000000001</v>
      </c>
      <c r="P10" s="63">
        <f>SUM(D10:O10)</f>
        <v>9344.1039999999994</v>
      </c>
      <c r="R10" s="199"/>
    </row>
    <row r="11" spans="2:18" x14ac:dyDescent="0.25">
      <c r="B11" s="66">
        <v>53</v>
      </c>
      <c r="D11" s="379">
        <v>56.914999999999999</v>
      </c>
      <c r="E11" s="379">
        <v>7.5629999999999997</v>
      </c>
      <c r="F11" s="379">
        <v>0</v>
      </c>
      <c r="G11" s="379">
        <v>0</v>
      </c>
      <c r="H11" s="379">
        <v>0</v>
      </c>
      <c r="I11" s="379">
        <v>0</v>
      </c>
      <c r="J11" s="379">
        <v>0</v>
      </c>
      <c r="K11" s="379">
        <v>0</v>
      </c>
      <c r="L11" s="379">
        <v>0</v>
      </c>
      <c r="M11" s="379">
        <v>0</v>
      </c>
      <c r="N11" s="379">
        <v>0</v>
      </c>
      <c r="O11" s="379">
        <v>0</v>
      </c>
      <c r="P11" s="63">
        <f t="shared" ref="P11:P26" si="1">SUM(D11:O11)</f>
        <v>64.477999999999994</v>
      </c>
      <c r="R11" s="199"/>
    </row>
    <row r="12" spans="2:18" x14ac:dyDescent="0.25">
      <c r="B12" s="66">
        <v>31</v>
      </c>
      <c r="D12" s="379">
        <v>33819692.616999999</v>
      </c>
      <c r="E12" s="379">
        <v>26737897.267999999</v>
      </c>
      <c r="F12" s="379">
        <v>27366430.184999999</v>
      </c>
      <c r="G12" s="379">
        <v>19228638.309</v>
      </c>
      <c r="H12" s="379">
        <v>12820359.558</v>
      </c>
      <c r="I12" s="379">
        <v>9367756.5649999995</v>
      </c>
      <c r="J12" s="379">
        <v>8114096.0209999997</v>
      </c>
      <c r="K12" s="379">
        <v>8197714.5269999998</v>
      </c>
      <c r="L12" s="379">
        <v>10191004.529999999</v>
      </c>
      <c r="M12" s="379">
        <v>16641099.625</v>
      </c>
      <c r="N12" s="379">
        <v>26448166.673</v>
      </c>
      <c r="O12" s="379">
        <v>33312367.024999999</v>
      </c>
      <c r="P12" s="63">
        <f t="shared" si="1"/>
        <v>232245222.90300003</v>
      </c>
      <c r="R12" s="199"/>
    </row>
    <row r="13" spans="2:18" x14ac:dyDescent="0.25">
      <c r="B13" s="66">
        <v>41</v>
      </c>
      <c r="D13" s="379">
        <v>8199254.8569999998</v>
      </c>
      <c r="E13" s="379">
        <v>6874533.6730000004</v>
      </c>
      <c r="F13" s="379">
        <v>7186710.3210000005</v>
      </c>
      <c r="G13" s="379">
        <v>5748760.6760000009</v>
      </c>
      <c r="H13" s="379">
        <v>4512371.5020000003</v>
      </c>
      <c r="I13" s="379">
        <v>3584100.8420000002</v>
      </c>
      <c r="J13" s="379">
        <v>2929327.7139999997</v>
      </c>
      <c r="K13" s="379">
        <v>2967290.9019999998</v>
      </c>
      <c r="L13" s="379">
        <v>3573563.4449999998</v>
      </c>
      <c r="M13" s="379">
        <v>5086765.5100000007</v>
      </c>
      <c r="N13" s="379">
        <v>6841150.0810000002</v>
      </c>
      <c r="O13" s="379">
        <v>7994035.0350000001</v>
      </c>
      <c r="P13" s="63">
        <f t="shared" si="1"/>
        <v>65497864.558000013</v>
      </c>
      <c r="R13" s="199"/>
    </row>
    <row r="14" spans="2:18" x14ac:dyDescent="0.25">
      <c r="B14" s="66">
        <v>85</v>
      </c>
      <c r="D14" s="379">
        <v>1933608.2690000001</v>
      </c>
      <c r="E14" s="379">
        <v>1680524.0340000002</v>
      </c>
      <c r="F14" s="379">
        <v>1789387.747</v>
      </c>
      <c r="G14" s="379">
        <v>1400451.9129999999</v>
      </c>
      <c r="H14" s="379">
        <v>1046948.3860000001</v>
      </c>
      <c r="I14" s="379">
        <v>846566.86300000013</v>
      </c>
      <c r="J14" s="379">
        <v>751275.15700000012</v>
      </c>
      <c r="K14" s="379">
        <v>818592.84</v>
      </c>
      <c r="L14" s="379">
        <v>951488.03799999994</v>
      </c>
      <c r="M14" s="379">
        <v>1246629.8770000001</v>
      </c>
      <c r="N14" s="379">
        <v>1526244.0460000001</v>
      </c>
      <c r="O14" s="379">
        <v>1796281.3839999998</v>
      </c>
      <c r="P14" s="63">
        <f t="shared" si="1"/>
        <v>15787998.554000001</v>
      </c>
      <c r="R14" s="199"/>
    </row>
    <row r="15" spans="2:18" x14ac:dyDescent="0.25">
      <c r="B15" s="66">
        <v>86</v>
      </c>
      <c r="D15" s="379">
        <v>1276427.676</v>
      </c>
      <c r="E15" s="379">
        <v>1068462.2690000001</v>
      </c>
      <c r="F15" s="379">
        <v>1127196.3709999998</v>
      </c>
      <c r="G15" s="379">
        <v>864727.49600000004</v>
      </c>
      <c r="H15" s="379">
        <v>484538.7</v>
      </c>
      <c r="I15" s="379">
        <v>321778.14299999998</v>
      </c>
      <c r="J15" s="379">
        <v>219962.299</v>
      </c>
      <c r="K15" s="379">
        <v>215005.26</v>
      </c>
      <c r="L15" s="379">
        <v>362844.38800000004</v>
      </c>
      <c r="M15" s="379">
        <v>702396.77799999993</v>
      </c>
      <c r="N15" s="379">
        <v>948760.799</v>
      </c>
      <c r="O15" s="379">
        <v>1160536.6139999998</v>
      </c>
      <c r="P15" s="63">
        <f t="shared" si="1"/>
        <v>8752636.7929999996</v>
      </c>
      <c r="R15" s="199"/>
    </row>
    <row r="16" spans="2:18" x14ac:dyDescent="0.25">
      <c r="B16" s="66">
        <v>87</v>
      </c>
      <c r="D16" s="379">
        <v>2582095.4070000001</v>
      </c>
      <c r="E16" s="379">
        <v>2453869.7620000001</v>
      </c>
      <c r="F16" s="379">
        <v>2432020.3769999999</v>
      </c>
      <c r="G16" s="379">
        <v>2074669.916</v>
      </c>
      <c r="H16" s="379">
        <v>1485710.202</v>
      </c>
      <c r="I16" s="379">
        <v>1430551.095</v>
      </c>
      <c r="J16" s="379">
        <v>1280281.31</v>
      </c>
      <c r="K16" s="379">
        <v>1275025.321</v>
      </c>
      <c r="L16" s="379">
        <v>1372715.9339999999</v>
      </c>
      <c r="M16" s="379">
        <v>1756849.892</v>
      </c>
      <c r="N16" s="379">
        <v>2152439.2620000001</v>
      </c>
      <c r="O16" s="379">
        <v>2585495.1809999999</v>
      </c>
      <c r="P16" s="63">
        <f t="shared" si="1"/>
        <v>22881723.659000002</v>
      </c>
      <c r="R16" s="199"/>
    </row>
    <row r="17" spans="2:18" x14ac:dyDescent="0.25">
      <c r="B17" s="66" t="s">
        <v>33</v>
      </c>
      <c r="D17" s="379">
        <v>5002.67</v>
      </c>
      <c r="E17" s="379">
        <v>6550.45</v>
      </c>
      <c r="F17" s="379">
        <v>5064.18</v>
      </c>
      <c r="G17" s="379">
        <v>3517.5600000000004</v>
      </c>
      <c r="H17" s="379">
        <v>1618.33</v>
      </c>
      <c r="I17" s="379">
        <v>992.44</v>
      </c>
      <c r="J17" s="379">
        <v>798.62</v>
      </c>
      <c r="K17" s="379">
        <v>838.78</v>
      </c>
      <c r="L17" s="379">
        <v>1047.7</v>
      </c>
      <c r="M17" s="379">
        <v>1466.72</v>
      </c>
      <c r="N17" s="379">
        <v>2139.9299999999998</v>
      </c>
      <c r="O17" s="379">
        <v>2460.83</v>
      </c>
      <c r="P17" s="63">
        <f t="shared" si="1"/>
        <v>31498.21</v>
      </c>
      <c r="R17" s="199"/>
    </row>
    <row r="18" spans="2:18" x14ac:dyDescent="0.25">
      <c r="B18" s="66" t="s">
        <v>35</v>
      </c>
      <c r="D18" s="379">
        <v>1896974.1</v>
      </c>
      <c r="E18" s="379">
        <v>1747749.17</v>
      </c>
      <c r="F18" s="379">
        <v>1903759.5399999998</v>
      </c>
      <c r="G18" s="379">
        <v>1695900.24</v>
      </c>
      <c r="H18" s="379">
        <v>1615187.25</v>
      </c>
      <c r="I18" s="379">
        <v>1585578.37</v>
      </c>
      <c r="J18" s="379">
        <v>1532375.2000000002</v>
      </c>
      <c r="K18" s="379">
        <v>1597051.59</v>
      </c>
      <c r="L18" s="379">
        <v>1518330.34</v>
      </c>
      <c r="M18" s="379">
        <v>1784480.0699999998</v>
      </c>
      <c r="N18" s="379">
        <v>1838826.6099999999</v>
      </c>
      <c r="O18" s="379">
        <v>1900801.94</v>
      </c>
      <c r="P18" s="63">
        <f t="shared" si="1"/>
        <v>20617014.420000002</v>
      </c>
      <c r="R18" s="199"/>
    </row>
    <row r="19" spans="2:18" x14ac:dyDescent="0.25">
      <c r="B19" s="66" t="s">
        <v>37</v>
      </c>
      <c r="D19" s="379">
        <v>6677618.04</v>
      </c>
      <c r="E19" s="379">
        <v>6081561.6100000003</v>
      </c>
      <c r="F19" s="379">
        <v>6977294.3499999996</v>
      </c>
      <c r="G19" s="379">
        <v>6172882.9199999999</v>
      </c>
      <c r="H19" s="379">
        <v>6120130.4900000002</v>
      </c>
      <c r="I19" s="379">
        <v>5984493.8599999994</v>
      </c>
      <c r="J19" s="379">
        <v>5788622.3399999999</v>
      </c>
      <c r="K19" s="379">
        <v>5929213.9500000002</v>
      </c>
      <c r="L19" s="379">
        <v>5963637.7799999993</v>
      </c>
      <c r="M19" s="379">
        <v>6781134.96</v>
      </c>
      <c r="N19" s="379">
        <v>6236362.5</v>
      </c>
      <c r="O19" s="379">
        <v>6119205.4100000001</v>
      </c>
      <c r="P19" s="63">
        <f t="shared" si="1"/>
        <v>74832158.210000008</v>
      </c>
      <c r="R19" s="199"/>
    </row>
    <row r="20" spans="2:18" x14ac:dyDescent="0.25">
      <c r="B20" s="66" t="s">
        <v>39</v>
      </c>
      <c r="D20" s="379">
        <v>49343.94</v>
      </c>
      <c r="E20" s="379">
        <v>52603.87</v>
      </c>
      <c r="F20" s="379">
        <v>40825.67</v>
      </c>
      <c r="G20" s="379">
        <v>24785.5</v>
      </c>
      <c r="H20" s="379">
        <v>18363.18</v>
      </c>
      <c r="I20" s="379">
        <v>20942.59</v>
      </c>
      <c r="J20" s="379">
        <v>16363.51</v>
      </c>
      <c r="K20" s="379">
        <v>13568.14</v>
      </c>
      <c r="L20" s="379">
        <v>18972.219999999998</v>
      </c>
      <c r="M20" s="379">
        <v>33141.14</v>
      </c>
      <c r="N20" s="379">
        <v>34143.08</v>
      </c>
      <c r="O20" s="379">
        <v>28235.31</v>
      </c>
      <c r="P20" s="63">
        <f t="shared" si="1"/>
        <v>351288.14999999997</v>
      </c>
      <c r="R20" s="199"/>
    </row>
    <row r="21" spans="2:18" x14ac:dyDescent="0.25">
      <c r="B21" s="66" t="s">
        <v>41</v>
      </c>
      <c r="D21" s="379">
        <v>8436598.5199999996</v>
      </c>
      <c r="E21" s="379">
        <v>8777355.3900000006</v>
      </c>
      <c r="F21" s="379">
        <v>9545363.1600000001</v>
      </c>
      <c r="G21" s="379">
        <v>8252639.4799999995</v>
      </c>
      <c r="H21" s="379">
        <v>8341789.8599999994</v>
      </c>
      <c r="I21" s="379">
        <v>7675361.1500000004</v>
      </c>
      <c r="J21" s="379">
        <v>8618473.3499999996</v>
      </c>
      <c r="K21" s="379">
        <v>8692811.5600000005</v>
      </c>
      <c r="L21" s="379">
        <v>7685008.5999999996</v>
      </c>
      <c r="M21" s="379">
        <v>7999972.3100000005</v>
      </c>
      <c r="N21" s="379">
        <v>7185633.330000001</v>
      </c>
      <c r="O21" s="379">
        <v>9016301.0200000014</v>
      </c>
      <c r="P21" s="63">
        <f t="shared" si="1"/>
        <v>100227307.72999999</v>
      </c>
      <c r="R21" s="199"/>
    </row>
    <row r="22" spans="2:18" x14ac:dyDescent="0.25">
      <c r="B22" s="66" t="s">
        <v>13</v>
      </c>
      <c r="D22" s="379">
        <v>4443467.74</v>
      </c>
      <c r="E22" s="379">
        <v>3867486.2699999996</v>
      </c>
      <c r="F22" s="379">
        <v>3813818.93</v>
      </c>
      <c r="G22" s="379">
        <v>3266173.4099999997</v>
      </c>
      <c r="H22" s="379">
        <v>2607580.04</v>
      </c>
      <c r="I22" s="379">
        <v>2223953.0499999998</v>
      </c>
      <c r="J22" s="379">
        <v>1816114.2500000002</v>
      </c>
      <c r="K22" s="379">
        <v>1897095.8699999999</v>
      </c>
      <c r="L22" s="379">
        <v>2237328.9500000002</v>
      </c>
      <c r="M22" s="379">
        <v>2944518.8099999996</v>
      </c>
      <c r="N22" s="379">
        <v>3753743.19</v>
      </c>
      <c r="O22" s="379">
        <v>4219586.24</v>
      </c>
      <c r="P22" s="63">
        <f t="shared" si="1"/>
        <v>37090866.75</v>
      </c>
      <c r="R22" s="199"/>
    </row>
    <row r="23" spans="2:18" x14ac:dyDescent="0.25">
      <c r="B23" s="66" t="s">
        <v>6</v>
      </c>
      <c r="D23" s="67">
        <f>SUM(D9:D22)</f>
        <v>166552053.47499999</v>
      </c>
      <c r="E23" s="67">
        <f t="shared" ref="E23:P23" si="2">SUM(E9:E22)</f>
        <v>132722491.49299997</v>
      </c>
      <c r="F23" s="67">
        <f t="shared" si="2"/>
        <v>138038713.21000004</v>
      </c>
      <c r="G23" s="67">
        <f t="shared" si="2"/>
        <v>99007354.439999998</v>
      </c>
      <c r="H23" s="67">
        <f t="shared" si="2"/>
        <v>69941058.016000003</v>
      </c>
      <c r="I23" s="67">
        <f t="shared" si="2"/>
        <v>52323795.749999993</v>
      </c>
      <c r="J23" s="67">
        <f t="shared" si="2"/>
        <v>44513655.328999996</v>
      </c>
      <c r="K23" s="67">
        <f t="shared" si="2"/>
        <v>44848856.703000002</v>
      </c>
      <c r="L23" s="67">
        <f t="shared" si="2"/>
        <v>55568657.735000014</v>
      </c>
      <c r="M23" s="67">
        <f t="shared" si="2"/>
        <v>89253856.68599999</v>
      </c>
      <c r="N23" s="67">
        <f t="shared" si="2"/>
        <v>134669493.868</v>
      </c>
      <c r="O23" s="67">
        <f t="shared" si="2"/>
        <v>164547110.96400002</v>
      </c>
      <c r="P23" s="67">
        <f t="shared" si="2"/>
        <v>1191987097.6689999</v>
      </c>
    </row>
    <row r="24" spans="2:18" x14ac:dyDescent="0.25">
      <c r="B24" s="66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</row>
    <row r="25" spans="2:18" x14ac:dyDescent="0.25">
      <c r="B25" s="66" t="s">
        <v>105</v>
      </c>
      <c r="D25" s="63">
        <f>SUM(D9:D13)</f>
        <v>139250917.11300001</v>
      </c>
      <c r="E25" s="63">
        <f t="shared" ref="E25:O25" si="3">SUM(E9:E13)</f>
        <v>106986328.66799998</v>
      </c>
      <c r="F25" s="63">
        <f t="shared" si="3"/>
        <v>110403982.88500001</v>
      </c>
      <c r="G25" s="63">
        <f t="shared" si="3"/>
        <v>75251606.004999995</v>
      </c>
      <c r="H25" s="63">
        <f t="shared" si="3"/>
        <v>48219191.577999994</v>
      </c>
      <c r="I25" s="63">
        <f t="shared" si="3"/>
        <v>32233578.188999996</v>
      </c>
      <c r="J25" s="63">
        <f t="shared" si="3"/>
        <v>24489389.292999998</v>
      </c>
      <c r="K25" s="63">
        <f t="shared" si="3"/>
        <v>24409653.391999997</v>
      </c>
      <c r="L25" s="63">
        <f t="shared" si="3"/>
        <v>35457283.785000004</v>
      </c>
      <c r="M25" s="63">
        <f t="shared" si="3"/>
        <v>66003266.129000001</v>
      </c>
      <c r="N25" s="63">
        <f t="shared" si="3"/>
        <v>110991201.12099999</v>
      </c>
      <c r="O25" s="63">
        <f t="shared" si="3"/>
        <v>137718207.035</v>
      </c>
      <c r="P25" s="63">
        <f t="shared" si="1"/>
        <v>911414605.19299996</v>
      </c>
    </row>
    <row r="26" spans="2:18" x14ac:dyDescent="0.25">
      <c r="B26" s="66" t="s">
        <v>106</v>
      </c>
      <c r="D26" s="63">
        <f>SUM(D14:D16)</f>
        <v>5792131.352</v>
      </c>
      <c r="E26" s="63">
        <f t="shared" ref="E26:O26" si="4">SUM(E14:E16)</f>
        <v>5202856.0650000004</v>
      </c>
      <c r="F26" s="63">
        <f t="shared" si="4"/>
        <v>5348604.4949999992</v>
      </c>
      <c r="G26" s="63">
        <f t="shared" si="4"/>
        <v>4339849.3250000002</v>
      </c>
      <c r="H26" s="63">
        <f t="shared" si="4"/>
        <v>3017197.2880000002</v>
      </c>
      <c r="I26" s="63">
        <f t="shared" si="4"/>
        <v>2598896.1009999998</v>
      </c>
      <c r="J26" s="63">
        <f t="shared" si="4"/>
        <v>2251518.7660000003</v>
      </c>
      <c r="K26" s="63">
        <f t="shared" si="4"/>
        <v>2308623.4210000001</v>
      </c>
      <c r="L26" s="63">
        <f t="shared" si="4"/>
        <v>2687048.36</v>
      </c>
      <c r="M26" s="63">
        <f t="shared" si="4"/>
        <v>3705876.5470000003</v>
      </c>
      <c r="N26" s="63">
        <f t="shared" si="4"/>
        <v>4627444.1070000008</v>
      </c>
      <c r="O26" s="63">
        <f t="shared" si="4"/>
        <v>5542313.1789999995</v>
      </c>
      <c r="P26" s="63">
        <f t="shared" si="1"/>
        <v>47422359.005999997</v>
      </c>
    </row>
    <row r="27" spans="2:18" x14ac:dyDescent="0.25">
      <c r="B27" s="66" t="s">
        <v>107</v>
      </c>
      <c r="D27" s="67">
        <f>SUM(D25:D26)</f>
        <v>145043048.465</v>
      </c>
      <c r="E27" s="67">
        <f t="shared" ref="E27:P27" si="5">SUM(E25:E26)</f>
        <v>112189184.73299998</v>
      </c>
      <c r="F27" s="67">
        <f t="shared" si="5"/>
        <v>115752587.38000001</v>
      </c>
      <c r="G27" s="67">
        <f t="shared" si="5"/>
        <v>79591455.329999998</v>
      </c>
      <c r="H27" s="67">
        <f t="shared" si="5"/>
        <v>51236388.865999997</v>
      </c>
      <c r="I27" s="67">
        <f t="shared" si="5"/>
        <v>34832474.289999992</v>
      </c>
      <c r="J27" s="67">
        <f t="shared" si="5"/>
        <v>26740908.058999997</v>
      </c>
      <c r="K27" s="67">
        <f t="shared" si="5"/>
        <v>26718276.812999997</v>
      </c>
      <c r="L27" s="67">
        <f t="shared" si="5"/>
        <v>38144332.145000003</v>
      </c>
      <c r="M27" s="67">
        <f t="shared" si="5"/>
        <v>69709142.675999999</v>
      </c>
      <c r="N27" s="67">
        <f t="shared" si="5"/>
        <v>115618645.22799999</v>
      </c>
      <c r="O27" s="67">
        <f t="shared" si="5"/>
        <v>143260520.21399999</v>
      </c>
      <c r="P27" s="67">
        <f t="shared" si="5"/>
        <v>958836964.199</v>
      </c>
    </row>
    <row r="28" spans="2:18" x14ac:dyDescent="0.25">
      <c r="B28" s="66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</row>
    <row r="29" spans="2:18" x14ac:dyDescent="0.25">
      <c r="B29" s="66" t="s">
        <v>108</v>
      </c>
      <c r="D29" s="63">
        <f>SUM(D17:D22)</f>
        <v>21509005.009999998</v>
      </c>
      <c r="E29" s="63">
        <f t="shared" ref="E29:O29" si="6">SUM(E17:E22)</f>
        <v>20533306.760000002</v>
      </c>
      <c r="F29" s="63">
        <f t="shared" si="6"/>
        <v>22286125.829999998</v>
      </c>
      <c r="G29" s="63">
        <f t="shared" si="6"/>
        <v>19415899.109999999</v>
      </c>
      <c r="H29" s="63">
        <f t="shared" si="6"/>
        <v>18704669.149999999</v>
      </c>
      <c r="I29" s="63">
        <f t="shared" si="6"/>
        <v>17491321.460000001</v>
      </c>
      <c r="J29" s="63">
        <f t="shared" si="6"/>
        <v>17772747.27</v>
      </c>
      <c r="K29" s="63">
        <f t="shared" si="6"/>
        <v>18130579.890000001</v>
      </c>
      <c r="L29" s="63">
        <f t="shared" si="6"/>
        <v>17424325.59</v>
      </c>
      <c r="M29" s="63">
        <f t="shared" si="6"/>
        <v>19544714.010000002</v>
      </c>
      <c r="N29" s="63">
        <f t="shared" si="6"/>
        <v>19050848.640000001</v>
      </c>
      <c r="O29" s="63">
        <f t="shared" si="6"/>
        <v>21286590.75</v>
      </c>
      <c r="P29" s="63">
        <f>SUM(D29:O29)</f>
        <v>233150133.47000003</v>
      </c>
    </row>
    <row r="30" spans="2:18" x14ac:dyDescent="0.25">
      <c r="B30" s="66" t="s">
        <v>6</v>
      </c>
      <c r="D30" s="67">
        <f>D27+D29</f>
        <v>166552053.47499999</v>
      </c>
      <c r="E30" s="67">
        <f t="shared" ref="E30:P30" si="7">E27+E29</f>
        <v>132722491.49299999</v>
      </c>
      <c r="F30" s="67">
        <f t="shared" si="7"/>
        <v>138038713.21000001</v>
      </c>
      <c r="G30" s="67">
        <f t="shared" si="7"/>
        <v>99007354.439999998</v>
      </c>
      <c r="H30" s="67">
        <f t="shared" si="7"/>
        <v>69941058.016000003</v>
      </c>
      <c r="I30" s="67">
        <f t="shared" si="7"/>
        <v>52323795.749999993</v>
      </c>
      <c r="J30" s="67">
        <f t="shared" si="7"/>
        <v>44513655.328999996</v>
      </c>
      <c r="K30" s="67">
        <f t="shared" si="7"/>
        <v>44848856.702999994</v>
      </c>
      <c r="L30" s="67">
        <f t="shared" si="7"/>
        <v>55568657.734999999</v>
      </c>
      <c r="M30" s="67">
        <f t="shared" si="7"/>
        <v>89253856.686000004</v>
      </c>
      <c r="N30" s="67">
        <f t="shared" si="7"/>
        <v>134669493.86799997</v>
      </c>
      <c r="O30" s="67">
        <f t="shared" si="7"/>
        <v>164547110.96399999</v>
      </c>
      <c r="P30" s="67">
        <f t="shared" si="7"/>
        <v>1191987097.6690001</v>
      </c>
    </row>
    <row r="31" spans="2:18" x14ac:dyDescent="0.25">
      <c r="B31" s="68" t="s">
        <v>109</v>
      </c>
      <c r="D31" s="69">
        <f>D23-D30</f>
        <v>0</v>
      </c>
      <c r="E31" s="69">
        <f t="shared" ref="E31:P31" si="8">E23-E30</f>
        <v>0</v>
      </c>
      <c r="F31" s="69">
        <f t="shared" si="8"/>
        <v>0</v>
      </c>
      <c r="G31" s="69">
        <f t="shared" si="8"/>
        <v>0</v>
      </c>
      <c r="H31" s="69">
        <f t="shared" si="8"/>
        <v>0</v>
      </c>
      <c r="I31" s="69">
        <f t="shared" si="8"/>
        <v>0</v>
      </c>
      <c r="J31" s="69">
        <f t="shared" si="8"/>
        <v>0</v>
      </c>
      <c r="K31" s="69">
        <f>K23-K30</f>
        <v>0</v>
      </c>
      <c r="L31" s="69">
        <f t="shared" si="8"/>
        <v>0</v>
      </c>
      <c r="M31" s="69">
        <f t="shared" si="8"/>
        <v>0</v>
      </c>
      <c r="N31" s="69">
        <f t="shared" si="8"/>
        <v>0</v>
      </c>
      <c r="O31" s="69">
        <f t="shared" si="8"/>
        <v>0</v>
      </c>
      <c r="P31" s="69">
        <f t="shared" si="8"/>
        <v>0</v>
      </c>
    </row>
    <row r="32" spans="2:18" x14ac:dyDescent="0.25">
      <c r="C32" s="63"/>
    </row>
    <row r="33" spans="2:16" x14ac:dyDescent="0.25"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</row>
    <row r="34" spans="2:16" x14ac:dyDescent="0.25">
      <c r="B34" s="227" t="s">
        <v>254</v>
      </c>
      <c r="C34" s="63"/>
      <c r="D34" s="63">
        <f t="shared" ref="D34:P34" si="9">SUM(D9:D11)</f>
        <v>97231969.638999999</v>
      </c>
      <c r="E34" s="63">
        <f t="shared" si="9"/>
        <v>73373897.726999983</v>
      </c>
      <c r="F34" s="63">
        <f t="shared" si="9"/>
        <v>75850842.379000008</v>
      </c>
      <c r="G34" s="63">
        <f t="shared" si="9"/>
        <v>50274207.020000003</v>
      </c>
      <c r="H34" s="63">
        <f t="shared" si="9"/>
        <v>30886460.517999999</v>
      </c>
      <c r="I34" s="63">
        <f t="shared" si="9"/>
        <v>19281720.781999998</v>
      </c>
      <c r="J34" s="63">
        <f t="shared" si="9"/>
        <v>13445965.558</v>
      </c>
      <c r="K34" s="63">
        <f t="shared" si="9"/>
        <v>13244647.963</v>
      </c>
      <c r="L34" s="63">
        <f t="shared" si="9"/>
        <v>21692715.810000002</v>
      </c>
      <c r="M34" s="63">
        <f t="shared" si="9"/>
        <v>44275400.994000003</v>
      </c>
      <c r="N34" s="63">
        <f t="shared" si="9"/>
        <v>77701884.366999999</v>
      </c>
      <c r="O34" s="63">
        <f t="shared" si="9"/>
        <v>96411804.975000009</v>
      </c>
      <c r="P34" s="63">
        <f t="shared" si="9"/>
        <v>613671517.73199999</v>
      </c>
    </row>
    <row r="35" spans="2:16" x14ac:dyDescent="0.25">
      <c r="B35" s="66" t="s">
        <v>249</v>
      </c>
      <c r="C35" s="63"/>
      <c r="D35" s="63">
        <f t="shared" ref="D35:P35" si="10">SUM(D12,D17)</f>
        <v>33824695.287</v>
      </c>
      <c r="E35" s="63">
        <f t="shared" si="10"/>
        <v>26744447.717999998</v>
      </c>
      <c r="F35" s="63">
        <f t="shared" si="10"/>
        <v>27371494.364999998</v>
      </c>
      <c r="G35" s="63">
        <f t="shared" si="10"/>
        <v>19232155.868999999</v>
      </c>
      <c r="H35" s="63">
        <f t="shared" si="10"/>
        <v>12821977.888</v>
      </c>
      <c r="I35" s="63">
        <f t="shared" si="10"/>
        <v>9368749.004999999</v>
      </c>
      <c r="J35" s="63">
        <f t="shared" si="10"/>
        <v>8114894.6409999998</v>
      </c>
      <c r="K35" s="63">
        <f t="shared" si="10"/>
        <v>8198553.307</v>
      </c>
      <c r="L35" s="63">
        <f t="shared" si="10"/>
        <v>10192052.229999999</v>
      </c>
      <c r="M35" s="63">
        <f t="shared" si="10"/>
        <v>16642566.345000001</v>
      </c>
      <c r="N35" s="63">
        <f t="shared" si="10"/>
        <v>26450306.603</v>
      </c>
      <c r="O35" s="63">
        <f t="shared" si="10"/>
        <v>33314827.854999997</v>
      </c>
      <c r="P35" s="63">
        <f t="shared" si="10"/>
        <v>232276721.11300004</v>
      </c>
    </row>
    <row r="36" spans="2:16" x14ac:dyDescent="0.25">
      <c r="B36" s="66" t="s">
        <v>250</v>
      </c>
      <c r="D36" s="63">
        <f t="shared" ref="D36:P36" si="11">SUM(D13,D18)</f>
        <v>10096228.957</v>
      </c>
      <c r="E36" s="63">
        <f t="shared" si="11"/>
        <v>8622282.8430000003</v>
      </c>
      <c r="F36" s="63">
        <f t="shared" si="11"/>
        <v>9090469.8609999996</v>
      </c>
      <c r="G36" s="63">
        <f t="shared" si="11"/>
        <v>7444660.9160000011</v>
      </c>
      <c r="H36" s="63">
        <f t="shared" si="11"/>
        <v>6127558.7520000003</v>
      </c>
      <c r="I36" s="63">
        <f t="shared" si="11"/>
        <v>5169679.2120000003</v>
      </c>
      <c r="J36" s="63">
        <f t="shared" si="11"/>
        <v>4461702.9139999999</v>
      </c>
      <c r="K36" s="63">
        <f t="shared" si="11"/>
        <v>4564342.4919999996</v>
      </c>
      <c r="L36" s="63">
        <f t="shared" si="11"/>
        <v>5091893.7850000001</v>
      </c>
      <c r="M36" s="63">
        <f t="shared" si="11"/>
        <v>6871245.5800000001</v>
      </c>
      <c r="N36" s="63">
        <f t="shared" si="11"/>
        <v>8679976.6909999996</v>
      </c>
      <c r="O36" s="63">
        <f t="shared" si="11"/>
        <v>9894836.9749999996</v>
      </c>
      <c r="P36" s="63">
        <f t="shared" si="11"/>
        <v>86114878.978000015</v>
      </c>
    </row>
    <row r="37" spans="2:16" x14ac:dyDescent="0.25">
      <c r="B37" s="227" t="s">
        <v>253</v>
      </c>
      <c r="D37" s="63">
        <f t="shared" ref="D37:P37" si="12">SUM(D14,D19)</f>
        <v>8611226.3090000004</v>
      </c>
      <c r="E37" s="63">
        <f t="shared" si="12"/>
        <v>7762085.6440000003</v>
      </c>
      <c r="F37" s="63">
        <f t="shared" si="12"/>
        <v>8766682.0969999991</v>
      </c>
      <c r="G37" s="63">
        <f t="shared" si="12"/>
        <v>7573334.8329999996</v>
      </c>
      <c r="H37" s="63">
        <f t="shared" si="12"/>
        <v>7167078.8760000002</v>
      </c>
      <c r="I37" s="63">
        <f t="shared" si="12"/>
        <v>6831060.7229999993</v>
      </c>
      <c r="J37" s="63">
        <f t="shared" si="12"/>
        <v>6539897.4969999995</v>
      </c>
      <c r="K37" s="63">
        <f t="shared" si="12"/>
        <v>6747806.79</v>
      </c>
      <c r="L37" s="63">
        <f t="shared" si="12"/>
        <v>6915125.817999999</v>
      </c>
      <c r="M37" s="63">
        <f t="shared" si="12"/>
        <v>8027764.8370000003</v>
      </c>
      <c r="N37" s="63">
        <f t="shared" si="12"/>
        <v>7762606.5460000001</v>
      </c>
      <c r="O37" s="63">
        <f t="shared" si="12"/>
        <v>7915486.7939999998</v>
      </c>
      <c r="P37" s="63">
        <f t="shared" si="12"/>
        <v>90620156.764000013</v>
      </c>
    </row>
    <row r="38" spans="2:16" x14ac:dyDescent="0.25">
      <c r="B38" s="66" t="s">
        <v>251</v>
      </c>
      <c r="D38" s="63">
        <f t="shared" ref="D38:P38" si="13">SUM(D15,D20)</f>
        <v>1325771.6159999999</v>
      </c>
      <c r="E38" s="63">
        <f t="shared" si="13"/>
        <v>1121066.1390000002</v>
      </c>
      <c r="F38" s="63">
        <f t="shared" si="13"/>
        <v>1168022.0409999997</v>
      </c>
      <c r="G38" s="63">
        <f t="shared" si="13"/>
        <v>889512.99600000004</v>
      </c>
      <c r="H38" s="63">
        <f t="shared" si="13"/>
        <v>502901.88</v>
      </c>
      <c r="I38" s="63">
        <f t="shared" si="13"/>
        <v>342720.73300000001</v>
      </c>
      <c r="J38" s="63">
        <f t="shared" si="13"/>
        <v>236325.80900000001</v>
      </c>
      <c r="K38" s="63">
        <f t="shared" si="13"/>
        <v>228573.40000000002</v>
      </c>
      <c r="L38" s="63">
        <f t="shared" si="13"/>
        <v>381816.60800000001</v>
      </c>
      <c r="M38" s="63">
        <f t="shared" si="13"/>
        <v>735537.91799999995</v>
      </c>
      <c r="N38" s="63">
        <f t="shared" si="13"/>
        <v>982903.87899999996</v>
      </c>
      <c r="O38" s="63">
        <f t="shared" si="13"/>
        <v>1188771.9239999999</v>
      </c>
      <c r="P38" s="63">
        <f t="shared" si="13"/>
        <v>9103924.943</v>
      </c>
    </row>
    <row r="39" spans="2:16" x14ac:dyDescent="0.25">
      <c r="B39" s="66" t="s">
        <v>252</v>
      </c>
      <c r="D39" s="63">
        <f t="shared" ref="D39:P39" si="14">SUM(D16,D21)</f>
        <v>11018693.926999999</v>
      </c>
      <c r="E39" s="63">
        <f t="shared" si="14"/>
        <v>11231225.152000001</v>
      </c>
      <c r="F39" s="63">
        <f t="shared" si="14"/>
        <v>11977383.537</v>
      </c>
      <c r="G39" s="63">
        <f t="shared" si="14"/>
        <v>10327309.396</v>
      </c>
      <c r="H39" s="63">
        <f t="shared" si="14"/>
        <v>9827500.061999999</v>
      </c>
      <c r="I39" s="63">
        <f t="shared" si="14"/>
        <v>9105912.245000001</v>
      </c>
      <c r="J39" s="63">
        <f t="shared" si="14"/>
        <v>9898754.6600000001</v>
      </c>
      <c r="K39" s="63">
        <f t="shared" si="14"/>
        <v>9967836.881000001</v>
      </c>
      <c r="L39" s="63">
        <f t="shared" si="14"/>
        <v>9057724.534</v>
      </c>
      <c r="M39" s="63">
        <f t="shared" si="14"/>
        <v>9756822.2019999996</v>
      </c>
      <c r="N39" s="63">
        <f t="shared" si="14"/>
        <v>9338072.5920000002</v>
      </c>
      <c r="O39" s="63">
        <f t="shared" si="14"/>
        <v>11601796.201000001</v>
      </c>
      <c r="P39" s="63">
        <f t="shared" si="14"/>
        <v>123109031.389</v>
      </c>
    </row>
    <row r="40" spans="2:16" x14ac:dyDescent="0.25">
      <c r="B40" s="227" t="s">
        <v>13</v>
      </c>
      <c r="D40" s="63">
        <f t="shared" ref="D40:P40" si="15">D22</f>
        <v>4443467.74</v>
      </c>
      <c r="E40" s="63">
        <f t="shared" si="15"/>
        <v>3867486.2699999996</v>
      </c>
      <c r="F40" s="63">
        <f t="shared" si="15"/>
        <v>3813818.93</v>
      </c>
      <c r="G40" s="63">
        <f t="shared" si="15"/>
        <v>3266173.4099999997</v>
      </c>
      <c r="H40" s="63">
        <f t="shared" si="15"/>
        <v>2607580.04</v>
      </c>
      <c r="I40" s="63">
        <f t="shared" si="15"/>
        <v>2223953.0499999998</v>
      </c>
      <c r="J40" s="63">
        <f t="shared" si="15"/>
        <v>1816114.2500000002</v>
      </c>
      <c r="K40" s="63">
        <f t="shared" si="15"/>
        <v>1897095.8699999999</v>
      </c>
      <c r="L40" s="63">
        <f t="shared" si="15"/>
        <v>2237328.9500000002</v>
      </c>
      <c r="M40" s="63">
        <f t="shared" si="15"/>
        <v>2944518.8099999996</v>
      </c>
      <c r="N40" s="63">
        <f t="shared" si="15"/>
        <v>3753743.19</v>
      </c>
      <c r="O40" s="63">
        <f t="shared" si="15"/>
        <v>4219586.24</v>
      </c>
      <c r="P40" s="63">
        <f t="shared" si="15"/>
        <v>37090866.75</v>
      </c>
    </row>
    <row r="41" spans="2:16" x14ac:dyDescent="0.25">
      <c r="B41" s="68" t="s">
        <v>109</v>
      </c>
      <c r="D41" s="69">
        <f>SUM(D34:D40)-D23</f>
        <v>0</v>
      </c>
      <c r="E41" s="69">
        <f t="shared" ref="E41:P41" si="16">SUM(E34:E40)-E23</f>
        <v>0</v>
      </c>
      <c r="F41" s="69">
        <f t="shared" si="16"/>
        <v>0</v>
      </c>
      <c r="G41" s="69">
        <f t="shared" si="16"/>
        <v>0</v>
      </c>
      <c r="H41" s="69">
        <f t="shared" si="16"/>
        <v>0</v>
      </c>
      <c r="I41" s="69">
        <f t="shared" si="16"/>
        <v>0</v>
      </c>
      <c r="J41" s="69">
        <f t="shared" si="16"/>
        <v>0</v>
      </c>
      <c r="K41" s="69">
        <f t="shared" si="16"/>
        <v>0</v>
      </c>
      <c r="L41" s="69">
        <f t="shared" si="16"/>
        <v>0</v>
      </c>
      <c r="M41" s="69">
        <f t="shared" si="16"/>
        <v>0</v>
      </c>
      <c r="N41" s="69">
        <f t="shared" si="16"/>
        <v>0</v>
      </c>
      <c r="O41" s="69">
        <f t="shared" si="16"/>
        <v>0</v>
      </c>
      <c r="P41" s="69">
        <f t="shared" si="16"/>
        <v>0</v>
      </c>
    </row>
  </sheetData>
  <mergeCells count="3">
    <mergeCell ref="B1:P1"/>
    <mergeCell ref="B2:P2"/>
    <mergeCell ref="B3:P3"/>
  </mergeCells>
  <printOptions horizontalCentered="1"/>
  <pageMargins left="0.5" right="0.5" top="0.75" bottom="0.75" header="0.3" footer="0.3"/>
  <pageSetup scale="65" orientation="landscape" blackAndWhite="1" r:id="rId1"/>
  <headerFooter>
    <oddFooter>&amp;L&amp;F 
&amp;A&amp;C&amp;P&amp;R&amp;D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1"/>
  <sheetViews>
    <sheetView zoomScale="90" zoomScaleNormal="90" workbookViewId="0">
      <selection activeCell="Q30" sqref="Q30"/>
    </sheetView>
  </sheetViews>
  <sheetFormatPr defaultRowHeight="15" x14ac:dyDescent="0.25"/>
  <cols>
    <col min="1" max="1" width="12.140625" customWidth="1"/>
    <col min="2" max="2" width="42.28515625" customWidth="1"/>
    <col min="3" max="14" width="12.5703125" customWidth="1"/>
    <col min="15" max="15" width="12.7109375" customWidth="1"/>
    <col min="17" max="17" width="11.5703125" bestFit="1" customWidth="1"/>
  </cols>
  <sheetData>
    <row r="1" spans="1:17" x14ac:dyDescent="0.25">
      <c r="A1" s="215" t="s">
        <v>0</v>
      </c>
    </row>
    <row r="2" spans="1:17" x14ac:dyDescent="0.25">
      <c r="A2" s="215" t="s">
        <v>417</v>
      </c>
    </row>
    <row r="3" spans="1:17" x14ac:dyDescent="0.25">
      <c r="C3" s="216">
        <v>43101</v>
      </c>
      <c r="D3" s="216">
        <f>EDATE(C3,1)</f>
        <v>43132</v>
      </c>
      <c r="E3" s="216">
        <f t="shared" ref="E3:N3" si="0">EDATE(D3,1)</f>
        <v>43160</v>
      </c>
      <c r="F3" s="216">
        <f t="shared" si="0"/>
        <v>43191</v>
      </c>
      <c r="G3" s="216">
        <f t="shared" si="0"/>
        <v>43221</v>
      </c>
      <c r="H3" s="216">
        <f t="shared" si="0"/>
        <v>43252</v>
      </c>
      <c r="I3" s="216">
        <f t="shared" si="0"/>
        <v>43282</v>
      </c>
      <c r="J3" s="216">
        <f t="shared" si="0"/>
        <v>43313</v>
      </c>
      <c r="K3" s="216">
        <f t="shared" si="0"/>
        <v>43344</v>
      </c>
      <c r="L3" s="216">
        <f t="shared" si="0"/>
        <v>43374</v>
      </c>
      <c r="M3" s="216">
        <f t="shared" si="0"/>
        <v>43405</v>
      </c>
      <c r="N3" s="216">
        <f t="shared" si="0"/>
        <v>43435</v>
      </c>
      <c r="O3" s="218" t="s">
        <v>205</v>
      </c>
    </row>
    <row r="4" spans="1:17" x14ac:dyDescent="0.25">
      <c r="A4" s="147" t="s">
        <v>120</v>
      </c>
      <c r="B4" s="148"/>
    </row>
    <row r="5" spans="1:17" x14ac:dyDescent="0.25">
      <c r="A5" s="149" t="s">
        <v>122</v>
      </c>
      <c r="B5" s="149" t="s">
        <v>121</v>
      </c>
      <c r="C5" s="364">
        <v>1053</v>
      </c>
      <c r="D5" s="364">
        <v>1045</v>
      </c>
      <c r="E5" s="364">
        <v>1042</v>
      </c>
      <c r="F5" s="364">
        <v>1041</v>
      </c>
      <c r="G5" s="364">
        <v>1041</v>
      </c>
      <c r="H5" s="364">
        <v>1025</v>
      </c>
      <c r="I5" s="364">
        <v>1011</v>
      </c>
      <c r="J5" s="364">
        <v>1016</v>
      </c>
      <c r="K5" s="364">
        <v>1005</v>
      </c>
      <c r="L5" s="364">
        <v>998</v>
      </c>
      <c r="M5" s="364">
        <v>998</v>
      </c>
      <c r="N5" s="364">
        <v>988</v>
      </c>
      <c r="O5" s="151">
        <f>SUM(C5:N5)</f>
        <v>12263</v>
      </c>
      <c r="Q5" s="295"/>
    </row>
    <row r="6" spans="1:17" x14ac:dyDescent="0.25">
      <c r="A6" s="149" t="s">
        <v>124</v>
      </c>
      <c r="B6" s="149" t="s">
        <v>123</v>
      </c>
      <c r="C6" s="364">
        <v>16290</v>
      </c>
      <c r="D6" s="364">
        <v>16247</v>
      </c>
      <c r="E6" s="364">
        <v>16204</v>
      </c>
      <c r="F6" s="364">
        <v>16110</v>
      </c>
      <c r="G6" s="364">
        <v>16050</v>
      </c>
      <c r="H6" s="364">
        <v>15978</v>
      </c>
      <c r="I6" s="364">
        <v>15871</v>
      </c>
      <c r="J6" s="364">
        <v>15825</v>
      </c>
      <c r="K6" s="364">
        <v>15684</v>
      </c>
      <c r="L6" s="364">
        <v>15612</v>
      </c>
      <c r="M6" s="364">
        <v>15511</v>
      </c>
      <c r="N6" s="364">
        <v>15410</v>
      </c>
      <c r="O6" s="151">
        <f t="shared" ref="O6:O27" si="1">SUM(C6:N6)</f>
        <v>190792</v>
      </c>
      <c r="Q6" s="295"/>
    </row>
    <row r="7" spans="1:17" x14ac:dyDescent="0.25">
      <c r="A7" s="149" t="s">
        <v>126</v>
      </c>
      <c r="B7" s="149" t="s">
        <v>125</v>
      </c>
      <c r="C7" s="364">
        <v>3075</v>
      </c>
      <c r="D7" s="364">
        <v>3065</v>
      </c>
      <c r="E7" s="364">
        <v>3053</v>
      </c>
      <c r="F7" s="364">
        <v>3031</v>
      </c>
      <c r="G7" s="364">
        <v>3031</v>
      </c>
      <c r="H7" s="364">
        <v>3021</v>
      </c>
      <c r="I7" s="364">
        <v>2999</v>
      </c>
      <c r="J7" s="364">
        <v>2985</v>
      </c>
      <c r="K7" s="364">
        <v>2951</v>
      </c>
      <c r="L7" s="364">
        <v>2949</v>
      </c>
      <c r="M7" s="364">
        <v>2931</v>
      </c>
      <c r="N7" s="364">
        <v>2920</v>
      </c>
      <c r="O7" s="151">
        <f t="shared" si="1"/>
        <v>36011</v>
      </c>
      <c r="Q7" s="295"/>
    </row>
    <row r="8" spans="1:17" x14ac:dyDescent="0.25">
      <c r="A8" s="149" t="s">
        <v>128</v>
      </c>
      <c r="B8" s="149" t="s">
        <v>127</v>
      </c>
      <c r="C8" s="364">
        <v>680</v>
      </c>
      <c r="D8" s="364">
        <v>678</v>
      </c>
      <c r="E8" s="364">
        <v>678</v>
      </c>
      <c r="F8" s="364">
        <v>673</v>
      </c>
      <c r="G8" s="364">
        <v>681</v>
      </c>
      <c r="H8" s="364">
        <v>674</v>
      </c>
      <c r="I8" s="364">
        <v>661</v>
      </c>
      <c r="J8" s="364">
        <v>657</v>
      </c>
      <c r="K8" s="364">
        <v>647</v>
      </c>
      <c r="L8" s="364">
        <v>645</v>
      </c>
      <c r="M8" s="364">
        <v>644</v>
      </c>
      <c r="N8" s="364">
        <v>641</v>
      </c>
      <c r="O8" s="151">
        <f t="shared" si="1"/>
        <v>7959</v>
      </c>
      <c r="Q8" s="295"/>
    </row>
    <row r="9" spans="1:17" x14ac:dyDescent="0.25">
      <c r="A9" s="149" t="s">
        <v>130</v>
      </c>
      <c r="B9" s="149" t="s">
        <v>129</v>
      </c>
      <c r="C9" s="364">
        <v>3447</v>
      </c>
      <c r="D9" s="364">
        <v>3432</v>
      </c>
      <c r="E9" s="364">
        <v>3406</v>
      </c>
      <c r="F9" s="364">
        <v>3396</v>
      </c>
      <c r="G9" s="364">
        <v>3398</v>
      </c>
      <c r="H9" s="364">
        <v>3392</v>
      </c>
      <c r="I9" s="364">
        <v>3378</v>
      </c>
      <c r="J9" s="364">
        <v>3341</v>
      </c>
      <c r="K9" s="364">
        <v>3313</v>
      </c>
      <c r="L9" s="364">
        <v>3305</v>
      </c>
      <c r="M9" s="364">
        <v>3293</v>
      </c>
      <c r="N9" s="364">
        <v>3276</v>
      </c>
      <c r="O9" s="151">
        <f t="shared" si="1"/>
        <v>40377</v>
      </c>
      <c r="Q9" s="295"/>
    </row>
    <row r="10" spans="1:17" x14ac:dyDescent="0.25">
      <c r="A10" s="149" t="s">
        <v>132</v>
      </c>
      <c r="B10" s="149" t="s">
        <v>131</v>
      </c>
      <c r="C10" s="364">
        <v>199</v>
      </c>
      <c r="D10" s="364">
        <v>195</v>
      </c>
      <c r="E10" s="364">
        <v>196</v>
      </c>
      <c r="F10" s="364">
        <v>196</v>
      </c>
      <c r="G10" s="364">
        <v>196</v>
      </c>
      <c r="H10" s="364">
        <v>197</v>
      </c>
      <c r="I10" s="364">
        <v>196</v>
      </c>
      <c r="J10" s="364">
        <v>196</v>
      </c>
      <c r="K10" s="364">
        <v>194</v>
      </c>
      <c r="L10" s="364">
        <v>192</v>
      </c>
      <c r="M10" s="364">
        <v>194</v>
      </c>
      <c r="N10" s="364">
        <v>194</v>
      </c>
      <c r="O10" s="151">
        <f t="shared" si="1"/>
        <v>2345</v>
      </c>
      <c r="Q10" s="295"/>
    </row>
    <row r="11" spans="1:17" x14ac:dyDescent="0.25">
      <c r="A11" s="1"/>
      <c r="B11" s="150" t="s">
        <v>133</v>
      </c>
      <c r="C11" s="343">
        <f>SUM(C5:C10)</f>
        <v>24744</v>
      </c>
      <c r="D11" s="343">
        <f t="shared" ref="D11:O11" si="2">SUM(D5:D10)</f>
        <v>24662</v>
      </c>
      <c r="E11" s="343">
        <f t="shared" si="2"/>
        <v>24579</v>
      </c>
      <c r="F11" s="343">
        <f t="shared" si="2"/>
        <v>24447</v>
      </c>
      <c r="G11" s="343">
        <f t="shared" si="2"/>
        <v>24397</v>
      </c>
      <c r="H11" s="343">
        <f t="shared" si="2"/>
        <v>24287</v>
      </c>
      <c r="I11" s="343">
        <f t="shared" si="2"/>
        <v>24116</v>
      </c>
      <c r="J11" s="343">
        <f t="shared" si="2"/>
        <v>24020</v>
      </c>
      <c r="K11" s="343">
        <f t="shared" si="2"/>
        <v>23794</v>
      </c>
      <c r="L11" s="343">
        <f t="shared" si="2"/>
        <v>23701</v>
      </c>
      <c r="M11" s="343">
        <f t="shared" si="2"/>
        <v>23571</v>
      </c>
      <c r="N11" s="343">
        <f t="shared" si="2"/>
        <v>23429</v>
      </c>
      <c r="O11" s="343">
        <f t="shared" si="2"/>
        <v>289747</v>
      </c>
      <c r="Q11" s="295"/>
    </row>
    <row r="12" spans="1:17" x14ac:dyDescent="0.25">
      <c r="A12" s="1"/>
      <c r="B12" s="149"/>
      <c r="C12" s="32"/>
      <c r="O12" s="151"/>
      <c r="Q12" s="295"/>
    </row>
    <row r="13" spans="1:17" x14ac:dyDescent="0.25">
      <c r="A13" s="147" t="s">
        <v>134</v>
      </c>
      <c r="B13" s="149"/>
      <c r="O13" s="151"/>
      <c r="Q13" s="295"/>
    </row>
    <row r="14" spans="1:17" x14ac:dyDescent="0.25">
      <c r="A14" s="149" t="s">
        <v>136</v>
      </c>
      <c r="B14" s="149" t="s">
        <v>135</v>
      </c>
      <c r="C14" s="364">
        <v>119</v>
      </c>
      <c r="D14" s="364">
        <v>116</v>
      </c>
      <c r="E14" s="364">
        <v>116</v>
      </c>
      <c r="F14" s="364">
        <v>116</v>
      </c>
      <c r="G14" s="364">
        <v>116</v>
      </c>
      <c r="H14" s="364">
        <v>118</v>
      </c>
      <c r="I14" s="364">
        <v>120</v>
      </c>
      <c r="J14" s="364">
        <v>115</v>
      </c>
      <c r="K14" s="364">
        <v>112</v>
      </c>
      <c r="L14" s="364">
        <v>112</v>
      </c>
      <c r="M14" s="364">
        <v>111</v>
      </c>
      <c r="N14" s="364">
        <v>113</v>
      </c>
      <c r="O14" s="151">
        <f t="shared" si="1"/>
        <v>1384</v>
      </c>
      <c r="Q14" s="295"/>
    </row>
    <row r="15" spans="1:17" x14ac:dyDescent="0.25">
      <c r="A15" s="149" t="s">
        <v>138</v>
      </c>
      <c r="B15" s="149" t="s">
        <v>137</v>
      </c>
      <c r="C15" s="364">
        <v>87</v>
      </c>
      <c r="D15" s="364">
        <v>89</v>
      </c>
      <c r="E15" s="364">
        <v>88</v>
      </c>
      <c r="F15" s="364">
        <v>88</v>
      </c>
      <c r="G15" s="364">
        <v>87</v>
      </c>
      <c r="H15" s="364">
        <v>87</v>
      </c>
      <c r="I15" s="364">
        <v>87</v>
      </c>
      <c r="J15" s="364">
        <v>86</v>
      </c>
      <c r="K15" s="364">
        <v>84</v>
      </c>
      <c r="L15" s="364">
        <v>85</v>
      </c>
      <c r="M15" s="364">
        <v>83</v>
      </c>
      <c r="N15" s="364">
        <v>85</v>
      </c>
      <c r="O15" s="151">
        <f t="shared" si="1"/>
        <v>1036</v>
      </c>
      <c r="Q15" s="295"/>
    </row>
    <row r="16" spans="1:17" x14ac:dyDescent="0.25">
      <c r="A16" s="149" t="s">
        <v>140</v>
      </c>
      <c r="B16" s="149" t="s">
        <v>139</v>
      </c>
      <c r="C16" s="364">
        <v>233</v>
      </c>
      <c r="D16" s="364">
        <v>235</v>
      </c>
      <c r="E16" s="364">
        <v>231</v>
      </c>
      <c r="F16" s="364">
        <v>228</v>
      </c>
      <c r="G16" s="364">
        <v>231</v>
      </c>
      <c r="H16" s="364">
        <v>222</v>
      </c>
      <c r="I16" s="364">
        <v>228</v>
      </c>
      <c r="J16" s="364">
        <v>228</v>
      </c>
      <c r="K16" s="364">
        <v>228</v>
      </c>
      <c r="L16" s="364">
        <v>216</v>
      </c>
      <c r="M16" s="364">
        <v>218</v>
      </c>
      <c r="N16" s="364">
        <v>213</v>
      </c>
      <c r="O16" s="151">
        <f t="shared" si="1"/>
        <v>2711</v>
      </c>
      <c r="Q16" s="295"/>
    </row>
    <row r="17" spans="1:17" x14ac:dyDescent="0.25">
      <c r="A17" s="149" t="s">
        <v>142</v>
      </c>
      <c r="B17" s="149" t="s">
        <v>141</v>
      </c>
      <c r="C17" s="364">
        <v>13</v>
      </c>
      <c r="D17" s="364">
        <v>13</v>
      </c>
      <c r="E17" s="364">
        <v>13</v>
      </c>
      <c r="F17" s="364">
        <v>13</v>
      </c>
      <c r="G17" s="364">
        <v>13</v>
      </c>
      <c r="H17" s="364">
        <v>13</v>
      </c>
      <c r="I17" s="364">
        <v>13</v>
      </c>
      <c r="J17" s="364">
        <v>13</v>
      </c>
      <c r="K17" s="364">
        <v>13</v>
      </c>
      <c r="L17" s="364">
        <v>13</v>
      </c>
      <c r="M17" s="364">
        <v>14</v>
      </c>
      <c r="N17" s="364">
        <v>13</v>
      </c>
      <c r="O17" s="151">
        <f t="shared" si="1"/>
        <v>157</v>
      </c>
      <c r="Q17" s="295"/>
    </row>
    <row r="18" spans="1:17" x14ac:dyDescent="0.25">
      <c r="A18" s="149" t="s">
        <v>144</v>
      </c>
      <c r="B18" s="149" t="s">
        <v>143</v>
      </c>
      <c r="C18" s="364">
        <v>568</v>
      </c>
      <c r="D18" s="364">
        <v>557</v>
      </c>
      <c r="E18" s="364">
        <v>556</v>
      </c>
      <c r="F18" s="364">
        <v>560</v>
      </c>
      <c r="G18" s="364">
        <v>560</v>
      </c>
      <c r="H18" s="364">
        <v>552</v>
      </c>
      <c r="I18" s="364">
        <v>561</v>
      </c>
      <c r="J18" s="364">
        <v>550</v>
      </c>
      <c r="K18" s="364">
        <v>550</v>
      </c>
      <c r="L18" s="364">
        <v>544</v>
      </c>
      <c r="M18" s="364">
        <v>542</v>
      </c>
      <c r="N18" s="364">
        <v>538</v>
      </c>
      <c r="O18" s="151">
        <f t="shared" si="1"/>
        <v>6638</v>
      </c>
      <c r="Q18" s="295"/>
    </row>
    <row r="19" spans="1:17" x14ac:dyDescent="0.25">
      <c r="A19" s="149" t="s">
        <v>146</v>
      </c>
      <c r="B19" s="149" t="s">
        <v>145</v>
      </c>
      <c r="C19" s="364">
        <v>384</v>
      </c>
      <c r="D19" s="364">
        <v>378</v>
      </c>
      <c r="E19" s="364">
        <v>381</v>
      </c>
      <c r="F19" s="364">
        <v>385</v>
      </c>
      <c r="G19" s="364">
        <v>383</v>
      </c>
      <c r="H19" s="364">
        <v>378</v>
      </c>
      <c r="I19" s="364">
        <v>389</v>
      </c>
      <c r="J19" s="364">
        <v>372</v>
      </c>
      <c r="K19" s="364">
        <v>369</v>
      </c>
      <c r="L19" s="364">
        <v>370</v>
      </c>
      <c r="M19" s="364">
        <v>368</v>
      </c>
      <c r="N19" s="364">
        <v>369</v>
      </c>
      <c r="O19" s="151">
        <f t="shared" si="1"/>
        <v>4526</v>
      </c>
      <c r="Q19" s="295"/>
    </row>
    <row r="20" spans="1:17" x14ac:dyDescent="0.25">
      <c r="A20" s="149" t="s">
        <v>148</v>
      </c>
      <c r="B20" s="149" t="s">
        <v>147</v>
      </c>
      <c r="C20" s="364">
        <v>1107</v>
      </c>
      <c r="D20" s="364">
        <v>1103</v>
      </c>
      <c r="E20" s="364">
        <v>1102</v>
      </c>
      <c r="F20" s="364">
        <v>1096</v>
      </c>
      <c r="G20" s="364">
        <v>1089</v>
      </c>
      <c r="H20" s="364">
        <v>1091</v>
      </c>
      <c r="I20" s="364">
        <v>1135</v>
      </c>
      <c r="J20" s="364">
        <v>1084</v>
      </c>
      <c r="K20" s="364">
        <v>1093</v>
      </c>
      <c r="L20" s="364">
        <v>1105</v>
      </c>
      <c r="M20" s="364">
        <v>1081</v>
      </c>
      <c r="N20" s="364">
        <v>1073</v>
      </c>
      <c r="O20" s="151">
        <f t="shared" si="1"/>
        <v>13159</v>
      </c>
      <c r="Q20" s="295"/>
    </row>
    <row r="21" spans="1:17" x14ac:dyDescent="0.25">
      <c r="A21" s="1"/>
      <c r="B21" s="150" t="s">
        <v>133</v>
      </c>
      <c r="C21" s="343">
        <f>SUM(C14:C20)</f>
        <v>2511</v>
      </c>
      <c r="D21" s="343">
        <f t="shared" ref="D21:O21" si="3">SUM(D14:D20)</f>
        <v>2491</v>
      </c>
      <c r="E21" s="343">
        <f t="shared" si="3"/>
        <v>2487</v>
      </c>
      <c r="F21" s="343">
        <f t="shared" si="3"/>
        <v>2486</v>
      </c>
      <c r="G21" s="343">
        <f t="shared" si="3"/>
        <v>2479</v>
      </c>
      <c r="H21" s="343">
        <f t="shared" si="3"/>
        <v>2461</v>
      </c>
      <c r="I21" s="343">
        <f t="shared" si="3"/>
        <v>2533</v>
      </c>
      <c r="J21" s="343">
        <f t="shared" si="3"/>
        <v>2448</v>
      </c>
      <c r="K21" s="343">
        <f t="shared" si="3"/>
        <v>2449</v>
      </c>
      <c r="L21" s="343">
        <f t="shared" si="3"/>
        <v>2445</v>
      </c>
      <c r="M21" s="343">
        <f t="shared" si="3"/>
        <v>2417</v>
      </c>
      <c r="N21" s="343">
        <f t="shared" si="3"/>
        <v>2404</v>
      </c>
      <c r="O21" s="343">
        <f t="shared" si="3"/>
        <v>29611</v>
      </c>
      <c r="Q21" s="295"/>
    </row>
    <row r="22" spans="1:17" x14ac:dyDescent="0.25">
      <c r="A22" s="150"/>
      <c r="B22" s="148"/>
      <c r="O22" s="151"/>
      <c r="Q22" s="295"/>
    </row>
    <row r="23" spans="1:17" x14ac:dyDescent="0.25">
      <c r="A23" s="147" t="s">
        <v>150</v>
      </c>
      <c r="B23" s="148"/>
      <c r="O23" s="151"/>
      <c r="Q23" s="295"/>
    </row>
    <row r="24" spans="1:17" x14ac:dyDescent="0.25">
      <c r="A24" s="149" t="s">
        <v>152</v>
      </c>
      <c r="B24" s="149" t="s">
        <v>151</v>
      </c>
      <c r="C24" s="364">
        <v>990</v>
      </c>
      <c r="D24" s="364">
        <v>984</v>
      </c>
      <c r="E24" s="364">
        <v>982</v>
      </c>
      <c r="F24" s="364">
        <v>981</v>
      </c>
      <c r="G24" s="364">
        <v>982</v>
      </c>
      <c r="H24" s="364">
        <v>968</v>
      </c>
      <c r="I24" s="364">
        <v>954</v>
      </c>
      <c r="J24" s="364">
        <v>954</v>
      </c>
      <c r="K24" s="364">
        <v>938</v>
      </c>
      <c r="L24" s="364">
        <v>932</v>
      </c>
      <c r="M24" s="364">
        <v>918</v>
      </c>
      <c r="N24" s="364">
        <v>918</v>
      </c>
      <c r="O24" s="151">
        <f t="shared" si="1"/>
        <v>11501</v>
      </c>
      <c r="Q24" s="295"/>
    </row>
    <row r="25" spans="1:17" x14ac:dyDescent="0.25">
      <c r="A25" s="149" t="s">
        <v>154</v>
      </c>
      <c r="B25" s="149" t="s">
        <v>153</v>
      </c>
      <c r="C25" s="364">
        <v>70</v>
      </c>
      <c r="D25" s="364">
        <v>71</v>
      </c>
      <c r="E25" s="364">
        <v>72</v>
      </c>
      <c r="F25" s="364">
        <v>72</v>
      </c>
      <c r="G25" s="364">
        <v>72</v>
      </c>
      <c r="H25" s="364">
        <v>70</v>
      </c>
      <c r="I25" s="364">
        <v>71</v>
      </c>
      <c r="J25" s="364">
        <v>70</v>
      </c>
      <c r="K25" s="364">
        <v>70</v>
      </c>
      <c r="L25" s="364">
        <v>70</v>
      </c>
      <c r="M25" s="364">
        <v>69</v>
      </c>
      <c r="N25" s="364">
        <v>67</v>
      </c>
      <c r="O25" s="151">
        <f t="shared" si="1"/>
        <v>844</v>
      </c>
      <c r="Q25" s="295"/>
    </row>
    <row r="26" spans="1:17" x14ac:dyDescent="0.25">
      <c r="A26" s="149" t="s">
        <v>156</v>
      </c>
      <c r="B26" s="149" t="s">
        <v>155</v>
      </c>
      <c r="C26" s="364">
        <v>45</v>
      </c>
      <c r="D26" s="364">
        <v>44</v>
      </c>
      <c r="E26" s="364">
        <v>44</v>
      </c>
      <c r="F26" s="364">
        <v>46</v>
      </c>
      <c r="G26" s="364">
        <v>46</v>
      </c>
      <c r="H26" s="364">
        <v>44</v>
      </c>
      <c r="I26" s="364">
        <v>51</v>
      </c>
      <c r="J26" s="364">
        <v>45</v>
      </c>
      <c r="K26" s="364">
        <v>44</v>
      </c>
      <c r="L26" s="364">
        <v>45</v>
      </c>
      <c r="M26" s="364">
        <v>44</v>
      </c>
      <c r="N26" s="364">
        <v>43</v>
      </c>
      <c r="O26" s="151">
        <f t="shared" si="1"/>
        <v>541</v>
      </c>
      <c r="Q26" s="295"/>
    </row>
    <row r="27" spans="1:17" x14ac:dyDescent="0.25">
      <c r="A27" s="149" t="s">
        <v>158</v>
      </c>
      <c r="B27" s="149" t="s">
        <v>157</v>
      </c>
      <c r="C27" s="364">
        <v>1650</v>
      </c>
      <c r="D27" s="364">
        <v>1645</v>
      </c>
      <c r="E27" s="364">
        <v>1631</v>
      </c>
      <c r="F27" s="364">
        <v>1621</v>
      </c>
      <c r="G27" s="364">
        <v>1625</v>
      </c>
      <c r="H27" s="364">
        <v>1605</v>
      </c>
      <c r="I27" s="364">
        <v>1589</v>
      </c>
      <c r="J27" s="364">
        <v>1587</v>
      </c>
      <c r="K27" s="364">
        <v>1576</v>
      </c>
      <c r="L27" s="364">
        <v>1570</v>
      </c>
      <c r="M27" s="364">
        <v>1557</v>
      </c>
      <c r="N27" s="364">
        <v>1549</v>
      </c>
      <c r="O27" s="151">
        <f t="shared" si="1"/>
        <v>19205</v>
      </c>
      <c r="Q27" s="295"/>
    </row>
    <row r="28" spans="1:17" x14ac:dyDescent="0.25">
      <c r="A28" s="169"/>
      <c r="B28" s="169" t="s">
        <v>6</v>
      </c>
      <c r="C28" s="343">
        <f>SUM(C24:C27)</f>
        <v>2755</v>
      </c>
      <c r="D28" s="343">
        <f t="shared" ref="D28:O28" si="4">SUM(D24:D27)</f>
        <v>2744</v>
      </c>
      <c r="E28" s="343">
        <f t="shared" si="4"/>
        <v>2729</v>
      </c>
      <c r="F28" s="343">
        <f t="shared" si="4"/>
        <v>2720</v>
      </c>
      <c r="G28" s="343">
        <f t="shared" si="4"/>
        <v>2725</v>
      </c>
      <c r="H28" s="343">
        <f t="shared" si="4"/>
        <v>2687</v>
      </c>
      <c r="I28" s="343">
        <f t="shared" si="4"/>
        <v>2665</v>
      </c>
      <c r="J28" s="343">
        <f t="shared" si="4"/>
        <v>2656</v>
      </c>
      <c r="K28" s="343">
        <f t="shared" si="4"/>
        <v>2628</v>
      </c>
      <c r="L28" s="343">
        <f t="shared" si="4"/>
        <v>2617</v>
      </c>
      <c r="M28" s="343">
        <f t="shared" si="4"/>
        <v>2588</v>
      </c>
      <c r="N28" s="343">
        <f t="shared" si="4"/>
        <v>2577</v>
      </c>
      <c r="O28" s="343">
        <f t="shared" si="4"/>
        <v>32091</v>
      </c>
      <c r="Q28" s="295"/>
    </row>
    <row r="29" spans="1:17" x14ac:dyDescent="0.25">
      <c r="Q29" s="295"/>
    </row>
    <row r="30" spans="1:17" ht="15.75" thickBot="1" x14ac:dyDescent="0.3">
      <c r="A30" s="169" t="s">
        <v>6</v>
      </c>
      <c r="C30" s="365">
        <f>SUM(C11,C21,C28)</f>
        <v>30010</v>
      </c>
      <c r="D30" s="365">
        <f t="shared" ref="D30:N30" si="5">SUM(D11,D21,D28)</f>
        <v>29897</v>
      </c>
      <c r="E30" s="365">
        <f t="shared" si="5"/>
        <v>29795</v>
      </c>
      <c r="F30" s="365">
        <f t="shared" si="5"/>
        <v>29653</v>
      </c>
      <c r="G30" s="365">
        <f t="shared" si="5"/>
        <v>29601</v>
      </c>
      <c r="H30" s="365">
        <f t="shared" si="5"/>
        <v>29435</v>
      </c>
      <c r="I30" s="365">
        <f t="shared" si="5"/>
        <v>29314</v>
      </c>
      <c r="J30" s="365">
        <f t="shared" si="5"/>
        <v>29124</v>
      </c>
      <c r="K30" s="365">
        <f t="shared" si="5"/>
        <v>28871</v>
      </c>
      <c r="L30" s="365">
        <f t="shared" si="5"/>
        <v>28763</v>
      </c>
      <c r="M30" s="365">
        <f t="shared" si="5"/>
        <v>28576</v>
      </c>
      <c r="N30" s="365">
        <f t="shared" si="5"/>
        <v>28410</v>
      </c>
      <c r="O30" s="365">
        <f>SUM(C30:N30)</f>
        <v>351449</v>
      </c>
      <c r="Q30" s="295"/>
    </row>
    <row r="31" spans="1:17" ht="15.75" thickTop="1" x14ac:dyDescent="0.25"/>
  </sheetData>
  <pageMargins left="0.7" right="0.7" top="0.75" bottom="0.75" header="0.3" footer="0.3"/>
  <pageSetup scale="56" orientation="landscape" r:id="rId1"/>
  <headerFooter>
    <oddFooter>&amp;L&amp;F
&amp;A&amp;C&amp;P&amp;R&amp;D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3"/>
  <sheetViews>
    <sheetView zoomScale="90" zoomScaleNormal="90" workbookViewId="0">
      <selection activeCell="P14" sqref="P14"/>
    </sheetView>
  </sheetViews>
  <sheetFormatPr defaultRowHeight="15" x14ac:dyDescent="0.25"/>
  <cols>
    <col min="1" max="1" width="42.140625" bestFit="1" customWidth="1"/>
    <col min="2" max="13" width="12.85546875" customWidth="1"/>
    <col min="14" max="14" width="13.42578125" customWidth="1"/>
  </cols>
  <sheetData>
    <row r="1" spans="1:14" x14ac:dyDescent="0.25">
      <c r="A1" s="214" t="s">
        <v>0</v>
      </c>
    </row>
    <row r="2" spans="1:14" x14ac:dyDescent="0.25">
      <c r="A2" s="214" t="s">
        <v>416</v>
      </c>
    </row>
    <row r="3" spans="1:14" x14ac:dyDescent="0.25">
      <c r="B3" s="216">
        <v>43101</v>
      </c>
      <c r="C3" s="216">
        <f>EDATE(B3,1)</f>
        <v>43132</v>
      </c>
      <c r="D3" s="216">
        <f t="shared" ref="D3:M3" si="0">EDATE(C3,1)</f>
        <v>43160</v>
      </c>
      <c r="E3" s="216">
        <f t="shared" si="0"/>
        <v>43191</v>
      </c>
      <c r="F3" s="216">
        <f t="shared" si="0"/>
        <v>43221</v>
      </c>
      <c r="G3" s="216">
        <f t="shared" si="0"/>
        <v>43252</v>
      </c>
      <c r="H3" s="216">
        <f t="shared" si="0"/>
        <v>43282</v>
      </c>
      <c r="I3" s="216">
        <f t="shared" si="0"/>
        <v>43313</v>
      </c>
      <c r="J3" s="216">
        <f t="shared" si="0"/>
        <v>43344</v>
      </c>
      <c r="K3" s="216">
        <f t="shared" si="0"/>
        <v>43374</v>
      </c>
      <c r="L3" s="216">
        <f t="shared" si="0"/>
        <v>43405</v>
      </c>
      <c r="M3" s="216">
        <f t="shared" si="0"/>
        <v>43435</v>
      </c>
      <c r="N3" s="217" t="s">
        <v>190</v>
      </c>
    </row>
    <row r="4" spans="1:14" x14ac:dyDescent="0.25">
      <c r="A4" s="8" t="s">
        <v>191</v>
      </c>
      <c r="B4" s="380">
        <v>0</v>
      </c>
      <c r="C4" s="380">
        <v>0</v>
      </c>
      <c r="D4" s="380">
        <v>0</v>
      </c>
      <c r="E4" s="380">
        <v>0</v>
      </c>
      <c r="F4" s="380">
        <v>0</v>
      </c>
      <c r="G4" s="380">
        <v>0</v>
      </c>
      <c r="H4" s="380">
        <v>0</v>
      </c>
      <c r="I4" s="380">
        <v>0</v>
      </c>
      <c r="J4" s="380">
        <v>0</v>
      </c>
      <c r="K4" s="380">
        <v>0</v>
      </c>
      <c r="L4" s="380">
        <v>0</v>
      </c>
      <c r="M4" s="380">
        <v>0</v>
      </c>
      <c r="N4" s="153">
        <f>SUM(B4:M4)</f>
        <v>0</v>
      </c>
    </row>
    <row r="5" spans="1:14" x14ac:dyDescent="0.25">
      <c r="A5" s="8" t="s">
        <v>192</v>
      </c>
      <c r="B5" s="380">
        <v>0</v>
      </c>
      <c r="C5" s="380">
        <v>0</v>
      </c>
      <c r="D5" s="380">
        <v>0</v>
      </c>
      <c r="E5" s="380">
        <v>0</v>
      </c>
      <c r="F5" s="380">
        <v>0</v>
      </c>
      <c r="G5" s="380">
        <v>0</v>
      </c>
      <c r="H5" s="380">
        <v>0</v>
      </c>
      <c r="I5" s="380">
        <v>0</v>
      </c>
      <c r="J5" s="380">
        <v>0</v>
      </c>
      <c r="K5" s="380">
        <v>0</v>
      </c>
      <c r="L5" s="380">
        <v>0</v>
      </c>
      <c r="M5" s="380">
        <v>0</v>
      </c>
      <c r="N5" s="153">
        <f t="shared" ref="N5:N16" si="1">SUM(B5:M5)</f>
        <v>0</v>
      </c>
    </row>
    <row r="6" spans="1:14" x14ac:dyDescent="0.25">
      <c r="A6" s="8" t="s">
        <v>193</v>
      </c>
      <c r="B6" s="380">
        <v>0</v>
      </c>
      <c r="C6" s="380">
        <v>0</v>
      </c>
      <c r="D6" s="380">
        <v>0</v>
      </c>
      <c r="E6" s="380">
        <v>0</v>
      </c>
      <c r="F6" s="380">
        <v>0</v>
      </c>
      <c r="G6" s="380">
        <v>0</v>
      </c>
      <c r="H6" s="380">
        <v>0</v>
      </c>
      <c r="I6" s="380">
        <v>0</v>
      </c>
      <c r="J6" s="380">
        <v>0</v>
      </c>
      <c r="K6" s="380">
        <v>0</v>
      </c>
      <c r="L6" s="380">
        <v>0</v>
      </c>
      <c r="M6" s="380">
        <v>0</v>
      </c>
      <c r="N6" s="153">
        <f t="shared" si="1"/>
        <v>0</v>
      </c>
    </row>
    <row r="7" spans="1:14" x14ac:dyDescent="0.25">
      <c r="A7" s="146" t="s">
        <v>194</v>
      </c>
      <c r="B7" s="380">
        <v>0</v>
      </c>
      <c r="C7" s="380">
        <v>0</v>
      </c>
      <c r="D7" s="380">
        <v>0</v>
      </c>
      <c r="E7" s="380">
        <v>0</v>
      </c>
      <c r="F7" s="380">
        <v>0</v>
      </c>
      <c r="G7" s="380">
        <v>0</v>
      </c>
      <c r="H7" s="380">
        <v>0</v>
      </c>
      <c r="I7" s="380">
        <v>0</v>
      </c>
      <c r="J7" s="380">
        <v>0</v>
      </c>
      <c r="K7" s="380">
        <v>0</v>
      </c>
      <c r="L7" s="380">
        <v>0</v>
      </c>
      <c r="M7" s="380">
        <v>0</v>
      </c>
      <c r="N7" s="153">
        <f t="shared" si="1"/>
        <v>0</v>
      </c>
    </row>
    <row r="8" spans="1:14" x14ac:dyDescent="0.25">
      <c r="A8" s="8" t="s">
        <v>197</v>
      </c>
      <c r="B8" s="380">
        <v>0</v>
      </c>
      <c r="C8" s="380">
        <v>0</v>
      </c>
      <c r="D8" s="380">
        <v>0</v>
      </c>
      <c r="E8" s="380">
        <v>0</v>
      </c>
      <c r="F8" s="380">
        <v>0</v>
      </c>
      <c r="G8" s="380">
        <v>0</v>
      </c>
      <c r="H8" s="380">
        <v>0</v>
      </c>
      <c r="I8" s="380">
        <v>0</v>
      </c>
      <c r="J8" s="380">
        <v>0</v>
      </c>
      <c r="K8" s="380">
        <v>0</v>
      </c>
      <c r="L8" s="380">
        <v>0</v>
      </c>
      <c r="M8" s="380">
        <v>0</v>
      </c>
      <c r="N8" s="153">
        <f>SUM(B8:M8)</f>
        <v>0</v>
      </c>
    </row>
    <row r="9" spans="1:14" x14ac:dyDescent="0.25">
      <c r="A9" s="8" t="s">
        <v>195</v>
      </c>
      <c r="B9" s="380">
        <v>325777.26</v>
      </c>
      <c r="C9" s="380">
        <v>301358.96499999997</v>
      </c>
      <c r="D9" s="380">
        <v>328288.72499999998</v>
      </c>
      <c r="E9" s="380">
        <v>327028.22499999998</v>
      </c>
      <c r="F9" s="380">
        <v>330735.717</v>
      </c>
      <c r="G9" s="380">
        <v>610711.52099999995</v>
      </c>
      <c r="H9" s="380">
        <v>661015.71299999999</v>
      </c>
      <c r="I9" s="380">
        <v>322704.61199999996</v>
      </c>
      <c r="J9" s="380">
        <v>313240.50399999996</v>
      </c>
      <c r="K9" s="380">
        <v>326914.23100000003</v>
      </c>
      <c r="L9" s="380">
        <v>305412.55799999996</v>
      </c>
      <c r="M9" s="380">
        <v>313229.64299999998</v>
      </c>
      <c r="N9" s="153">
        <f>SUM(B9:M9)</f>
        <v>4466417.6739999996</v>
      </c>
    </row>
    <row r="10" spans="1:14" x14ac:dyDescent="0.25">
      <c r="A10" s="8" t="s">
        <v>196</v>
      </c>
      <c r="B10" s="380">
        <v>98954.567999999999</v>
      </c>
      <c r="C10" s="380">
        <v>98154</v>
      </c>
      <c r="D10" s="380">
        <v>98204</v>
      </c>
      <c r="E10" s="380">
        <v>98660</v>
      </c>
      <c r="F10" s="380">
        <v>92767</v>
      </c>
      <c r="G10" s="380">
        <v>95760</v>
      </c>
      <c r="H10" s="380">
        <v>96155</v>
      </c>
      <c r="I10" s="380">
        <v>98060</v>
      </c>
      <c r="J10" s="380">
        <v>95610</v>
      </c>
      <c r="K10" s="380">
        <v>97809.133000000002</v>
      </c>
      <c r="L10" s="380">
        <v>94805</v>
      </c>
      <c r="M10" s="380">
        <v>96042</v>
      </c>
      <c r="N10" s="153">
        <f>SUM(B10:M10)</f>
        <v>1160980.7009999999</v>
      </c>
    </row>
    <row r="11" spans="1:14" x14ac:dyDescent="0.25">
      <c r="A11" s="8" t="s">
        <v>198</v>
      </c>
      <c r="B11" s="380">
        <v>7162.3630000000003</v>
      </c>
      <c r="C11" s="380">
        <v>6781.24</v>
      </c>
      <c r="D11" s="380">
        <v>7298.4849999999997</v>
      </c>
      <c r="E11" s="380">
        <v>7115.8980000000001</v>
      </c>
      <c r="F11" s="380">
        <v>7300.415</v>
      </c>
      <c r="G11" s="380">
        <v>6979.973</v>
      </c>
      <c r="H11" s="380">
        <v>7265.1509999999998</v>
      </c>
      <c r="I11" s="380">
        <v>7263.1949999999997</v>
      </c>
      <c r="J11" s="380">
        <v>7109.0689999999995</v>
      </c>
      <c r="K11" s="380">
        <v>7343.6709999999994</v>
      </c>
      <c r="L11" s="380">
        <v>7274.6939999999995</v>
      </c>
      <c r="M11" s="380">
        <v>7518.7530000000006</v>
      </c>
      <c r="N11" s="153">
        <f t="shared" si="1"/>
        <v>86412.906999999992</v>
      </c>
    </row>
    <row r="12" spans="1:14" x14ac:dyDescent="0.25">
      <c r="A12" s="8" t="s">
        <v>199</v>
      </c>
      <c r="B12" s="380">
        <v>56638</v>
      </c>
      <c r="C12" s="380">
        <v>56751</v>
      </c>
      <c r="D12" s="380">
        <v>58048</v>
      </c>
      <c r="E12" s="380">
        <v>57547</v>
      </c>
      <c r="F12" s="380">
        <v>58863</v>
      </c>
      <c r="G12" s="380">
        <v>57149</v>
      </c>
      <c r="H12" s="380">
        <v>57178</v>
      </c>
      <c r="I12" s="380">
        <v>57778</v>
      </c>
      <c r="J12" s="380">
        <v>57149</v>
      </c>
      <c r="K12" s="380">
        <v>56717</v>
      </c>
      <c r="L12" s="380">
        <v>64769</v>
      </c>
      <c r="M12" s="380">
        <v>58469</v>
      </c>
      <c r="N12" s="153">
        <f t="shared" si="1"/>
        <v>697056</v>
      </c>
    </row>
    <row r="13" spans="1:14" x14ac:dyDescent="0.25">
      <c r="A13" s="8" t="s">
        <v>200</v>
      </c>
      <c r="B13" s="380">
        <v>6827.67</v>
      </c>
      <c r="C13" s="380">
        <v>6292.4889999999996</v>
      </c>
      <c r="D13" s="380">
        <v>7422.6110000000008</v>
      </c>
      <c r="E13" s="380">
        <v>7006.5810000000001</v>
      </c>
      <c r="F13" s="380">
        <v>6811.799</v>
      </c>
      <c r="G13" s="380">
        <v>6791.0789999999997</v>
      </c>
      <c r="H13" s="380">
        <v>7258.098</v>
      </c>
      <c r="I13" s="380">
        <v>6832.4090000000006</v>
      </c>
      <c r="J13" s="380">
        <v>6825.5780000000004</v>
      </c>
      <c r="K13" s="380">
        <v>7098.491</v>
      </c>
      <c r="L13" s="380">
        <v>6602.3029999999999</v>
      </c>
      <c r="M13" s="380">
        <v>6632.201</v>
      </c>
      <c r="N13" s="153">
        <f t="shared" si="1"/>
        <v>82401.308999999994</v>
      </c>
    </row>
    <row r="14" spans="1:14" x14ac:dyDescent="0.25">
      <c r="A14" s="8" t="s">
        <v>201</v>
      </c>
      <c r="B14" s="380">
        <v>750</v>
      </c>
      <c r="C14" s="380">
        <v>750</v>
      </c>
      <c r="D14" s="380">
        <v>750</v>
      </c>
      <c r="E14" s="380">
        <v>750</v>
      </c>
      <c r="F14" s="380">
        <v>1500</v>
      </c>
      <c r="G14" s="380">
        <v>750</v>
      </c>
      <c r="H14" s="380">
        <v>750</v>
      </c>
      <c r="I14" s="380">
        <v>750</v>
      </c>
      <c r="J14" s="380">
        <v>750</v>
      </c>
      <c r="K14" s="380">
        <v>750</v>
      </c>
      <c r="L14" s="380">
        <v>750</v>
      </c>
      <c r="M14" s="380">
        <v>750</v>
      </c>
      <c r="N14" s="153">
        <f t="shared" si="1"/>
        <v>9750</v>
      </c>
    </row>
    <row r="15" spans="1:14" x14ac:dyDescent="0.25">
      <c r="A15" s="8" t="s">
        <v>202</v>
      </c>
      <c r="B15" s="380">
        <v>0</v>
      </c>
      <c r="C15" s="380">
        <v>0</v>
      </c>
      <c r="D15" s="380">
        <v>0</v>
      </c>
      <c r="E15" s="380">
        <v>0</v>
      </c>
      <c r="F15" s="380">
        <v>0</v>
      </c>
      <c r="G15" s="380">
        <v>0</v>
      </c>
      <c r="H15" s="380">
        <v>0</v>
      </c>
      <c r="I15" s="380">
        <v>0</v>
      </c>
      <c r="J15" s="380">
        <v>0</v>
      </c>
      <c r="K15" s="380">
        <v>0</v>
      </c>
      <c r="L15" s="380">
        <v>0</v>
      </c>
      <c r="M15" s="380">
        <v>0</v>
      </c>
      <c r="N15" s="153">
        <f t="shared" si="1"/>
        <v>0</v>
      </c>
    </row>
    <row r="16" spans="1:14" x14ac:dyDescent="0.25">
      <c r="A16" s="8" t="s">
        <v>203</v>
      </c>
      <c r="B16" s="381">
        <v>23934</v>
      </c>
      <c r="C16" s="381">
        <v>23934</v>
      </c>
      <c r="D16" s="381">
        <v>23934</v>
      </c>
      <c r="E16" s="381">
        <v>23934</v>
      </c>
      <c r="F16" s="381">
        <v>23934</v>
      </c>
      <c r="G16" s="381">
        <v>23934</v>
      </c>
      <c r="H16" s="381">
        <v>23934</v>
      </c>
      <c r="I16" s="381">
        <v>23934</v>
      </c>
      <c r="J16" s="381">
        <v>23934</v>
      </c>
      <c r="K16" s="381">
        <v>45284</v>
      </c>
      <c r="L16" s="381">
        <v>23934</v>
      </c>
      <c r="M16" s="381">
        <v>23934</v>
      </c>
      <c r="N16" s="233">
        <f t="shared" si="1"/>
        <v>308558</v>
      </c>
    </row>
    <row r="17" spans="1:14" x14ac:dyDescent="0.25">
      <c r="A17" s="8" t="s">
        <v>6</v>
      </c>
      <c r="B17" s="151">
        <f t="shared" ref="B17:N17" si="2">SUM(B4:B16)</f>
        <v>520043.86099999998</v>
      </c>
      <c r="C17" s="151">
        <f t="shared" si="2"/>
        <v>494021.69399999996</v>
      </c>
      <c r="D17" s="151">
        <f t="shared" si="2"/>
        <v>523945.82099999994</v>
      </c>
      <c r="E17" s="151">
        <f t="shared" si="2"/>
        <v>522041.70399999997</v>
      </c>
      <c r="F17" s="151">
        <f t="shared" si="2"/>
        <v>521911.93099999998</v>
      </c>
      <c r="G17" s="151">
        <f t="shared" si="2"/>
        <v>802075.57299999997</v>
      </c>
      <c r="H17" s="151">
        <f t="shared" si="2"/>
        <v>853555.96199999994</v>
      </c>
      <c r="I17" s="151">
        <f t="shared" si="2"/>
        <v>517322.21599999996</v>
      </c>
      <c r="J17" s="151">
        <f t="shared" si="2"/>
        <v>504618.15099999995</v>
      </c>
      <c r="K17" s="151">
        <f t="shared" si="2"/>
        <v>541916.52600000007</v>
      </c>
      <c r="L17" s="151">
        <f t="shared" si="2"/>
        <v>503547.55499999999</v>
      </c>
      <c r="M17" s="151">
        <f t="shared" si="2"/>
        <v>506575.59700000001</v>
      </c>
      <c r="N17" s="151">
        <f t="shared" si="2"/>
        <v>6811576.591</v>
      </c>
    </row>
    <row r="20" spans="1:14" x14ac:dyDescent="0.25">
      <c r="A20" s="152" t="s">
        <v>206</v>
      </c>
    </row>
    <row r="21" spans="1:14" x14ac:dyDescent="0.25">
      <c r="B21" s="216">
        <f t="shared" ref="B21:M21" si="3">+B3</f>
        <v>43101</v>
      </c>
      <c r="C21" s="216">
        <f t="shared" si="3"/>
        <v>43132</v>
      </c>
      <c r="D21" s="216">
        <f t="shared" si="3"/>
        <v>43160</v>
      </c>
      <c r="E21" s="216">
        <f t="shared" si="3"/>
        <v>43191</v>
      </c>
      <c r="F21" s="216">
        <f t="shared" si="3"/>
        <v>43221</v>
      </c>
      <c r="G21" s="216">
        <f t="shared" si="3"/>
        <v>43252</v>
      </c>
      <c r="H21" s="216">
        <f t="shared" si="3"/>
        <v>43282</v>
      </c>
      <c r="I21" s="216">
        <f t="shared" si="3"/>
        <v>43313</v>
      </c>
      <c r="J21" s="216">
        <f t="shared" si="3"/>
        <v>43344</v>
      </c>
      <c r="K21" s="216">
        <f t="shared" si="3"/>
        <v>43374</v>
      </c>
      <c r="L21" s="216">
        <f t="shared" si="3"/>
        <v>43405</v>
      </c>
      <c r="M21" s="216">
        <f t="shared" si="3"/>
        <v>43435</v>
      </c>
      <c r="N21" s="217" t="s">
        <v>190</v>
      </c>
    </row>
    <row r="22" spans="1:14" x14ac:dyDescent="0.25">
      <c r="A22" s="8" t="s">
        <v>191</v>
      </c>
      <c r="B22" s="380">
        <v>0</v>
      </c>
      <c r="C22" s="380">
        <v>0</v>
      </c>
      <c r="D22" s="380">
        <v>0</v>
      </c>
      <c r="E22" s="380">
        <v>0</v>
      </c>
      <c r="F22" s="380">
        <v>0</v>
      </c>
      <c r="G22" s="380">
        <v>0</v>
      </c>
      <c r="H22" s="380">
        <v>0</v>
      </c>
      <c r="I22" s="380">
        <v>0</v>
      </c>
      <c r="J22" s="380">
        <v>0</v>
      </c>
      <c r="K22" s="380">
        <v>0</v>
      </c>
      <c r="L22" s="380">
        <v>0</v>
      </c>
      <c r="M22" s="380">
        <v>0</v>
      </c>
      <c r="N22" s="151">
        <f>SUM(B22:M22)</f>
        <v>0</v>
      </c>
    </row>
    <row r="23" spans="1:14" x14ac:dyDescent="0.25">
      <c r="A23" s="8" t="s">
        <v>192</v>
      </c>
      <c r="B23" s="380">
        <v>781884.72248961916</v>
      </c>
      <c r="C23" s="380">
        <v>710159.90727272735</v>
      </c>
      <c r="D23" s="380">
        <v>810603.57272727275</v>
      </c>
      <c r="E23" s="380">
        <v>796468.33909090911</v>
      </c>
      <c r="F23" s="380">
        <v>800443.79090909089</v>
      </c>
      <c r="G23" s="380">
        <v>766661.65</v>
      </c>
      <c r="H23" s="380">
        <v>796514.14181818184</v>
      </c>
      <c r="I23" s="380">
        <v>782751.73181818193</v>
      </c>
      <c r="J23" s="380">
        <v>770256.72363636375</v>
      </c>
      <c r="K23" s="380">
        <v>825386.17272727273</v>
      </c>
      <c r="L23" s="380">
        <v>758490.81909090909</v>
      </c>
      <c r="M23" s="380">
        <v>801719.94545454544</v>
      </c>
      <c r="N23" s="151">
        <f>SUM(B23:M23)</f>
        <v>9401341.5170350727</v>
      </c>
    </row>
    <row r="24" spans="1:14" x14ac:dyDescent="0.25">
      <c r="A24" s="8" t="s">
        <v>193</v>
      </c>
      <c r="B24" s="380">
        <v>1.2354545454545454</v>
      </c>
      <c r="C24" s="380">
        <v>0.25</v>
      </c>
      <c r="D24" s="380">
        <v>0</v>
      </c>
      <c r="E24" s="380">
        <v>0</v>
      </c>
      <c r="F24" s="380">
        <v>0</v>
      </c>
      <c r="G24" s="380">
        <v>0</v>
      </c>
      <c r="H24" s="380">
        <v>0</v>
      </c>
      <c r="I24" s="380">
        <v>0</v>
      </c>
      <c r="J24" s="380">
        <v>0</v>
      </c>
      <c r="K24" s="380">
        <v>0</v>
      </c>
      <c r="L24" s="380">
        <v>0</v>
      </c>
      <c r="M24" s="380">
        <v>0</v>
      </c>
      <c r="N24" s="151">
        <f t="shared" ref="N24:N34" si="4">SUM(B24:M24)</f>
        <v>1.4854545454545454</v>
      </c>
    </row>
    <row r="25" spans="1:14" x14ac:dyDescent="0.25">
      <c r="A25" s="146" t="s">
        <v>194</v>
      </c>
      <c r="B25" s="380">
        <v>57890.212772218962</v>
      </c>
      <c r="C25" s="380">
        <v>52634.584755738673</v>
      </c>
      <c r="D25" s="380">
        <v>60083.500882872286</v>
      </c>
      <c r="E25" s="380">
        <v>58756.45968216598</v>
      </c>
      <c r="F25" s="380">
        <v>59044.053482587071</v>
      </c>
      <c r="G25" s="380">
        <v>56395.08706467662</v>
      </c>
      <c r="H25" s="380">
        <v>58260.688432835821</v>
      </c>
      <c r="I25" s="380">
        <v>57413.094216417921</v>
      </c>
      <c r="J25" s="380">
        <v>56580.140547263691</v>
      </c>
      <c r="K25" s="380">
        <v>60619.162002487574</v>
      </c>
      <c r="L25" s="380">
        <v>55818.708955223883</v>
      </c>
      <c r="M25" s="380">
        <v>59101.428171641805</v>
      </c>
      <c r="N25" s="151">
        <f t="shared" si="4"/>
        <v>692597.12096613029</v>
      </c>
    </row>
    <row r="26" spans="1:14" x14ac:dyDescent="0.25">
      <c r="A26" s="8" t="s">
        <v>197</v>
      </c>
      <c r="B26" s="380">
        <v>3</v>
      </c>
      <c r="C26" s="380">
        <v>3</v>
      </c>
      <c r="D26" s="380">
        <v>3</v>
      </c>
      <c r="E26" s="380">
        <v>3</v>
      </c>
      <c r="F26" s="380">
        <v>3</v>
      </c>
      <c r="G26" s="380">
        <v>3</v>
      </c>
      <c r="H26" s="380">
        <v>3</v>
      </c>
      <c r="I26" s="380">
        <v>2</v>
      </c>
      <c r="J26" s="380">
        <v>2</v>
      </c>
      <c r="K26" s="380">
        <v>2</v>
      </c>
      <c r="L26" s="380">
        <v>2</v>
      </c>
      <c r="M26" s="380">
        <v>2</v>
      </c>
      <c r="N26" s="151">
        <f>SUM(B26:M26)</f>
        <v>31</v>
      </c>
    </row>
    <row r="27" spans="1:14" x14ac:dyDescent="0.25">
      <c r="A27" s="8" t="s">
        <v>195</v>
      </c>
      <c r="B27" s="380">
        <v>1362.9927077003213</v>
      </c>
      <c r="C27" s="380">
        <v>1254.0930636339961</v>
      </c>
      <c r="D27" s="380">
        <v>1406.3156524003821</v>
      </c>
      <c r="E27" s="380">
        <v>1378.3344040281274</v>
      </c>
      <c r="F27" s="380">
        <v>1377.29813022644</v>
      </c>
      <c r="G27" s="380">
        <v>1321.1240251808699</v>
      </c>
      <c r="H27" s="380">
        <v>1344.0995020201071</v>
      </c>
      <c r="I27" s="380">
        <v>1295.1611387766604</v>
      </c>
      <c r="J27" s="380">
        <v>1280.4060885088788</v>
      </c>
      <c r="K27" s="380">
        <v>1362.430423752701</v>
      </c>
      <c r="L27" s="380">
        <v>1266.5360330733815</v>
      </c>
      <c r="M27" s="380">
        <v>1329.3257540167242</v>
      </c>
      <c r="N27" s="151">
        <f>SUM(B27:M27)</f>
        <v>15978.11692331859</v>
      </c>
    </row>
    <row r="28" spans="1:14" x14ac:dyDescent="0.25">
      <c r="A28" s="8" t="s">
        <v>196</v>
      </c>
      <c r="B28" s="380">
        <v>102</v>
      </c>
      <c r="C28" s="380">
        <v>104.03571910871031</v>
      </c>
      <c r="D28" s="380">
        <v>103.99999999999999</v>
      </c>
      <c r="E28" s="380">
        <v>105</v>
      </c>
      <c r="F28" s="380">
        <v>104</v>
      </c>
      <c r="G28" s="380">
        <v>108</v>
      </c>
      <c r="H28" s="380">
        <v>108</v>
      </c>
      <c r="I28" s="380">
        <v>103.13329760541765</v>
      </c>
      <c r="J28" s="380">
        <v>103</v>
      </c>
      <c r="K28" s="380">
        <v>101.06664880270884</v>
      </c>
      <c r="L28" s="380">
        <v>96.066648802708826</v>
      </c>
      <c r="M28" s="380">
        <v>95.033324401354406</v>
      </c>
      <c r="N28" s="151">
        <f>SUM(B28:M28)</f>
        <v>1233.3356387208999</v>
      </c>
    </row>
    <row r="29" spans="1:14" x14ac:dyDescent="0.25">
      <c r="A29" s="8" t="s">
        <v>198</v>
      </c>
      <c r="B29" s="380">
        <v>28.145775356322275</v>
      </c>
      <c r="C29" s="380">
        <v>27.242423718305442</v>
      </c>
      <c r="D29" s="380">
        <v>28.571401926149829</v>
      </c>
      <c r="E29" s="380">
        <v>28.006437162116296</v>
      </c>
      <c r="F29" s="380">
        <v>28.105437774577538</v>
      </c>
      <c r="G29" s="380">
        <v>26.453998578121293</v>
      </c>
      <c r="H29" s="380">
        <v>27.808064604334906</v>
      </c>
      <c r="I29" s="380">
        <v>27.007802103651311</v>
      </c>
      <c r="J29" s="380">
        <v>27.003992197896345</v>
      </c>
      <c r="K29" s="380">
        <v>27.418706819549008</v>
      </c>
      <c r="L29" s="380">
        <v>26.741746723298757</v>
      </c>
      <c r="M29" s="380">
        <v>27.01203128133146</v>
      </c>
      <c r="N29" s="151">
        <f t="shared" si="4"/>
        <v>329.5178182456545</v>
      </c>
    </row>
    <row r="30" spans="1:14" x14ac:dyDescent="0.25">
      <c r="A30" s="8" t="s">
        <v>199</v>
      </c>
      <c r="B30" s="380">
        <v>102</v>
      </c>
      <c r="C30" s="380">
        <v>102</v>
      </c>
      <c r="D30" s="380">
        <v>102</v>
      </c>
      <c r="E30" s="380">
        <v>102.00005354637653</v>
      </c>
      <c r="F30" s="380">
        <v>103</v>
      </c>
      <c r="G30" s="380">
        <v>104</v>
      </c>
      <c r="H30" s="380">
        <v>103.03333751096628</v>
      </c>
      <c r="I30" s="380">
        <v>101.06667502193258</v>
      </c>
      <c r="J30" s="380">
        <v>98.100012532898859</v>
      </c>
      <c r="K30" s="380">
        <v>95.100012532898859</v>
      </c>
      <c r="L30" s="380">
        <v>94.066675021932582</v>
      </c>
      <c r="M30" s="380">
        <v>93.033337510966277</v>
      </c>
      <c r="N30" s="151">
        <f t="shared" si="4"/>
        <v>1199.4001036779719</v>
      </c>
    </row>
    <row r="31" spans="1:14" x14ac:dyDescent="0.25">
      <c r="A31" s="8" t="s">
        <v>200</v>
      </c>
      <c r="B31" s="380">
        <v>225.05811596161644</v>
      </c>
      <c r="C31" s="380">
        <v>205.88822813893771</v>
      </c>
      <c r="D31" s="380">
        <v>233.15914312744965</v>
      </c>
      <c r="E31" s="380">
        <v>227.35558859305314</v>
      </c>
      <c r="F31" s="380">
        <v>225.30826636050514</v>
      </c>
      <c r="G31" s="380">
        <v>218.78752870264063</v>
      </c>
      <c r="H31" s="380">
        <v>226.15607060849595</v>
      </c>
      <c r="I31" s="380">
        <v>219.84163318025256</v>
      </c>
      <c r="J31" s="380">
        <v>219.01040470723305</v>
      </c>
      <c r="K31" s="380">
        <v>229.91238518943743</v>
      </c>
      <c r="L31" s="380">
        <v>209.87220149253727</v>
      </c>
      <c r="M31" s="380">
        <v>221.20694603903556</v>
      </c>
      <c r="N31" s="151">
        <f t="shared" si="4"/>
        <v>2661.5565121011946</v>
      </c>
    </row>
    <row r="32" spans="1:14" x14ac:dyDescent="0.25">
      <c r="A32" s="8" t="s">
        <v>201</v>
      </c>
      <c r="B32" s="380">
        <v>2</v>
      </c>
      <c r="C32" s="380">
        <v>2</v>
      </c>
      <c r="D32" s="380">
        <v>2</v>
      </c>
      <c r="E32" s="380">
        <v>2</v>
      </c>
      <c r="F32" s="380">
        <v>2</v>
      </c>
      <c r="G32" s="380">
        <v>2</v>
      </c>
      <c r="H32" s="380">
        <v>2</v>
      </c>
      <c r="I32" s="380">
        <v>2</v>
      </c>
      <c r="J32" s="380">
        <v>2</v>
      </c>
      <c r="K32" s="380">
        <v>2</v>
      </c>
      <c r="L32" s="380">
        <v>1.0333303265379759</v>
      </c>
      <c r="M32" s="380">
        <v>1</v>
      </c>
      <c r="N32" s="151">
        <f t="shared" si="4"/>
        <v>22.033330326537975</v>
      </c>
    </row>
    <row r="33" spans="1:14" x14ac:dyDescent="0.25">
      <c r="A33" s="8" t="s">
        <v>202</v>
      </c>
      <c r="B33" s="380">
        <v>5.0417959266253032</v>
      </c>
      <c r="C33" s="380">
        <v>4.8582074453736173</v>
      </c>
      <c r="D33" s="380">
        <v>5</v>
      </c>
      <c r="E33" s="380">
        <v>4.9655044510385755</v>
      </c>
      <c r="F33" s="380">
        <v>5.101185884210337</v>
      </c>
      <c r="G33" s="380">
        <v>4.8688171657187969</v>
      </c>
      <c r="H33" s="380">
        <v>5.0989971115377024</v>
      </c>
      <c r="I33" s="380">
        <v>5.0988535854608088</v>
      </c>
      <c r="J33" s="380">
        <v>4.9291698810527631</v>
      </c>
      <c r="K33" s="380">
        <v>5.0409049319148176</v>
      </c>
      <c r="L33" s="380">
        <v>5.0298893055131959</v>
      </c>
      <c r="M33" s="380">
        <v>4.9916754875401423</v>
      </c>
      <c r="N33" s="151">
        <f t="shared" si="4"/>
        <v>60.025001175986063</v>
      </c>
    </row>
    <row r="34" spans="1:14" x14ac:dyDescent="0.25">
      <c r="A34" s="8" t="s">
        <v>203</v>
      </c>
      <c r="B34" s="381">
        <v>9</v>
      </c>
      <c r="C34" s="381">
        <v>9.7666701791359323</v>
      </c>
      <c r="D34" s="381">
        <v>10</v>
      </c>
      <c r="E34" s="381">
        <v>10</v>
      </c>
      <c r="F34" s="381">
        <v>10</v>
      </c>
      <c r="G34" s="381">
        <v>10</v>
      </c>
      <c r="H34" s="381">
        <v>10</v>
      </c>
      <c r="I34" s="381">
        <v>10</v>
      </c>
      <c r="J34" s="381">
        <v>10</v>
      </c>
      <c r="K34" s="381">
        <v>10</v>
      </c>
      <c r="L34" s="381">
        <v>10</v>
      </c>
      <c r="M34" s="381">
        <v>10</v>
      </c>
      <c r="N34" s="294">
        <f t="shared" si="4"/>
        <v>118.76667017913593</v>
      </c>
    </row>
    <row r="35" spans="1:14" x14ac:dyDescent="0.25">
      <c r="A35" s="8" t="s">
        <v>6</v>
      </c>
      <c r="B35" s="151">
        <f t="shared" ref="B35:N35" si="5">SUM(B22:B34)</f>
        <v>841615.40911132854</v>
      </c>
      <c r="C35" s="151">
        <f t="shared" si="5"/>
        <v>764507.62634069042</v>
      </c>
      <c r="D35" s="151">
        <f t="shared" si="5"/>
        <v>872581.119807599</v>
      </c>
      <c r="E35" s="151">
        <f t="shared" si="5"/>
        <v>857085.46076085593</v>
      </c>
      <c r="F35" s="151">
        <f t="shared" si="5"/>
        <v>861345.65741192375</v>
      </c>
      <c r="G35" s="151">
        <f t="shared" si="5"/>
        <v>824854.97143430391</v>
      </c>
      <c r="H35" s="151">
        <f t="shared" si="5"/>
        <v>856604.02622287313</v>
      </c>
      <c r="I35" s="151">
        <f t="shared" si="5"/>
        <v>841930.13543487317</v>
      </c>
      <c r="J35" s="151">
        <f t="shared" si="5"/>
        <v>828583.31385145546</v>
      </c>
      <c r="K35" s="151">
        <f t="shared" si="5"/>
        <v>887840.30381178961</v>
      </c>
      <c r="L35" s="151">
        <f t="shared" si="5"/>
        <v>816020.8745708788</v>
      </c>
      <c r="M35" s="151">
        <f t="shared" si="5"/>
        <v>862604.97669492417</v>
      </c>
      <c r="N35" s="151">
        <f t="shared" si="5"/>
        <v>10115573.875453494</v>
      </c>
    </row>
    <row r="43" spans="1:14" x14ac:dyDescent="0.25">
      <c r="C43" s="32"/>
      <c r="D43" s="151"/>
    </row>
  </sheetData>
  <pageMargins left="0.7" right="0.7" top="0.75" bottom="0.75" header="0.3" footer="0.3"/>
  <pageSetup scale="58" orientation="landscape" r:id="rId1"/>
  <headerFooter>
    <oddFooter>&amp;L&amp;F
&amp;A&amp;C&amp;P&amp;R&amp;D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66"/>
  <sheetViews>
    <sheetView zoomScaleNormal="100" workbookViewId="0">
      <selection activeCell="W26" sqref="W26"/>
    </sheetView>
  </sheetViews>
  <sheetFormatPr defaultColWidth="9.140625" defaultRowHeight="12.75" x14ac:dyDescent="0.2"/>
  <cols>
    <col min="1" max="1" width="25.7109375" style="128" customWidth="1"/>
    <col min="2" max="13" width="10.7109375" style="128" customWidth="1"/>
    <col min="14" max="14" width="11.7109375" style="128" customWidth="1"/>
    <col min="15" max="16384" width="9.140625" style="128"/>
  </cols>
  <sheetData>
    <row r="1" spans="1:42" s="235" customFormat="1" x14ac:dyDescent="0.2">
      <c r="A1" s="235" t="s">
        <v>0</v>
      </c>
    </row>
    <row r="2" spans="1:42" x14ac:dyDescent="0.2">
      <c r="A2" s="128" t="s">
        <v>161</v>
      </c>
    </row>
    <row r="3" spans="1:42" x14ac:dyDescent="0.2">
      <c r="N3" s="363"/>
    </row>
    <row r="4" spans="1:42" x14ac:dyDescent="0.2">
      <c r="A4" s="202" t="s">
        <v>162</v>
      </c>
      <c r="B4" s="382">
        <v>43101</v>
      </c>
      <c r="C4" s="382">
        <f>EDATE(B4,1)</f>
        <v>43132</v>
      </c>
      <c r="D4" s="382">
        <f t="shared" ref="D4:M4" si="0">EDATE(C4,1)</f>
        <v>43160</v>
      </c>
      <c r="E4" s="382">
        <f t="shared" si="0"/>
        <v>43191</v>
      </c>
      <c r="F4" s="382">
        <f t="shared" si="0"/>
        <v>43221</v>
      </c>
      <c r="G4" s="382">
        <f t="shared" si="0"/>
        <v>43252</v>
      </c>
      <c r="H4" s="382">
        <f t="shared" si="0"/>
        <v>43282</v>
      </c>
      <c r="I4" s="382">
        <f t="shared" si="0"/>
        <v>43313</v>
      </c>
      <c r="J4" s="382">
        <f t="shared" si="0"/>
        <v>43344</v>
      </c>
      <c r="K4" s="382">
        <f t="shared" si="0"/>
        <v>43374</v>
      </c>
      <c r="L4" s="382">
        <f t="shared" si="0"/>
        <v>43405</v>
      </c>
      <c r="M4" s="382">
        <f t="shared" si="0"/>
        <v>43435</v>
      </c>
      <c r="N4" s="383" t="s">
        <v>190</v>
      </c>
    </row>
    <row r="5" spans="1:42" s="235" customFormat="1" x14ac:dyDescent="0.2">
      <c r="A5" s="133" t="s">
        <v>186</v>
      </c>
      <c r="B5" s="377"/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</row>
    <row r="6" spans="1:42" x14ac:dyDescent="0.2">
      <c r="A6" s="130" t="s">
        <v>177</v>
      </c>
      <c r="B6" s="374">
        <f>'12ME Dec18 Norm Therms'!B127/'12ME Dec18 Norm Therms'!B$130</f>
        <v>0.14922454324680837</v>
      </c>
      <c r="C6" s="374">
        <f>'12ME Dec18 Norm Therms'!C127/'12ME Dec18 Norm Therms'!C$130</f>
        <v>0.16364629057218089</v>
      </c>
      <c r="D6" s="374">
        <f>'12ME Dec18 Norm Therms'!D127/'12ME Dec18 Norm Therms'!D$130</f>
        <v>0.17504496366356323</v>
      </c>
      <c r="E6" s="374">
        <f>'12ME Dec18 Norm Therms'!E127/'12ME Dec18 Norm Therms'!E$130</f>
        <v>0.21175239144709179</v>
      </c>
      <c r="F6" s="374">
        <f>'12ME Dec18 Norm Therms'!F127/'12ME Dec18 Norm Therms'!F$130</f>
        <v>0.25310543812578135</v>
      </c>
      <c r="G6" s="374">
        <f>'12ME Dec18 Norm Therms'!G127/'12ME Dec18 Norm Therms'!G$130</f>
        <v>0.28660648215098411</v>
      </c>
      <c r="H6" s="374">
        <f>'12ME Dec18 Norm Therms'!H127/'12ME Dec18 Norm Therms'!H$130</f>
        <v>0.3159717605430063</v>
      </c>
      <c r="I6" s="374">
        <f>'12ME Dec18 Norm Therms'!I127/'12ME Dec18 Norm Therms'!I$130</f>
        <v>0.30664839715806202</v>
      </c>
      <c r="J6" s="374">
        <f>'12ME Dec18 Norm Therms'!J127/'12ME Dec18 Norm Therms'!J$130</f>
        <v>0.28761820961597617</v>
      </c>
      <c r="K6" s="374">
        <f>'12ME Dec18 Norm Therms'!K127/'12ME Dec18 Norm Therms'!K$130</f>
        <v>0.23576453458339192</v>
      </c>
      <c r="L6" s="374">
        <f>'12ME Dec18 Norm Therms'!L127/'12ME Dec18 Norm Therms'!L$130</f>
        <v>0.16614292765725397</v>
      </c>
      <c r="M6" s="374">
        <f>'12ME Dec18 Norm Therms'!M127/'12ME Dec18 Norm Therms'!M$130</f>
        <v>0.14954636923229347</v>
      </c>
      <c r="N6" s="374">
        <f>'12ME Dec18 Norm Therms'!N127/'12ME Dec18 Norm Therms'!N$130</f>
        <v>0.20440137902732267</v>
      </c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</row>
    <row r="7" spans="1:42" x14ac:dyDescent="0.2">
      <c r="A7" s="130" t="s">
        <v>165</v>
      </c>
      <c r="B7" s="374">
        <f>'12ME Dec18 Norm Therms'!B128/'12ME Dec18 Norm Therms'!B$130</f>
        <v>0.43348289521280331</v>
      </c>
      <c r="C7" s="374">
        <f>'12ME Dec18 Norm Therms'!C128/'12ME Dec18 Norm Therms'!C$130</f>
        <v>0.49122745681836449</v>
      </c>
      <c r="D7" s="374">
        <f>'12ME Dec18 Norm Therms'!D128/'12ME Dec18 Norm Therms'!D$130</f>
        <v>0.47490353952726122</v>
      </c>
      <c r="E7" s="374">
        <f>'12ME Dec18 Norm Therms'!E128/'12ME Dec18 Norm Therms'!E$130</f>
        <v>0.46733559534249774</v>
      </c>
      <c r="F7" s="374">
        <f>'12ME Dec18 Norm Therms'!F128/'12ME Dec18 Norm Therms'!F$130</f>
        <v>0.41113340317341623</v>
      </c>
      <c r="G7" s="374">
        <f>'12ME Dec18 Norm Therms'!G128/'12ME Dec18 Norm Therms'!G$130</f>
        <v>0.43423254690890201</v>
      </c>
      <c r="H7" s="374">
        <f>'12ME Dec18 Norm Therms'!H128/'12ME Dec18 Norm Therms'!H$130</f>
        <v>0.420139973796049</v>
      </c>
      <c r="I7" s="374">
        <f>'12ME Dec18 Norm Therms'!I128/'12ME Dec18 Norm Therms'!I$130</f>
        <v>0.4316518033795394</v>
      </c>
      <c r="J7" s="374">
        <f>'12ME Dec18 Norm Therms'!J128/'12ME Dec18 Norm Therms'!J$130</f>
        <v>0.45050853602516638</v>
      </c>
      <c r="K7" s="374">
        <f>'12ME Dec18 Norm Therms'!K128/'12ME Dec18 Norm Therms'!K$130</f>
        <v>0.47511675056552788</v>
      </c>
      <c r="L7" s="374">
        <f>'12ME Dec18 Norm Therms'!L128/'12ME Dec18 Norm Therms'!L$130</f>
        <v>0.44749535630016535</v>
      </c>
      <c r="M7" s="374">
        <f>'12ME Dec18 Norm Therms'!M128/'12ME Dec18 Norm Therms'!M$130</f>
        <v>0.44158888177802441</v>
      </c>
      <c r="N7" s="374">
        <f>'12ME Dec18 Norm Therms'!N128/'12ME Dec18 Norm Therms'!N$130</f>
        <v>0.45149660277570119</v>
      </c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</row>
    <row r="8" spans="1:42" x14ac:dyDescent="0.2">
      <c r="A8" s="130" t="s">
        <v>166</v>
      </c>
      <c r="B8" s="374">
        <f>'12ME Dec18 Norm Therms'!B129/'12ME Dec18 Norm Therms'!B$130</f>
        <v>0.4172925615403883</v>
      </c>
      <c r="C8" s="374">
        <f>'12ME Dec18 Norm Therms'!C129/'12ME Dec18 Norm Therms'!C$130</f>
        <v>0.34512625260945468</v>
      </c>
      <c r="D8" s="374">
        <f>'12ME Dec18 Norm Therms'!D129/'12ME Dec18 Norm Therms'!D$130</f>
        <v>0.35005149680917552</v>
      </c>
      <c r="E8" s="374">
        <f>'12ME Dec18 Norm Therms'!E129/'12ME Dec18 Norm Therms'!E$130</f>
        <v>0.32091201321041046</v>
      </c>
      <c r="F8" s="374">
        <f>'12ME Dec18 Norm Therms'!F129/'12ME Dec18 Norm Therms'!F$130</f>
        <v>0.33576115870080242</v>
      </c>
      <c r="G8" s="374">
        <f>'12ME Dec18 Norm Therms'!G129/'12ME Dec18 Norm Therms'!G$130</f>
        <v>0.27916097094011399</v>
      </c>
      <c r="H8" s="374">
        <f>'12ME Dec18 Norm Therms'!H129/'12ME Dec18 Norm Therms'!H$130</f>
        <v>0.26388826566094475</v>
      </c>
      <c r="I8" s="374">
        <f>'12ME Dec18 Norm Therms'!I129/'12ME Dec18 Norm Therms'!I$130</f>
        <v>0.26169979946239869</v>
      </c>
      <c r="J8" s="374">
        <f>'12ME Dec18 Norm Therms'!J129/'12ME Dec18 Norm Therms'!J$130</f>
        <v>0.26187325435885744</v>
      </c>
      <c r="K8" s="374">
        <f>'12ME Dec18 Norm Therms'!K129/'12ME Dec18 Norm Therms'!K$130</f>
        <v>0.28911871485108037</v>
      </c>
      <c r="L8" s="374">
        <f>'12ME Dec18 Norm Therms'!L129/'12ME Dec18 Norm Therms'!L$130</f>
        <v>0.38636171604258068</v>
      </c>
      <c r="M8" s="374">
        <f>'12ME Dec18 Norm Therms'!M129/'12ME Dec18 Norm Therms'!M$130</f>
        <v>0.40886474898968223</v>
      </c>
      <c r="N8" s="374">
        <f>'12ME Dec18 Norm Therms'!N129/'12ME Dec18 Norm Therms'!N$130</f>
        <v>0.34410201819697622</v>
      </c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</row>
    <row r="9" spans="1:42" ht="15" x14ac:dyDescent="0.25">
      <c r="A9" s="130" t="s">
        <v>6</v>
      </c>
      <c r="B9" s="376">
        <f>SUM(B6:B8)</f>
        <v>1</v>
      </c>
      <c r="C9" s="376">
        <f t="shared" ref="C9:N9" si="1">SUM(C6:C8)</f>
        <v>1</v>
      </c>
      <c r="D9" s="376">
        <f t="shared" si="1"/>
        <v>1</v>
      </c>
      <c r="E9" s="376">
        <f t="shared" si="1"/>
        <v>1</v>
      </c>
      <c r="F9" s="376">
        <f t="shared" si="1"/>
        <v>1</v>
      </c>
      <c r="G9" s="376">
        <f t="shared" si="1"/>
        <v>1</v>
      </c>
      <c r="H9" s="376">
        <f t="shared" si="1"/>
        <v>1</v>
      </c>
      <c r="I9" s="376">
        <f t="shared" si="1"/>
        <v>1</v>
      </c>
      <c r="J9" s="376">
        <f t="shared" si="1"/>
        <v>1</v>
      </c>
      <c r="K9" s="376">
        <f t="shared" si="1"/>
        <v>1.0000000000000002</v>
      </c>
      <c r="L9" s="376">
        <f t="shared" si="1"/>
        <v>1</v>
      </c>
      <c r="M9" s="376">
        <f t="shared" si="1"/>
        <v>1</v>
      </c>
      <c r="N9" s="376">
        <f t="shared" si="1"/>
        <v>1</v>
      </c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</row>
    <row r="10" spans="1:42" s="131" customFormat="1" ht="15" x14ac:dyDescent="0.25">
      <c r="A10" s="130"/>
      <c r="B10" s="376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</row>
    <row r="11" spans="1:42" ht="15" x14ac:dyDescent="0.25">
      <c r="A11" s="130"/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</row>
    <row r="12" spans="1:42" ht="15" x14ac:dyDescent="0.25">
      <c r="A12" s="128" t="s">
        <v>187</v>
      </c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</row>
    <row r="13" spans="1:42" x14ac:dyDescent="0.2">
      <c r="A13" s="130" t="s">
        <v>88</v>
      </c>
      <c r="B13" s="374">
        <f>'12ME Dec18 Norm Therms'!B134/'12ME Dec18 Norm Therms'!B$137</f>
        <v>0.37230426841953063</v>
      </c>
      <c r="C13" s="374">
        <f>'12ME Dec18 Norm Therms'!C134/'12ME Dec18 Norm Therms'!C$137</f>
        <v>0.41227743607503803</v>
      </c>
      <c r="D13" s="374">
        <f>'12ME Dec18 Norm Therms'!D134/'12ME Dec18 Norm Therms'!D$137</f>
        <v>0.40682992840455623</v>
      </c>
      <c r="E13" s="374">
        <f>'12ME Dec18 Norm Therms'!E134/'12ME Dec18 Norm Therms'!E$137</f>
        <v>0.49309126617616322</v>
      </c>
      <c r="F13" s="374">
        <f>'12ME Dec18 Norm Therms'!F134/'12ME Dec18 Norm Therms'!F$137</f>
        <v>0.59859693790100554</v>
      </c>
      <c r="G13" s="374">
        <f>'12ME Dec18 Norm Therms'!G134/'12ME Dec18 Norm Therms'!G$137</f>
        <v>0.65701894476349232</v>
      </c>
      <c r="H13" s="374">
        <f>'12ME Dec18 Norm Therms'!H134/'12ME Dec18 Norm Therms'!H$137</f>
        <v>0.70713346242061348</v>
      </c>
      <c r="I13" s="374">
        <f>'12ME Dec18 Norm Therms'!I134/'12ME Dec18 Norm Therms'!I$137</f>
        <v>0.62689804616419564</v>
      </c>
      <c r="J13" s="374">
        <f>'12ME Dec18 Norm Therms'!J134/'12ME Dec18 Norm Therms'!J$137</f>
        <v>0.58208400724003639</v>
      </c>
      <c r="K13" s="374">
        <f>'12ME Dec18 Norm Therms'!K134/'12ME Dec18 Norm Therms'!K$137</f>
        <v>0.5136838766780174</v>
      </c>
      <c r="L13" s="374">
        <f>'12ME Dec18 Norm Therms'!L134/'12ME Dec18 Norm Therms'!L$137</f>
        <v>0.43892294076801919</v>
      </c>
      <c r="M13" s="374">
        <f>'12ME Dec18 Norm Therms'!M134/'12ME Dec18 Norm Therms'!M$137</f>
        <v>0.38685589473324977</v>
      </c>
      <c r="N13" s="374">
        <f>'12ME Dec18 Norm Therms'!N134/'12ME Dec18 Norm Therms'!N$137</f>
        <v>0.48249444962547344</v>
      </c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</row>
    <row r="14" spans="1:42" x14ac:dyDescent="0.2">
      <c r="A14" s="130" t="s">
        <v>89</v>
      </c>
      <c r="B14" s="374">
        <f>'12ME Dec18 Norm Therms'!B135/'12ME Dec18 Norm Therms'!B$137</f>
        <v>0.25905117547881157</v>
      </c>
      <c r="C14" s="374">
        <f>'12ME Dec18 Norm Therms'!C135/'12ME Dec18 Norm Therms'!C$137</f>
        <v>0.25985718749917031</v>
      </c>
      <c r="D14" s="374">
        <f>'12ME Dec18 Norm Therms'!D135/'12ME Dec18 Norm Therms'!D$137</f>
        <v>0.25215293764946073</v>
      </c>
      <c r="E14" s="374">
        <f>'12ME Dec18 Norm Therms'!E135/'12ME Dec18 Norm Therms'!E$137</f>
        <v>0.24488755080875094</v>
      </c>
      <c r="F14" s="374">
        <f>'12ME Dec18 Norm Therms'!F135/'12ME Dec18 Norm Therms'!F$137</f>
        <v>0.27398677225717599</v>
      </c>
      <c r="G14" s="374">
        <f>'12ME Dec18 Norm Therms'!G135/'12ME Dec18 Norm Therms'!G$137</f>
        <v>0.28690645903535672</v>
      </c>
      <c r="H14" s="374">
        <f>'12ME Dec18 Norm Therms'!H135/'12ME Dec18 Norm Therms'!H$137</f>
        <v>0.25624377727160758</v>
      </c>
      <c r="I14" s="374">
        <f>'12ME Dec18 Norm Therms'!I135/'12ME Dec18 Norm Therms'!I$137</f>
        <v>0.26560664884388679</v>
      </c>
      <c r="J14" s="374">
        <f>'12ME Dec18 Norm Therms'!J135/'12ME Dec18 Norm Therms'!J$137</f>
        <v>0.26152735931715415</v>
      </c>
      <c r="K14" s="374">
        <f>'12ME Dec18 Norm Therms'!K135/'12ME Dec18 Norm Therms'!K$137</f>
        <v>0.25201416298159207</v>
      </c>
      <c r="L14" s="374">
        <f>'12ME Dec18 Norm Therms'!L135/'12ME Dec18 Norm Therms'!L$137</f>
        <v>0.23476041524226851</v>
      </c>
      <c r="M14" s="374">
        <f>'12ME Dec18 Norm Therms'!M135/'12ME Dec18 Norm Therms'!M$137</f>
        <v>0.23857645401061511</v>
      </c>
      <c r="N14" s="374">
        <f>'12ME Dec18 Norm Therms'!N135/'12ME Dec18 Norm Therms'!N$137</f>
        <v>0.25470497791382046</v>
      </c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</row>
    <row r="15" spans="1:42" x14ac:dyDescent="0.2">
      <c r="A15" s="130" t="s">
        <v>169</v>
      </c>
      <c r="B15" s="374">
        <f>'12ME Dec18 Norm Therms'!B136/'12ME Dec18 Norm Therms'!B$137</f>
        <v>0.36864455610165786</v>
      </c>
      <c r="C15" s="374">
        <f>'12ME Dec18 Norm Therms'!C136/'12ME Dec18 Norm Therms'!C$137</f>
        <v>0.32786537642579178</v>
      </c>
      <c r="D15" s="374">
        <f>'12ME Dec18 Norm Therms'!D136/'12ME Dec18 Norm Therms'!D$137</f>
        <v>0.3410171339459831</v>
      </c>
      <c r="E15" s="374">
        <f>'12ME Dec18 Norm Therms'!E136/'12ME Dec18 Norm Therms'!E$137</f>
        <v>0.2620211830150857</v>
      </c>
      <c r="F15" s="374">
        <f>'12ME Dec18 Norm Therms'!F136/'12ME Dec18 Norm Therms'!F$137</f>
        <v>0.12741628984181844</v>
      </c>
      <c r="G15" s="374">
        <f>'12ME Dec18 Norm Therms'!G136/'12ME Dec18 Norm Therms'!G$137</f>
        <v>5.6074596201150871E-2</v>
      </c>
      <c r="H15" s="374">
        <f>'12ME Dec18 Norm Therms'!H136/'12ME Dec18 Norm Therms'!H$137</f>
        <v>3.6622760307778973E-2</v>
      </c>
      <c r="I15" s="374">
        <f>'12ME Dec18 Norm Therms'!I136/'12ME Dec18 Norm Therms'!I$137</f>
        <v>0.10749530499191759</v>
      </c>
      <c r="J15" s="374">
        <f>'12ME Dec18 Norm Therms'!J136/'12ME Dec18 Norm Therms'!J$137</f>
        <v>0.15638863344280951</v>
      </c>
      <c r="K15" s="374">
        <f>'12ME Dec18 Norm Therms'!K136/'12ME Dec18 Norm Therms'!K$137</f>
        <v>0.23430196034039064</v>
      </c>
      <c r="L15" s="374">
        <f>'12ME Dec18 Norm Therms'!L136/'12ME Dec18 Norm Therms'!L$137</f>
        <v>0.32631664398971227</v>
      </c>
      <c r="M15" s="374">
        <f>'12ME Dec18 Norm Therms'!M136/'12ME Dec18 Norm Therms'!M$137</f>
        <v>0.37456765125613528</v>
      </c>
      <c r="N15" s="374">
        <f>'12ME Dec18 Norm Therms'!N136/'12ME Dec18 Norm Therms'!N$137</f>
        <v>0.26280057246070604</v>
      </c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</row>
    <row r="16" spans="1:42" x14ac:dyDescent="0.2">
      <c r="A16" s="130" t="s">
        <v>6</v>
      </c>
      <c r="B16" s="375">
        <f>SUM(B13:B15)</f>
        <v>1</v>
      </c>
      <c r="C16" s="375">
        <f t="shared" ref="C16:N16" si="2">SUM(C13:C15)</f>
        <v>1</v>
      </c>
      <c r="D16" s="375">
        <f t="shared" si="2"/>
        <v>1</v>
      </c>
      <c r="E16" s="375">
        <f t="shared" si="2"/>
        <v>0.99999999999999989</v>
      </c>
      <c r="F16" s="375">
        <f t="shared" si="2"/>
        <v>0.99999999999999989</v>
      </c>
      <c r="G16" s="375">
        <f t="shared" si="2"/>
        <v>0.99999999999999989</v>
      </c>
      <c r="H16" s="375">
        <f t="shared" si="2"/>
        <v>1</v>
      </c>
      <c r="I16" s="375">
        <f t="shared" si="2"/>
        <v>1</v>
      </c>
      <c r="J16" s="375">
        <f t="shared" si="2"/>
        <v>1</v>
      </c>
      <c r="K16" s="375">
        <f t="shared" si="2"/>
        <v>1</v>
      </c>
      <c r="L16" s="375">
        <f t="shared" si="2"/>
        <v>1</v>
      </c>
      <c r="M16" s="375">
        <f t="shared" si="2"/>
        <v>1.0000000000000002</v>
      </c>
      <c r="N16" s="375">
        <f t="shared" si="2"/>
        <v>1</v>
      </c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</row>
    <row r="17" spans="1:42" s="131" customFormat="1" x14ac:dyDescent="0.2">
      <c r="A17" s="130"/>
      <c r="B17" s="377"/>
      <c r="C17" s="377"/>
      <c r="D17" s="377"/>
      <c r="E17" s="377"/>
      <c r="F17" s="377"/>
      <c r="G17" s="377"/>
      <c r="H17" s="377"/>
      <c r="I17" s="377"/>
      <c r="J17" s="377"/>
      <c r="K17" s="377"/>
      <c r="L17" s="377"/>
      <c r="M17" s="377"/>
      <c r="N17" s="377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</row>
    <row r="18" spans="1:42" x14ac:dyDescent="0.2">
      <c r="A18" s="130"/>
      <c r="B18" s="377"/>
      <c r="C18" s="377"/>
      <c r="D18" s="377"/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</row>
    <row r="19" spans="1:42" x14ac:dyDescent="0.2">
      <c r="A19" s="130" t="s">
        <v>188</v>
      </c>
      <c r="B19" s="375"/>
      <c r="C19" s="375"/>
      <c r="D19" s="375"/>
      <c r="E19" s="375"/>
      <c r="F19" s="375"/>
      <c r="G19" s="375"/>
      <c r="H19" s="375"/>
      <c r="I19" s="375"/>
      <c r="J19" s="375"/>
      <c r="K19" s="375"/>
      <c r="L19" s="375"/>
      <c r="M19" s="375"/>
      <c r="N19" s="375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</row>
    <row r="20" spans="1:42" ht="15" x14ac:dyDescent="0.25">
      <c r="A20" s="130" t="s">
        <v>94</v>
      </c>
      <c r="B20" s="378">
        <f>'12ME Dec18 Norm Therms'!B141/'12ME Dec18 Norm Therms'!B$143</f>
        <v>0.16771487646747016</v>
      </c>
      <c r="C20" s="378">
        <f>'12ME Dec18 Norm Therms'!C141/'12ME Dec18 Norm Therms'!C$143</f>
        <v>0.18456137827362062</v>
      </c>
      <c r="D20" s="378">
        <f>'12ME Dec18 Norm Therms'!D141/'12ME Dec18 Norm Therms'!D$143</f>
        <v>0.19651901185902595</v>
      </c>
      <c r="E20" s="378">
        <f>'12ME Dec18 Norm Therms'!E141/'12ME Dec18 Norm Therms'!E$143</f>
        <v>0.24094013312142906</v>
      </c>
      <c r="F20" s="378">
        <f>'12ME Dec18 Norm Therms'!F141/'12ME Dec18 Norm Therms'!F$143</f>
        <v>0.34332006710712687</v>
      </c>
      <c r="G20" s="378">
        <f>'12ME Dec18 Norm Therms'!G141/'12ME Dec18 Norm Therms'!G$143</f>
        <v>0.39266649941478471</v>
      </c>
      <c r="H20" s="378">
        <f>'12ME Dec18 Norm Therms'!H141/'12ME Dec18 Norm Therms'!H$143</f>
        <v>0.40357621921382081</v>
      </c>
      <c r="I20" s="378">
        <f>'12ME Dec18 Norm Therms'!I141/'12ME Dec18 Norm Therms'!I$143</f>
        <v>0.420495168350765</v>
      </c>
      <c r="J20" s="378">
        <f>'12ME Dec18 Norm Therms'!J141/'12ME Dec18 Norm Therms'!J$143</f>
        <v>0.38422257753094974</v>
      </c>
      <c r="K20" s="378">
        <f>'12ME Dec18 Norm Therms'!K141/'12ME Dec18 Norm Therms'!K$143</f>
        <v>0.28196978432039449</v>
      </c>
      <c r="L20" s="378">
        <f>'12ME Dec18 Norm Therms'!L141/'12ME Dec18 Norm Therms'!L$143</f>
        <v>0.20703919597757325</v>
      </c>
      <c r="M20" s="378">
        <f>'12ME Dec18 Norm Therms'!M141/'12ME Dec18 Norm Therms'!M$143</f>
        <v>0.17865311744485818</v>
      </c>
      <c r="N20" s="378">
        <f>'12ME Dec18 Norm Therms'!N141/'12ME Dec18 Norm Therms'!N$143</f>
        <v>0.23470084679429468</v>
      </c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</row>
    <row r="21" spans="1:42" ht="15" x14ac:dyDescent="0.25">
      <c r="A21" s="130" t="s">
        <v>172</v>
      </c>
      <c r="B21" s="378">
        <f>'12ME Dec18 Norm Therms'!B142/'12ME Dec18 Norm Therms'!B$143</f>
        <v>0.83228512353252992</v>
      </c>
      <c r="C21" s="378">
        <f>'12ME Dec18 Norm Therms'!C142/'12ME Dec18 Norm Therms'!C$143</f>
        <v>0.81543862172637949</v>
      </c>
      <c r="D21" s="378">
        <f>'12ME Dec18 Norm Therms'!D142/'12ME Dec18 Norm Therms'!D$143</f>
        <v>0.80348098814097413</v>
      </c>
      <c r="E21" s="378">
        <f>'12ME Dec18 Norm Therms'!E142/'12ME Dec18 Norm Therms'!E$143</f>
        <v>0.75905986687857097</v>
      </c>
      <c r="F21" s="378">
        <f>'12ME Dec18 Norm Therms'!F142/'12ME Dec18 Norm Therms'!F$143</f>
        <v>0.65667993289287319</v>
      </c>
      <c r="G21" s="378">
        <f>'12ME Dec18 Norm Therms'!G142/'12ME Dec18 Norm Therms'!G$143</f>
        <v>0.60733350058521529</v>
      </c>
      <c r="H21" s="378">
        <f>'12ME Dec18 Norm Therms'!H142/'12ME Dec18 Norm Therms'!H$143</f>
        <v>0.59642378078617919</v>
      </c>
      <c r="I21" s="378">
        <f>'12ME Dec18 Norm Therms'!I142/'12ME Dec18 Norm Therms'!I$143</f>
        <v>0.57950483164923505</v>
      </c>
      <c r="J21" s="378">
        <f>'12ME Dec18 Norm Therms'!J142/'12ME Dec18 Norm Therms'!J$143</f>
        <v>0.61577742246905021</v>
      </c>
      <c r="K21" s="378">
        <f>'12ME Dec18 Norm Therms'!K142/'12ME Dec18 Norm Therms'!K$143</f>
        <v>0.71803021567960545</v>
      </c>
      <c r="L21" s="378">
        <f>'12ME Dec18 Norm Therms'!L142/'12ME Dec18 Norm Therms'!L$143</f>
        <v>0.79296080402242675</v>
      </c>
      <c r="M21" s="378">
        <f>'12ME Dec18 Norm Therms'!M142/'12ME Dec18 Norm Therms'!M$143</f>
        <v>0.82134688255514188</v>
      </c>
      <c r="N21" s="378">
        <f>'12ME Dec18 Norm Therms'!N142/'12ME Dec18 Norm Therms'!N$143</f>
        <v>0.76529915320570518</v>
      </c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</row>
    <row r="22" spans="1:42" ht="15" x14ac:dyDescent="0.25">
      <c r="A22" s="130" t="s">
        <v>6</v>
      </c>
      <c r="B22" s="376">
        <f>SUM(B20:B21)</f>
        <v>1</v>
      </c>
      <c r="C22" s="376">
        <f t="shared" ref="C22:N22" si="3">SUM(C20:C21)</f>
        <v>1</v>
      </c>
      <c r="D22" s="376">
        <f t="shared" si="3"/>
        <v>1</v>
      </c>
      <c r="E22" s="376">
        <f t="shared" si="3"/>
        <v>1</v>
      </c>
      <c r="F22" s="376">
        <f t="shared" si="3"/>
        <v>1</v>
      </c>
      <c r="G22" s="376">
        <f t="shared" si="3"/>
        <v>1</v>
      </c>
      <c r="H22" s="376">
        <f t="shared" si="3"/>
        <v>1</v>
      </c>
      <c r="I22" s="376">
        <f t="shared" si="3"/>
        <v>1</v>
      </c>
      <c r="J22" s="376">
        <f t="shared" si="3"/>
        <v>1</v>
      </c>
      <c r="K22" s="376">
        <f t="shared" si="3"/>
        <v>1</v>
      </c>
      <c r="L22" s="376">
        <f t="shared" si="3"/>
        <v>1</v>
      </c>
      <c r="M22" s="376">
        <f t="shared" si="3"/>
        <v>1</v>
      </c>
      <c r="N22" s="376">
        <f t="shared" si="3"/>
        <v>0.99999999999999989</v>
      </c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</row>
    <row r="23" spans="1:42" x14ac:dyDescent="0.2">
      <c r="A23" s="130"/>
      <c r="B23" s="377"/>
      <c r="C23" s="37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</row>
    <row r="24" spans="1:42" s="131" customFormat="1" x14ac:dyDescent="0.2">
      <c r="A24" s="130"/>
      <c r="B24" s="377"/>
      <c r="C24" s="377"/>
      <c r="D24" s="377"/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</row>
    <row r="25" spans="1:42" x14ac:dyDescent="0.2">
      <c r="A25" s="128" t="s">
        <v>189</v>
      </c>
      <c r="B25" s="377"/>
      <c r="C25" s="377"/>
      <c r="D25" s="377"/>
      <c r="E25" s="377"/>
      <c r="F25" s="377"/>
      <c r="G25" s="377"/>
      <c r="H25" s="377"/>
      <c r="I25" s="377"/>
      <c r="J25" s="377"/>
      <c r="K25" s="377"/>
      <c r="L25" s="377"/>
      <c r="M25" s="377"/>
      <c r="N25" s="377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</row>
    <row r="26" spans="1:42" x14ac:dyDescent="0.2">
      <c r="A26" s="130" t="s">
        <v>88</v>
      </c>
      <c r="B26" s="374">
        <f>'12ME Dec18 Norm Therms'!B147/'12ME Dec18 Norm Therms'!B$153</f>
        <v>4.8814832967943853E-2</v>
      </c>
      <c r="C26" s="374">
        <f>'12ME Dec18 Norm Therms'!C147/'12ME Dec18 Norm Therms'!C$153</f>
        <v>4.9495547759229444E-2</v>
      </c>
      <c r="D26" s="374">
        <f>'12ME Dec18 Norm Therms'!D147/'12ME Dec18 Norm Therms'!D$153</f>
        <v>5.1397595670720816E-2</v>
      </c>
      <c r="E26" s="374">
        <f>'12ME Dec18 Norm Therms'!E147/'12ME Dec18 Norm Therms'!E$153</f>
        <v>5.9835060528250321E-2</v>
      </c>
      <c r="F26" s="374">
        <f>'12ME Dec18 Norm Therms'!F147/'12ME Dec18 Norm Therms'!F$153</f>
        <v>8.5836838051139661E-2</v>
      </c>
      <c r="G26" s="374">
        <f>'12ME Dec18 Norm Therms'!G147/'12ME Dec18 Norm Therms'!G$153</f>
        <v>8.5086391129566744E-2</v>
      </c>
      <c r="H26" s="374">
        <f>'12ME Dec18 Norm Therms'!H147/'12ME Dec18 Norm Therms'!H$153</f>
        <v>9.9567939486674209E-2</v>
      </c>
      <c r="I26" s="374">
        <f>'12ME Dec18 Norm Therms'!I147/'12ME Dec18 Norm Therms'!I$153</f>
        <v>9.9975478055623651E-2</v>
      </c>
      <c r="J26" s="374">
        <f>'12ME Dec18 Norm Therms'!J147/'12ME Dec18 Norm Therms'!J$153</f>
        <v>8.9770332628775332E-2</v>
      </c>
      <c r="K26" s="374">
        <f>'12ME Dec18 Norm Therms'!K147/'12ME Dec18 Norm Therms'!K$153</f>
        <v>7.1732650907662177E-2</v>
      </c>
      <c r="L26" s="374">
        <f>'12ME Dec18 Norm Therms'!L147/'12ME Dec18 Norm Therms'!L$153</f>
        <v>5.8420851273247212E-2</v>
      </c>
      <c r="M26" s="374">
        <f>'12ME Dec18 Norm Therms'!M147/'12ME Dec18 Norm Therms'!M$153</f>
        <v>4.8266060179518087E-2</v>
      </c>
      <c r="N26" s="374">
        <f>'12ME Dec18 Norm Therms'!N147/'12ME Dec18 Norm Therms'!N$153</f>
        <v>6.5581824444845241E-2</v>
      </c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</row>
    <row r="27" spans="1:42" x14ac:dyDescent="0.2">
      <c r="A27" s="130" t="s">
        <v>89</v>
      </c>
      <c r="B27" s="374">
        <f>'12ME Dec18 Norm Therms'!B148/'12ME Dec18 Norm Therms'!B$153</f>
        <v>4.8814619575364128E-2</v>
      </c>
      <c r="C27" s="374">
        <f>'12ME Dec18 Norm Therms'!C148/'12ME Dec18 Norm Therms'!C$153</f>
        <v>4.9495547759229444E-2</v>
      </c>
      <c r="D27" s="374">
        <f>'12ME Dec18 Norm Therms'!D148/'12ME Dec18 Norm Therms'!D$153</f>
        <v>5.1397595670720816E-2</v>
      </c>
      <c r="E27" s="374">
        <f>'12ME Dec18 Norm Therms'!E148/'12ME Dec18 Norm Therms'!E$153</f>
        <v>5.9835060528250321E-2</v>
      </c>
      <c r="F27" s="374">
        <f>'12ME Dec18 Norm Therms'!F148/'12ME Dec18 Norm Therms'!F$153</f>
        <v>8.5836838051139661E-2</v>
      </c>
      <c r="G27" s="374">
        <f>'12ME Dec18 Norm Therms'!G148/'12ME Dec18 Norm Therms'!G$153</f>
        <v>7.889546231132695E-2</v>
      </c>
      <c r="H27" s="374">
        <f>'12ME Dec18 Norm Therms'!H148/'12ME Dec18 Norm Therms'!H$153</f>
        <v>9.097880605630336E-2</v>
      </c>
      <c r="I27" s="374">
        <f>'12ME Dec18 Norm Therms'!I148/'12ME Dec18 Norm Therms'!I$153</f>
        <v>9.2185606877057458E-2</v>
      </c>
      <c r="J27" s="374">
        <f>'12ME Dec18 Norm Therms'!J148/'12ME Dec18 Norm Therms'!J$153</f>
        <v>8.9770332628775332E-2</v>
      </c>
      <c r="K27" s="374">
        <f>'12ME Dec18 Norm Therms'!K148/'12ME Dec18 Norm Therms'!K$153</f>
        <v>7.1732650907662177E-2</v>
      </c>
      <c r="L27" s="374">
        <f>'12ME Dec18 Norm Therms'!L148/'12ME Dec18 Norm Therms'!L$153</f>
        <v>5.8420851273247212E-2</v>
      </c>
      <c r="M27" s="374">
        <f>'12ME Dec18 Norm Therms'!M148/'12ME Dec18 Norm Therms'!M$153</f>
        <v>4.8266060179518087E-2</v>
      </c>
      <c r="N27" s="374">
        <f>'12ME Dec18 Norm Therms'!N148/'12ME Dec18 Norm Therms'!N$153</f>
        <v>6.4280096417538846E-2</v>
      </c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</row>
    <row r="28" spans="1:42" x14ac:dyDescent="0.2">
      <c r="A28" s="130" t="s">
        <v>99</v>
      </c>
      <c r="B28" s="374">
        <f>'12ME Dec18 Norm Therms'!B149/'12ME Dec18 Norm Therms'!B$153</f>
        <v>9.7629665548605346E-2</v>
      </c>
      <c r="C28" s="374">
        <f>'12ME Dec18 Norm Therms'!C149/'12ME Dec18 Norm Therms'!C$153</f>
        <v>9.8991095518458888E-2</v>
      </c>
      <c r="D28" s="374">
        <f>'12ME Dec18 Norm Therms'!D149/'12ME Dec18 Norm Therms'!D$153</f>
        <v>0.10279519134144163</v>
      </c>
      <c r="E28" s="374">
        <f>'12ME Dec18 Norm Therms'!E149/'12ME Dec18 Norm Therms'!E$153</f>
        <v>0.11967012105650064</v>
      </c>
      <c r="F28" s="374">
        <f>'12ME Dec18 Norm Therms'!F149/'12ME Dec18 Norm Therms'!F$153</f>
        <v>0.13290757425922287</v>
      </c>
      <c r="G28" s="374">
        <f>'12ME Dec18 Norm Therms'!G149/'12ME Dec18 Norm Therms'!G$153</f>
        <v>0.12247830686536924</v>
      </c>
      <c r="H28" s="374">
        <f>'12ME Dec18 Norm Therms'!H149/'12ME Dec18 Norm Therms'!H$153</f>
        <v>0.12666786567399002</v>
      </c>
      <c r="I28" s="374">
        <f>'12ME Dec18 Norm Therms'!I149/'12ME Dec18 Norm Therms'!I$153</f>
        <v>0.1122408109415107</v>
      </c>
      <c r="J28" s="374">
        <f>'12ME Dec18 Norm Therms'!J149/'12ME Dec18 Norm Therms'!J$153</f>
        <v>0.13047484010628524</v>
      </c>
      <c r="K28" s="374">
        <f>'12ME Dec18 Norm Therms'!K149/'12ME Dec18 Norm Therms'!K$153</f>
        <v>0.14346530181532435</v>
      </c>
      <c r="L28" s="374">
        <f>'12ME Dec18 Norm Therms'!L149/'12ME Dec18 Norm Therms'!L$153</f>
        <v>0.11684170161731607</v>
      </c>
      <c r="M28" s="374">
        <f>'12ME Dec18 Norm Therms'!M149/'12ME Dec18 Norm Therms'!M$153</f>
        <v>9.6532121132582388E-2</v>
      </c>
      <c r="N28" s="374">
        <f>'12ME Dec18 Norm Therms'!N149/'12ME Dec18 Norm Therms'!N$153</f>
        <v>0.11377902686872056</v>
      </c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</row>
    <row r="29" spans="1:42" x14ac:dyDescent="0.2">
      <c r="A29" s="130" t="s">
        <v>100</v>
      </c>
      <c r="B29" s="374">
        <f>'12ME Dec18 Norm Therms'!B150/'12ME Dec18 Norm Therms'!B$153</f>
        <v>0.15277663130903821</v>
      </c>
      <c r="C29" s="374">
        <f>'12ME Dec18 Norm Therms'!C150/'12ME Dec18 Norm Therms'!C$153</f>
        <v>0.17917956723246828</v>
      </c>
      <c r="D29" s="374">
        <f>'12ME Dec18 Norm Therms'!D150/'12ME Dec18 Norm Therms'!D$153</f>
        <v>0.18235130478102898</v>
      </c>
      <c r="E29" s="374">
        <f>'12ME Dec18 Norm Therms'!E150/'12ME Dec18 Norm Therms'!E$153</f>
        <v>0.15345673812720384</v>
      </c>
      <c r="F29" s="374">
        <f>'12ME Dec18 Norm Therms'!F150/'12ME Dec18 Norm Therms'!F$153</f>
        <v>0.11286622436479707</v>
      </c>
      <c r="G29" s="374">
        <f>'12ME Dec18 Norm Therms'!G150/'12ME Dec18 Norm Therms'!G$153</f>
        <v>8.0752249537790893E-2</v>
      </c>
      <c r="H29" s="374">
        <f>'12ME Dec18 Norm Therms'!H150/'12ME Dec18 Norm Therms'!H$153</f>
        <v>7.89585079547869E-2</v>
      </c>
      <c r="I29" s="374">
        <f>'12ME Dec18 Norm Therms'!I150/'12ME Dec18 Norm Therms'!I$153</f>
        <v>8.3067249140536883E-2</v>
      </c>
      <c r="J29" s="374">
        <f>'12ME Dec18 Norm Therms'!J150/'12ME Dec18 Norm Therms'!J$153</f>
        <v>9.9993055081707832E-2</v>
      </c>
      <c r="K29" s="374">
        <f>'12ME Dec18 Norm Therms'!K150/'12ME Dec18 Norm Therms'!K$153</f>
        <v>0.1372358578259229</v>
      </c>
      <c r="L29" s="374">
        <f>'12ME Dec18 Norm Therms'!L150/'12ME Dec18 Norm Therms'!L$153</f>
        <v>0.15627289324180707</v>
      </c>
      <c r="M29" s="374">
        <f>'12ME Dec18 Norm Therms'!M150/'12ME Dec18 Norm Therms'!M$153</f>
        <v>0.15322162033455364</v>
      </c>
      <c r="N29" s="374">
        <f>'12ME Dec18 Norm Therms'!N150/'12ME Dec18 Norm Therms'!N$153</f>
        <v>0.13972358798863857</v>
      </c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</row>
    <row r="30" spans="1:42" x14ac:dyDescent="0.2">
      <c r="A30" s="130" t="s">
        <v>101</v>
      </c>
      <c r="B30" s="374">
        <f>'12ME Dec18 Norm Therms'!B151/'12ME Dec18 Norm Therms'!B$153</f>
        <v>0.13033971405069772</v>
      </c>
      <c r="C30" s="374">
        <f>'12ME Dec18 Norm Therms'!C151/'12ME Dec18 Norm Therms'!C$153</f>
        <v>0.12675681603675915</v>
      </c>
      <c r="D30" s="374">
        <f>'12ME Dec18 Norm Therms'!D151/'12ME Dec18 Norm Therms'!D$153</f>
        <v>0.12768504365208289</v>
      </c>
      <c r="E30" s="374">
        <f>'12ME Dec18 Norm Therms'!E151/'12ME Dec18 Norm Therms'!E$153</f>
        <v>0.14962915575433638</v>
      </c>
      <c r="F30" s="374">
        <f>'12ME Dec18 Norm Therms'!F151/'12ME Dec18 Norm Therms'!F$153</f>
        <v>0.20192363194124449</v>
      </c>
      <c r="G30" s="374">
        <f>'12ME Dec18 Norm Therms'!G151/'12ME Dec18 Norm Therms'!G$153</f>
        <v>0.20970939175017722</v>
      </c>
      <c r="H30" s="374">
        <f>'12ME Dec18 Norm Therms'!H151/'12ME Dec18 Norm Therms'!H$153</f>
        <v>0.23432350191849632</v>
      </c>
      <c r="I30" s="374">
        <f>'12ME Dec18 Norm Therms'!I151/'12ME Dec18 Norm Therms'!I$153</f>
        <v>0.23528944489095366</v>
      </c>
      <c r="J30" s="374">
        <f>'12ME Dec18 Norm Therms'!J151/'12ME Dec18 Norm Therms'!J$153</f>
        <v>0.21854485153808961</v>
      </c>
      <c r="K30" s="374">
        <f>'12ME Dec18 Norm Therms'!K151/'12ME Dec18 Norm Therms'!K$153</f>
        <v>0.17076017784221714</v>
      </c>
      <c r="L30" s="374">
        <f>'12ME Dec18 Norm Therms'!L151/'12ME Dec18 Norm Therms'!L$153</f>
        <v>0.15024539958424155</v>
      </c>
      <c r="M30" s="374">
        <f>'12ME Dec18 Norm Therms'!M151/'12ME Dec18 Norm Therms'!M$153</f>
        <v>0.13428167128345539</v>
      </c>
      <c r="N30" s="374">
        <f>'12ME Dec18 Norm Therms'!N151/'12ME Dec18 Norm Therms'!N$153</f>
        <v>0.16341149809006178</v>
      </c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</row>
    <row r="31" spans="1:42" s="131" customFormat="1" x14ac:dyDescent="0.2">
      <c r="A31" s="130" t="s">
        <v>174</v>
      </c>
      <c r="B31" s="374">
        <f>'12ME Dec18 Norm Therms'!B152/'12ME Dec18 Norm Therms'!B$153</f>
        <v>0.52162453654835073</v>
      </c>
      <c r="C31" s="374">
        <f>'12ME Dec18 Norm Therms'!C152/'12ME Dec18 Norm Therms'!C$153</f>
        <v>0.49608142569385472</v>
      </c>
      <c r="D31" s="374">
        <f>'12ME Dec18 Norm Therms'!D152/'12ME Dec18 Norm Therms'!D$153</f>
        <v>0.48437326888400489</v>
      </c>
      <c r="E31" s="374">
        <f>'12ME Dec18 Norm Therms'!E152/'12ME Dec18 Norm Therms'!E$153</f>
        <v>0.45757386400545852</v>
      </c>
      <c r="F31" s="374">
        <f>'12ME Dec18 Norm Therms'!F152/'12ME Dec18 Norm Therms'!F$153</f>
        <v>0.3806288933324562</v>
      </c>
      <c r="G31" s="374">
        <f>'12ME Dec18 Norm Therms'!G152/'12ME Dec18 Norm Therms'!G$153</f>
        <v>0.42307819840576893</v>
      </c>
      <c r="H31" s="374">
        <f>'12ME Dec18 Norm Therms'!H152/'12ME Dec18 Norm Therms'!H$153</f>
        <v>0.36950337890974916</v>
      </c>
      <c r="I31" s="374">
        <f>'12ME Dec18 Norm Therms'!I152/'12ME Dec18 Norm Therms'!I$153</f>
        <v>0.37724141009431761</v>
      </c>
      <c r="J31" s="374">
        <f>'12ME Dec18 Norm Therms'!J152/'12ME Dec18 Norm Therms'!J$153</f>
        <v>0.37144658801636665</v>
      </c>
      <c r="K31" s="374">
        <f>'12ME Dec18 Norm Therms'!K152/'12ME Dec18 Norm Therms'!K$153</f>
        <v>0.40507336070121119</v>
      </c>
      <c r="L31" s="374">
        <f>'12ME Dec18 Norm Therms'!L152/'12ME Dec18 Norm Therms'!L$153</f>
        <v>0.4597983030101408</v>
      </c>
      <c r="M31" s="374">
        <f>'12ME Dec18 Norm Therms'!M152/'12ME Dec18 Norm Therms'!M$153</f>
        <v>0.51943246689037248</v>
      </c>
      <c r="N31" s="374">
        <f>'12ME Dec18 Norm Therms'!N152/'12ME Dec18 Norm Therms'!N$153</f>
        <v>0.45322396619019495</v>
      </c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</row>
    <row r="32" spans="1:42" ht="15" x14ac:dyDescent="0.25">
      <c r="A32" s="130" t="s">
        <v>6</v>
      </c>
      <c r="B32" s="376">
        <f>SUM(B26:B31)</f>
        <v>1</v>
      </c>
      <c r="C32" s="376">
        <f t="shared" ref="C32:N32" si="4">SUM(C26:C31)</f>
        <v>0.99999999999999989</v>
      </c>
      <c r="D32" s="376">
        <f t="shared" si="4"/>
        <v>1</v>
      </c>
      <c r="E32" s="376">
        <f t="shared" si="4"/>
        <v>1</v>
      </c>
      <c r="F32" s="376">
        <f t="shared" si="4"/>
        <v>1</v>
      </c>
      <c r="G32" s="376">
        <f t="shared" si="4"/>
        <v>1</v>
      </c>
      <c r="H32" s="376">
        <f t="shared" si="4"/>
        <v>0.99999999999999989</v>
      </c>
      <c r="I32" s="376">
        <f t="shared" si="4"/>
        <v>1</v>
      </c>
      <c r="J32" s="376">
        <f t="shared" si="4"/>
        <v>1</v>
      </c>
      <c r="K32" s="376">
        <f t="shared" si="4"/>
        <v>1</v>
      </c>
      <c r="L32" s="376">
        <f t="shared" si="4"/>
        <v>0.99999999999999989</v>
      </c>
      <c r="M32" s="376">
        <f t="shared" si="4"/>
        <v>1</v>
      </c>
      <c r="N32" s="376">
        <f t="shared" si="4"/>
        <v>0.99999999999999978</v>
      </c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</row>
    <row r="33" spans="1:42" x14ac:dyDescent="0.2">
      <c r="A33" s="130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</row>
    <row r="34" spans="1:42" x14ac:dyDescent="0.2"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</row>
    <row r="35" spans="1:42" x14ac:dyDescent="0.2">
      <c r="A35" s="130" t="s">
        <v>35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</row>
    <row r="36" spans="1:42" x14ac:dyDescent="0.2">
      <c r="A36" s="130" t="s">
        <v>164</v>
      </c>
      <c r="B36" s="374">
        <f>'12ME Dec18 Norm Therms'!B157/'12ME Dec18 Norm Therms'!B$160</f>
        <v>4.8914742694694667E-2</v>
      </c>
      <c r="C36" s="374">
        <f>'12ME Dec18 Norm Therms'!C157/'12ME Dec18 Norm Therms'!C$160</f>
        <v>5.4000883891136393E-2</v>
      </c>
      <c r="D36" s="374">
        <f>'12ME Dec18 Norm Therms'!D157/'12ME Dec18 Norm Therms'!D$160</f>
        <v>4.9638621902848096E-2</v>
      </c>
      <c r="E36" s="374">
        <f>'12ME Dec18 Norm Therms'!E157/'12ME Dec18 Norm Therms'!E$160</f>
        <v>5.5722617269044081E-2</v>
      </c>
      <c r="F36" s="374">
        <f>'12ME Dec18 Norm Therms'!F157/'12ME Dec18 Norm Therms'!F$160</f>
        <v>5.6861512496461326E-2</v>
      </c>
      <c r="G36" s="374">
        <f>'12ME Dec18 Norm Therms'!G157/'12ME Dec18 Norm Therms'!G$160</f>
        <v>5.9523459568889048E-2</v>
      </c>
      <c r="H36" s="374">
        <f>'12ME Dec18 Norm Therms'!H157/'12ME Dec18 Norm Therms'!H$160</f>
        <v>6.1119900661404596E-2</v>
      </c>
      <c r="I36" s="374">
        <f>'12ME Dec18 Norm Therms'!I157/'12ME Dec18 Norm Therms'!I$160</f>
        <v>5.8831493352071371E-2</v>
      </c>
      <c r="J36" s="374">
        <f>'12ME Dec18 Norm Therms'!J157/'12ME Dec18 Norm Therms'!J$160</f>
        <v>6.2364366637104811E-2</v>
      </c>
      <c r="K36" s="374">
        <f>'12ME Dec18 Norm Therms'!K157/'12ME Dec18 Norm Therms'!K$160</f>
        <v>5.3842349721507407E-2</v>
      </c>
      <c r="L36" s="374">
        <f>'12ME Dec18 Norm Therms'!L157/'12ME Dec18 Norm Therms'!L$160</f>
        <v>5.1391468606167279E-2</v>
      </c>
      <c r="M36" s="374">
        <f>'12ME Dec18 Norm Therms'!M157/'12ME Dec18 Norm Therms'!M$160</f>
        <v>4.971585834976578E-2</v>
      </c>
      <c r="N36" s="374">
        <f>'12ME Dec18 Norm Therms'!N157/'12ME Dec18 Norm Therms'!N$160</f>
        <v>5.4798281505979561E-2</v>
      </c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</row>
    <row r="37" spans="1:42" x14ac:dyDescent="0.2">
      <c r="A37" s="130" t="s">
        <v>165</v>
      </c>
      <c r="B37" s="374">
        <f>'12ME Dec18 Norm Therms'!B158/'12ME Dec18 Norm Therms'!B$160</f>
        <v>0.20258859622806658</v>
      </c>
      <c r="C37" s="374">
        <f>'12ME Dec18 Norm Therms'!C158/'12ME Dec18 Norm Therms'!C$160</f>
        <v>0.22271384628951077</v>
      </c>
      <c r="D37" s="374">
        <f>'12ME Dec18 Norm Therms'!D158/'12ME Dec18 Norm Therms'!D$160</f>
        <v>0.20221420925880168</v>
      </c>
      <c r="E37" s="374">
        <f>'12ME Dec18 Norm Therms'!E158/'12ME Dec18 Norm Therms'!E$160</f>
        <v>0.21479654958949707</v>
      </c>
      <c r="F37" s="374">
        <f>'12ME Dec18 Norm Therms'!F158/'12ME Dec18 Norm Therms'!F$160</f>
        <v>0.20350657795249436</v>
      </c>
      <c r="G37" s="374">
        <f>'12ME Dec18 Norm Therms'!G158/'12ME Dec18 Norm Therms'!G$160</f>
        <v>0.20606653457312235</v>
      </c>
      <c r="H37" s="374">
        <f>'12ME Dec18 Norm Therms'!H158/'12ME Dec18 Norm Therms'!H$160</f>
        <v>0.2050976875637246</v>
      </c>
      <c r="I37" s="374">
        <f>'12ME Dec18 Norm Therms'!I158/'12ME Dec18 Norm Therms'!I$160</f>
        <v>0.1976514171342455</v>
      </c>
      <c r="J37" s="374">
        <f>'12ME Dec18 Norm Therms'!J158/'12ME Dec18 Norm Therms'!J$160</f>
        <v>0.2140926591771854</v>
      </c>
      <c r="K37" s="374">
        <f>'12ME Dec18 Norm Therms'!K158/'12ME Dec18 Norm Therms'!K$160</f>
        <v>0.20498533222620974</v>
      </c>
      <c r="L37" s="374">
        <f>'12ME Dec18 Norm Therms'!L158/'12ME Dec18 Norm Therms'!L$160</f>
        <v>0.20464990443008652</v>
      </c>
      <c r="M37" s="374">
        <f>'12ME Dec18 Norm Therms'!M158/'12ME Dec18 Norm Therms'!M$160</f>
        <v>0.20977042458195302</v>
      </c>
      <c r="N37" s="374">
        <f>'12ME Dec18 Norm Therms'!N158/'12ME Dec18 Norm Therms'!N$160</f>
        <v>0.20730835478554219</v>
      </c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</row>
    <row r="38" spans="1:42" x14ac:dyDescent="0.2">
      <c r="A38" s="130" t="s">
        <v>166</v>
      </c>
      <c r="B38" s="374">
        <f>'12ME Dec18 Norm Therms'!B159/'12ME Dec18 Norm Therms'!B$160</f>
        <v>0.74849666107723878</v>
      </c>
      <c r="C38" s="374">
        <f>'12ME Dec18 Norm Therms'!C159/'12ME Dec18 Norm Therms'!C$160</f>
        <v>0.72328526981935293</v>
      </c>
      <c r="D38" s="374">
        <f>'12ME Dec18 Norm Therms'!D159/'12ME Dec18 Norm Therms'!D$160</f>
        <v>0.7481471688383502</v>
      </c>
      <c r="E38" s="374">
        <f>'12ME Dec18 Norm Therms'!E159/'12ME Dec18 Norm Therms'!E$160</f>
        <v>0.72948083314145884</v>
      </c>
      <c r="F38" s="374">
        <f>'12ME Dec18 Norm Therms'!F159/'12ME Dec18 Norm Therms'!F$160</f>
        <v>0.7396319095510443</v>
      </c>
      <c r="G38" s="374">
        <f>'12ME Dec18 Norm Therms'!G159/'12ME Dec18 Norm Therms'!G$160</f>
        <v>0.73441000585798866</v>
      </c>
      <c r="H38" s="374">
        <f>'12ME Dec18 Norm Therms'!H159/'12ME Dec18 Norm Therms'!H$160</f>
        <v>0.7337824117748708</v>
      </c>
      <c r="I38" s="374">
        <f>'12ME Dec18 Norm Therms'!I159/'12ME Dec18 Norm Therms'!I$160</f>
        <v>0.74351708951368312</v>
      </c>
      <c r="J38" s="374">
        <f>'12ME Dec18 Norm Therms'!J159/'12ME Dec18 Norm Therms'!J$160</f>
        <v>0.7235429741857099</v>
      </c>
      <c r="K38" s="374">
        <f>'12ME Dec18 Norm Therms'!K159/'12ME Dec18 Norm Therms'!K$160</f>
        <v>0.7411723180522829</v>
      </c>
      <c r="L38" s="374">
        <f>'12ME Dec18 Norm Therms'!L159/'12ME Dec18 Norm Therms'!L$160</f>
        <v>0.74395862696374615</v>
      </c>
      <c r="M38" s="374">
        <f>'12ME Dec18 Norm Therms'!M159/'12ME Dec18 Norm Therms'!M$160</f>
        <v>0.74051371706828117</v>
      </c>
      <c r="N38" s="374">
        <f>'12ME Dec18 Norm Therms'!N159/'12ME Dec18 Norm Therms'!N$160</f>
        <v>0.73789336370847824</v>
      </c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</row>
    <row r="39" spans="1:42" x14ac:dyDescent="0.2">
      <c r="A39" s="130" t="s">
        <v>6</v>
      </c>
      <c r="B39" s="375">
        <f>SUM(B36:B38)</f>
        <v>1</v>
      </c>
      <c r="C39" s="375">
        <f t="shared" ref="C39:N39" si="5">SUM(C36:C38)</f>
        <v>1</v>
      </c>
      <c r="D39" s="375">
        <f t="shared" si="5"/>
        <v>1</v>
      </c>
      <c r="E39" s="375">
        <f t="shared" si="5"/>
        <v>1</v>
      </c>
      <c r="F39" s="375">
        <f t="shared" si="5"/>
        <v>1</v>
      </c>
      <c r="G39" s="375">
        <f t="shared" si="5"/>
        <v>1</v>
      </c>
      <c r="H39" s="375">
        <f t="shared" si="5"/>
        <v>1</v>
      </c>
      <c r="I39" s="375">
        <f t="shared" si="5"/>
        <v>1</v>
      </c>
      <c r="J39" s="375">
        <f t="shared" si="5"/>
        <v>1</v>
      </c>
      <c r="K39" s="375">
        <f t="shared" si="5"/>
        <v>1</v>
      </c>
      <c r="L39" s="375">
        <f t="shared" si="5"/>
        <v>1</v>
      </c>
      <c r="M39" s="375">
        <f t="shared" si="5"/>
        <v>1</v>
      </c>
      <c r="N39" s="375">
        <f t="shared" si="5"/>
        <v>1</v>
      </c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</row>
    <row r="40" spans="1:42" ht="15" x14ac:dyDescent="0.25">
      <c r="A40" s="129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</row>
    <row r="41" spans="1:42" ht="15" x14ac:dyDescent="0.25">
      <c r="A41" s="130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</row>
    <row r="42" spans="1:42" ht="15" x14ac:dyDescent="0.25">
      <c r="A42" s="130" t="s">
        <v>37</v>
      </c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</row>
    <row r="43" spans="1:42" x14ac:dyDescent="0.2">
      <c r="A43" s="130" t="s">
        <v>88</v>
      </c>
      <c r="B43" s="374">
        <f>'12ME Dec18 Norm Therms'!B164/'12ME Dec18 Norm Therms'!B$167</f>
        <v>0.33810911712464464</v>
      </c>
      <c r="C43" s="374">
        <f>'12ME Dec18 Norm Therms'!C164/'12ME Dec18 Norm Therms'!C$167</f>
        <v>0.37386608009714795</v>
      </c>
      <c r="D43" s="374">
        <f>'12ME Dec18 Norm Therms'!D164/'12ME Dec18 Norm Therms'!D$167</f>
        <v>0.34264184941545434</v>
      </c>
      <c r="E43" s="374">
        <f>'12ME Dec18 Norm Therms'!E164/'12ME Dec18 Norm Therms'!E$167</f>
        <v>0.38450894189323126</v>
      </c>
      <c r="F43" s="374">
        <f>'12ME Dec18 Norm Therms'!F164/'12ME Dec18 Norm Therms'!F$167</f>
        <v>0.38881265422169131</v>
      </c>
      <c r="G43" s="374">
        <f>'12ME Dec18 Norm Therms'!G164/'12ME Dec18 Norm Therms'!G$167</f>
        <v>0.39939263301374661</v>
      </c>
      <c r="H43" s="374">
        <f>'12ME Dec18 Norm Therms'!H164/'12ME Dec18 Norm Therms'!H$167</f>
        <v>0.40949916936540037</v>
      </c>
      <c r="I43" s="374">
        <f>'12ME Dec18 Norm Therms'!I164/'12ME Dec18 Norm Therms'!I$167</f>
        <v>0.3969314566562403</v>
      </c>
      <c r="J43" s="374">
        <f>'12ME Dec18 Norm Therms'!J164/'12ME Dec18 Norm Therms'!J$167</f>
        <v>0.39834805828867764</v>
      </c>
      <c r="K43" s="374">
        <f>'12ME Dec18 Norm Therms'!K164/'12ME Dec18 Norm Therms'!K$167</f>
        <v>0.35843869268751433</v>
      </c>
      <c r="L43" s="374">
        <f>'12ME Dec18 Norm Therms'!L164/'12ME Dec18 Norm Therms'!L$167</f>
        <v>0.37246278740211142</v>
      </c>
      <c r="M43" s="374">
        <f>'12ME Dec18 Norm Therms'!M164/'12ME Dec18 Norm Therms'!M$167</f>
        <v>0.36028479553851089</v>
      </c>
      <c r="N43" s="374">
        <f>'12ME Dec18 Norm Therms'!N164/'12ME Dec18 Norm Therms'!N$167</f>
        <v>0.37581521571352788</v>
      </c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</row>
    <row r="44" spans="1:42" x14ac:dyDescent="0.2">
      <c r="A44" s="130" t="s">
        <v>89</v>
      </c>
      <c r="B44" s="374">
        <f>'12ME Dec18 Norm Therms'!B165/'12ME Dec18 Norm Therms'!B$167</f>
        <v>0.23689976882834704</v>
      </c>
      <c r="C44" s="374">
        <f>'12ME Dec18 Norm Therms'!C165/'12ME Dec18 Norm Therms'!C$167</f>
        <v>0.24159370639015856</v>
      </c>
      <c r="D44" s="374">
        <f>'12ME Dec18 Norm Therms'!D165/'12ME Dec18 Norm Therms'!D$167</f>
        <v>0.23664645021031686</v>
      </c>
      <c r="E44" s="374">
        <f>'12ME Dec18 Norm Therms'!E165/'12ME Dec18 Norm Therms'!E$167</f>
        <v>0.25338976783962719</v>
      </c>
      <c r="F44" s="374">
        <f>'12ME Dec18 Norm Therms'!F165/'12ME Dec18 Norm Therms'!F$167</f>
        <v>0.26943305419620228</v>
      </c>
      <c r="G44" s="374">
        <f>'12ME Dec18 Norm Therms'!G165/'12ME Dec18 Norm Therms'!G$167</f>
        <v>0.26178608695238936</v>
      </c>
      <c r="H44" s="374">
        <f>'12ME Dec18 Norm Therms'!H165/'12ME Dec18 Norm Therms'!H$167</f>
        <v>0.2694161284669333</v>
      </c>
      <c r="I44" s="374">
        <f>'12ME Dec18 Norm Therms'!I165/'12ME Dec18 Norm Therms'!I$167</f>
        <v>0.25733274644272197</v>
      </c>
      <c r="J44" s="374">
        <f>'12ME Dec18 Norm Therms'!J165/'12ME Dec18 Norm Therms'!J$167</f>
        <v>0.26028971531533901</v>
      </c>
      <c r="K44" s="374">
        <f>'12ME Dec18 Norm Therms'!K165/'12ME Dec18 Norm Therms'!K$167</f>
        <v>0.25497849404253708</v>
      </c>
      <c r="L44" s="374">
        <f>'12ME Dec18 Norm Therms'!L165/'12ME Dec18 Norm Therms'!L$167</f>
        <v>0.23244067354968542</v>
      </c>
      <c r="M44" s="374">
        <f>'12ME Dec18 Norm Therms'!M165/'12ME Dec18 Norm Therms'!M$167</f>
        <v>0.23433254220501806</v>
      </c>
      <c r="N44" s="374">
        <f>'12ME Dec18 Norm Therms'!N165/'12ME Dec18 Norm Therms'!N$167</f>
        <v>0.25032383360415711</v>
      </c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</row>
    <row r="45" spans="1:42" x14ac:dyDescent="0.2">
      <c r="A45" s="130" t="s">
        <v>169</v>
      </c>
      <c r="B45" s="374">
        <f>'12ME Dec18 Norm Therms'!B166/'12ME Dec18 Norm Therms'!B$167</f>
        <v>0.42499111404700829</v>
      </c>
      <c r="C45" s="374">
        <f>'12ME Dec18 Norm Therms'!C166/'12ME Dec18 Norm Therms'!C$167</f>
        <v>0.38454021351269346</v>
      </c>
      <c r="D45" s="374">
        <f>'12ME Dec18 Norm Therms'!D166/'12ME Dec18 Norm Therms'!D$167</f>
        <v>0.42071170037422889</v>
      </c>
      <c r="E45" s="374">
        <f>'12ME Dec18 Norm Therms'!E166/'12ME Dec18 Norm Therms'!E$167</f>
        <v>0.36210129026714161</v>
      </c>
      <c r="F45" s="374">
        <f>'12ME Dec18 Norm Therms'!F166/'12ME Dec18 Norm Therms'!F$167</f>
        <v>0.34175429158210646</v>
      </c>
      <c r="G45" s="374">
        <f>'12ME Dec18 Norm Therms'!G166/'12ME Dec18 Norm Therms'!G$167</f>
        <v>0.33882128003386403</v>
      </c>
      <c r="H45" s="374">
        <f>'12ME Dec18 Norm Therms'!H166/'12ME Dec18 Norm Therms'!H$167</f>
        <v>0.32108470216766644</v>
      </c>
      <c r="I45" s="374">
        <f>'12ME Dec18 Norm Therms'!I166/'12ME Dec18 Norm Therms'!I$167</f>
        <v>0.34573579690103778</v>
      </c>
      <c r="J45" s="374">
        <f>'12ME Dec18 Norm Therms'!J166/'12ME Dec18 Norm Therms'!J$167</f>
        <v>0.34136222639598335</v>
      </c>
      <c r="K45" s="374">
        <f>'12ME Dec18 Norm Therms'!K166/'12ME Dec18 Norm Therms'!K$167</f>
        <v>0.38658281326994853</v>
      </c>
      <c r="L45" s="374">
        <f>'12ME Dec18 Norm Therms'!L166/'12ME Dec18 Norm Therms'!L$167</f>
        <v>0.39509653904820319</v>
      </c>
      <c r="M45" s="374">
        <f>'12ME Dec18 Norm Therms'!M166/'12ME Dec18 Norm Therms'!M$167</f>
        <v>0.4053826622564709</v>
      </c>
      <c r="N45" s="374">
        <f>'12ME Dec18 Norm Therms'!N166/'12ME Dec18 Norm Therms'!N$167</f>
        <v>0.37386095068231495</v>
      </c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</row>
    <row r="46" spans="1:42" x14ac:dyDescent="0.2">
      <c r="A46" s="130" t="s">
        <v>6</v>
      </c>
      <c r="B46" s="375">
        <f>SUM(B43:B45)</f>
        <v>1</v>
      </c>
      <c r="C46" s="375">
        <f t="shared" ref="C46:N46" si="6">SUM(C43:C45)</f>
        <v>1</v>
      </c>
      <c r="D46" s="375">
        <f t="shared" si="6"/>
        <v>1</v>
      </c>
      <c r="E46" s="375">
        <f t="shared" si="6"/>
        <v>1</v>
      </c>
      <c r="F46" s="375">
        <f t="shared" si="6"/>
        <v>1</v>
      </c>
      <c r="G46" s="375">
        <f t="shared" si="6"/>
        <v>1</v>
      </c>
      <c r="H46" s="375">
        <f t="shared" si="6"/>
        <v>1</v>
      </c>
      <c r="I46" s="375">
        <f t="shared" si="6"/>
        <v>1</v>
      </c>
      <c r="J46" s="375">
        <f t="shared" si="6"/>
        <v>1</v>
      </c>
      <c r="K46" s="375">
        <f t="shared" si="6"/>
        <v>1</v>
      </c>
      <c r="L46" s="375">
        <f t="shared" si="6"/>
        <v>1</v>
      </c>
      <c r="M46" s="375">
        <f t="shared" si="6"/>
        <v>0.99999999999999989</v>
      </c>
      <c r="N46" s="375">
        <f t="shared" si="6"/>
        <v>1</v>
      </c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</row>
    <row r="47" spans="1:42" s="131" customFormat="1" ht="15" x14ac:dyDescent="0.25">
      <c r="A47" s="130"/>
      <c r="B47" s="376"/>
      <c r="C47" s="376"/>
      <c r="D47" s="376"/>
      <c r="E47" s="376"/>
      <c r="F47" s="376"/>
      <c r="G47" s="376"/>
      <c r="H47" s="376"/>
      <c r="I47" s="376"/>
      <c r="J47" s="376"/>
      <c r="K47" s="376"/>
      <c r="L47" s="376"/>
      <c r="M47" s="376"/>
      <c r="N47" s="376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</row>
    <row r="48" spans="1:42" ht="15" x14ac:dyDescent="0.25">
      <c r="A48" s="130"/>
      <c r="B48" s="376"/>
      <c r="C48" s="376"/>
      <c r="D48" s="376"/>
      <c r="E48" s="376"/>
      <c r="F48" s="376"/>
      <c r="G48" s="376"/>
      <c r="H48" s="376"/>
      <c r="I48" s="376"/>
      <c r="J48" s="376"/>
      <c r="K48" s="376"/>
      <c r="L48" s="376"/>
      <c r="M48" s="376"/>
      <c r="N48" s="376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</row>
    <row r="49" spans="1:42" ht="15" x14ac:dyDescent="0.25">
      <c r="A49" s="129" t="s">
        <v>39</v>
      </c>
      <c r="B49" s="376"/>
      <c r="C49" s="376"/>
      <c r="D49" s="376"/>
      <c r="E49" s="376"/>
      <c r="F49" s="376"/>
      <c r="G49" s="376"/>
      <c r="H49" s="376"/>
      <c r="I49" s="376"/>
      <c r="J49" s="376"/>
      <c r="K49" s="376"/>
      <c r="L49" s="376"/>
      <c r="M49" s="376"/>
      <c r="N49" s="376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</row>
    <row r="50" spans="1:42" x14ac:dyDescent="0.2">
      <c r="A50" s="130" t="s">
        <v>94</v>
      </c>
      <c r="B50" s="374">
        <f>'12ME Dec18 Norm Therms'!B171/'12ME Dec18 Norm Therms'!B$173</f>
        <v>4.0531826197907989E-2</v>
      </c>
      <c r="C50" s="374">
        <f>'12ME Dec18 Norm Therms'!C171/'12ME Dec18 Norm Therms'!C$173</f>
        <v>3.8020016398033069E-2</v>
      </c>
      <c r="D50" s="374">
        <f>'12ME Dec18 Norm Therms'!D171/'12ME Dec18 Norm Therms'!D$173</f>
        <v>4.8988785732114133E-2</v>
      </c>
      <c r="E50" s="374">
        <f>'12ME Dec18 Norm Therms'!E171/'12ME Dec18 Norm Therms'!E$173</f>
        <v>8.0692340279598956E-2</v>
      </c>
      <c r="F50" s="374">
        <f>'12ME Dec18 Norm Therms'!F171/'12ME Dec18 Norm Therms'!F$173</f>
        <v>0.10891359775376595</v>
      </c>
      <c r="G50" s="374">
        <f>'12ME Dec18 Norm Therms'!G171/'12ME Dec18 Norm Therms'!G$173</f>
        <v>9.2200152894174034E-2</v>
      </c>
      <c r="H50" s="374">
        <f>'12ME Dec18 Norm Therms'!H171/'12ME Dec18 Norm Therms'!H$173</f>
        <v>8.5878885398059462E-2</v>
      </c>
      <c r="I50" s="374">
        <f>'12ME Dec18 Norm Therms'!I171/'12ME Dec18 Norm Therms'!I$173</f>
        <v>0.14740413940304273</v>
      </c>
      <c r="J50" s="374">
        <f>'12ME Dec18 Norm Therms'!J171/'12ME Dec18 Norm Therms'!J$173</f>
        <v>8.8315969348869039E-2</v>
      </c>
      <c r="K50" s="374">
        <f>'12ME Dec18 Norm Therms'!K171/'12ME Dec18 Norm Therms'!K$173</f>
        <v>6.0347954234525429E-2</v>
      </c>
      <c r="L50" s="374">
        <f>'12ME Dec18 Norm Therms'!L171/'12ME Dec18 Norm Therms'!L$173</f>
        <v>5.8577023513988774E-2</v>
      </c>
      <c r="M50" s="374">
        <f>'12ME Dec18 Norm Therms'!M171/'12ME Dec18 Norm Therms'!M$173</f>
        <v>7.0833293489605736E-2</v>
      </c>
      <c r="N50" s="374">
        <f>'12ME Dec18 Norm Therms'!N171/'12ME Dec18 Norm Therms'!N$173</f>
        <v>6.5506735709701572E-2</v>
      </c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</row>
    <row r="51" spans="1:42" x14ac:dyDescent="0.2">
      <c r="A51" s="130" t="s">
        <v>172</v>
      </c>
      <c r="B51" s="374">
        <f>'12ME Dec18 Norm Therms'!B172/'12ME Dec18 Norm Therms'!B$173</f>
        <v>0.95946817380209204</v>
      </c>
      <c r="C51" s="374">
        <f>'12ME Dec18 Norm Therms'!C172/'12ME Dec18 Norm Therms'!C$173</f>
        <v>0.9619799836019669</v>
      </c>
      <c r="D51" s="374">
        <f>'12ME Dec18 Norm Therms'!D172/'12ME Dec18 Norm Therms'!D$173</f>
        <v>0.95101121426788582</v>
      </c>
      <c r="E51" s="374">
        <f>'12ME Dec18 Norm Therms'!E172/'12ME Dec18 Norm Therms'!E$173</f>
        <v>0.91930765972040107</v>
      </c>
      <c r="F51" s="374">
        <f>'12ME Dec18 Norm Therms'!F172/'12ME Dec18 Norm Therms'!F$173</f>
        <v>0.89108640224623403</v>
      </c>
      <c r="G51" s="374">
        <f>'12ME Dec18 Norm Therms'!G172/'12ME Dec18 Norm Therms'!G$173</f>
        <v>0.90779984710582595</v>
      </c>
      <c r="H51" s="374">
        <f>'12ME Dec18 Norm Therms'!H172/'12ME Dec18 Norm Therms'!H$173</f>
        <v>0.91412111460194045</v>
      </c>
      <c r="I51" s="374">
        <f>'12ME Dec18 Norm Therms'!I172/'12ME Dec18 Norm Therms'!I$173</f>
        <v>0.85259586059695724</v>
      </c>
      <c r="J51" s="374">
        <f>'12ME Dec18 Norm Therms'!J172/'12ME Dec18 Norm Therms'!J$173</f>
        <v>0.91168403065113102</v>
      </c>
      <c r="K51" s="374">
        <f>'12ME Dec18 Norm Therms'!K172/'12ME Dec18 Norm Therms'!K$173</f>
        <v>0.93965204576547456</v>
      </c>
      <c r="L51" s="374">
        <f>'12ME Dec18 Norm Therms'!L172/'12ME Dec18 Norm Therms'!L$173</f>
        <v>0.94142297648601125</v>
      </c>
      <c r="M51" s="374">
        <f>'12ME Dec18 Norm Therms'!M172/'12ME Dec18 Norm Therms'!M$173</f>
        <v>0.92916670651039424</v>
      </c>
      <c r="N51" s="374">
        <f>'12ME Dec18 Norm Therms'!N172/'12ME Dec18 Norm Therms'!N$173</f>
        <v>0.93449326429029844</v>
      </c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</row>
    <row r="52" spans="1:42" x14ac:dyDescent="0.2">
      <c r="A52" s="130" t="s">
        <v>6</v>
      </c>
      <c r="B52" s="375">
        <f>SUM(B50:B51)</f>
        <v>1</v>
      </c>
      <c r="C52" s="375">
        <f t="shared" ref="C52:M52" si="7">SUM(C50:C51)</f>
        <v>1</v>
      </c>
      <c r="D52" s="375">
        <f t="shared" si="7"/>
        <v>1</v>
      </c>
      <c r="E52" s="375">
        <f t="shared" si="7"/>
        <v>1</v>
      </c>
      <c r="F52" s="375">
        <f t="shared" si="7"/>
        <v>1</v>
      </c>
      <c r="G52" s="375">
        <f t="shared" si="7"/>
        <v>1</v>
      </c>
      <c r="H52" s="375">
        <f t="shared" si="7"/>
        <v>0.99999999999999989</v>
      </c>
      <c r="I52" s="375">
        <f t="shared" si="7"/>
        <v>1</v>
      </c>
      <c r="J52" s="375">
        <f t="shared" si="7"/>
        <v>1</v>
      </c>
      <c r="K52" s="375">
        <f t="shared" si="7"/>
        <v>1</v>
      </c>
      <c r="L52" s="375">
        <f t="shared" si="7"/>
        <v>1</v>
      </c>
      <c r="M52" s="375">
        <f t="shared" si="7"/>
        <v>1</v>
      </c>
      <c r="N52" s="375">
        <f>SUM(N50:N51)</f>
        <v>1</v>
      </c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</row>
    <row r="53" spans="1:42" x14ac:dyDescent="0.2">
      <c r="A53" s="130"/>
      <c r="B53" s="375"/>
      <c r="C53" s="375"/>
      <c r="D53" s="375"/>
      <c r="E53" s="375"/>
      <c r="F53" s="375"/>
      <c r="G53" s="375"/>
      <c r="H53" s="375"/>
      <c r="I53" s="375"/>
      <c r="J53" s="375"/>
      <c r="K53" s="375"/>
      <c r="L53" s="375"/>
      <c r="M53" s="375"/>
      <c r="N53" s="375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</row>
    <row r="54" spans="1:42" ht="15" x14ac:dyDescent="0.25">
      <c r="A54" s="130"/>
      <c r="B54" s="376"/>
      <c r="C54" s="376"/>
      <c r="D54" s="376"/>
      <c r="E54" s="376"/>
      <c r="F54" s="376"/>
      <c r="G54" s="376"/>
      <c r="H54" s="376"/>
      <c r="I54" s="376"/>
      <c r="J54" s="376"/>
      <c r="K54" s="376"/>
      <c r="L54" s="376"/>
      <c r="M54" s="376"/>
      <c r="N54" s="376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</row>
    <row r="55" spans="1:42" ht="15" x14ac:dyDescent="0.25">
      <c r="A55" s="130" t="s">
        <v>41</v>
      </c>
      <c r="B55" s="376"/>
      <c r="C55" s="376"/>
      <c r="D55" s="376"/>
      <c r="E55" s="376"/>
      <c r="F55" s="376"/>
      <c r="G55" s="376"/>
      <c r="H55" s="376"/>
      <c r="I55" s="376"/>
      <c r="J55" s="376"/>
      <c r="K55" s="376"/>
      <c r="L55" s="376"/>
      <c r="M55" s="376"/>
      <c r="N55" s="376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</row>
    <row r="56" spans="1:42" x14ac:dyDescent="0.2">
      <c r="A56" s="130" t="s">
        <v>88</v>
      </c>
      <c r="B56" s="374">
        <f>'12ME Dec18 Norm Therms'!B177/'12ME Dec18 Norm Therms'!B$183</f>
        <v>2.9632795658978448E-2</v>
      </c>
      <c r="C56" s="374">
        <f>'12ME Dec18 Norm Therms'!C177/'12ME Dec18 Norm Therms'!C$183</f>
        <v>2.8482383234114436E-2</v>
      </c>
      <c r="D56" s="374">
        <f>'12ME Dec18 Norm Therms'!D177/'12ME Dec18 Norm Therms'!D$183</f>
        <v>2.6190726933012783E-2</v>
      </c>
      <c r="E56" s="374">
        <f>'12ME Dec18 Norm Therms'!E177/'12ME Dec18 Norm Therms'!E$183</f>
        <v>3.0293338344158469E-2</v>
      </c>
      <c r="F56" s="374">
        <f>'12ME Dec18 Norm Therms'!F177/'12ME Dec18 Norm Therms'!F$183</f>
        <v>2.996958736622982E-2</v>
      </c>
      <c r="G56" s="374">
        <f>'12ME Dec18 Norm Therms'!G177/'12ME Dec18 Norm Therms'!G$183</f>
        <v>3.2571757226042712E-2</v>
      </c>
      <c r="H56" s="374">
        <f>'12ME Dec18 Norm Therms'!H177/'12ME Dec18 Norm Therms'!H$183</f>
        <v>2.9007457567876566E-2</v>
      </c>
      <c r="I56" s="374">
        <f>'12ME Dec18 Norm Therms'!I177/'12ME Dec18 Norm Therms'!I$183</f>
        <v>2.8759394848770884E-2</v>
      </c>
      <c r="J56" s="374">
        <f>'12ME Dec18 Norm Therms'!J177/'12ME Dec18 Norm Therms'!J$183</f>
        <v>3.2530867955046922E-2</v>
      </c>
      <c r="K56" s="374">
        <f>'12ME Dec18 Norm Therms'!K177/'12ME Dec18 Norm Therms'!K$183</f>
        <v>3.1250108164436879E-2</v>
      </c>
      <c r="L56" s="374">
        <f>'12ME Dec18 Norm Therms'!L177/'12ME Dec18 Norm Therms'!L$183</f>
        <v>3.4791644454811053E-2</v>
      </c>
      <c r="M56" s="374">
        <f>'12ME Dec18 Norm Therms'!M177/'12ME Dec18 Norm Therms'!M$183</f>
        <v>2.7727556948847303E-2</v>
      </c>
      <c r="N56" s="374">
        <f>'12ME Dec18 Norm Therms'!N177/'12ME Dec18 Norm Therms'!N$183</f>
        <v>2.9931962335869877E-2</v>
      </c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</row>
    <row r="57" spans="1:42" x14ac:dyDescent="0.2">
      <c r="A57" s="130" t="s">
        <v>89</v>
      </c>
      <c r="B57" s="374">
        <f>'12ME Dec18 Norm Therms'!B178/'12ME Dec18 Norm Therms'!B$183</f>
        <v>2.9632795658978448E-2</v>
      </c>
      <c r="C57" s="374">
        <f>'12ME Dec18 Norm Therms'!C178/'12ME Dec18 Norm Therms'!C$183</f>
        <v>2.8482383234114436E-2</v>
      </c>
      <c r="D57" s="374">
        <f>'12ME Dec18 Norm Therms'!D178/'12ME Dec18 Norm Therms'!D$183</f>
        <v>2.6190726933012783E-2</v>
      </c>
      <c r="E57" s="374">
        <f>'12ME Dec18 Norm Therms'!E178/'12ME Dec18 Norm Therms'!E$183</f>
        <v>3.0293338344158469E-2</v>
      </c>
      <c r="F57" s="374">
        <f>'12ME Dec18 Norm Therms'!F178/'12ME Dec18 Norm Therms'!F$183</f>
        <v>2.996958736622982E-2</v>
      </c>
      <c r="G57" s="374">
        <f>'12ME Dec18 Norm Therms'!G178/'12ME Dec18 Norm Therms'!G$183</f>
        <v>3.2571757226042712E-2</v>
      </c>
      <c r="H57" s="374">
        <f>'12ME Dec18 Norm Therms'!H178/'12ME Dec18 Norm Therms'!H$183</f>
        <v>2.9007457567876566E-2</v>
      </c>
      <c r="I57" s="374">
        <f>'12ME Dec18 Norm Therms'!I178/'12ME Dec18 Norm Therms'!I$183</f>
        <v>2.8759394848770884E-2</v>
      </c>
      <c r="J57" s="374">
        <f>'12ME Dec18 Norm Therms'!J178/'12ME Dec18 Norm Therms'!J$183</f>
        <v>3.2530867955046922E-2</v>
      </c>
      <c r="K57" s="374">
        <f>'12ME Dec18 Norm Therms'!K178/'12ME Dec18 Norm Therms'!K$183</f>
        <v>3.1250108164436879E-2</v>
      </c>
      <c r="L57" s="374">
        <f>'12ME Dec18 Norm Therms'!L178/'12ME Dec18 Norm Therms'!L$183</f>
        <v>3.4791644454811053E-2</v>
      </c>
      <c r="M57" s="374">
        <f>'12ME Dec18 Norm Therms'!M178/'12ME Dec18 Norm Therms'!M$183</f>
        <v>2.7727556948847303E-2</v>
      </c>
      <c r="N57" s="374">
        <f>'12ME Dec18 Norm Therms'!N178/'12ME Dec18 Norm Therms'!N$183</f>
        <v>2.9931962335869877E-2</v>
      </c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</row>
    <row r="58" spans="1:42" x14ac:dyDescent="0.2">
      <c r="A58" s="130" t="s">
        <v>99</v>
      </c>
      <c r="B58" s="374">
        <f>'12ME Dec18 Norm Therms'!B179/'12ME Dec18 Norm Therms'!B$183</f>
        <v>5.9265591317956896E-2</v>
      </c>
      <c r="C58" s="374">
        <f>'12ME Dec18 Norm Therms'!C179/'12ME Dec18 Norm Therms'!C$183</f>
        <v>5.6964766468228872E-2</v>
      </c>
      <c r="D58" s="374">
        <f>'12ME Dec18 Norm Therms'!D179/'12ME Dec18 Norm Therms'!D$183</f>
        <v>5.2381453866025565E-2</v>
      </c>
      <c r="E58" s="374">
        <f>'12ME Dec18 Norm Therms'!E179/'12ME Dec18 Norm Therms'!E$183</f>
        <v>6.0586676688316937E-2</v>
      </c>
      <c r="F58" s="374">
        <f>'12ME Dec18 Norm Therms'!F179/'12ME Dec18 Norm Therms'!F$183</f>
        <v>5.9939174732459639E-2</v>
      </c>
      <c r="G58" s="374">
        <f>'12ME Dec18 Norm Therms'!G179/'12ME Dec18 Norm Therms'!G$183</f>
        <v>6.5143514452085424E-2</v>
      </c>
      <c r="H58" s="374">
        <f>'12ME Dec18 Norm Therms'!H179/'12ME Dec18 Norm Therms'!H$183</f>
        <v>5.6209419038233732E-2</v>
      </c>
      <c r="I58" s="374">
        <f>'12ME Dec18 Norm Therms'!I179/'12ME Dec18 Norm Therms'!I$183</f>
        <v>5.7518789697541768E-2</v>
      </c>
      <c r="J58" s="374">
        <f>'12ME Dec18 Norm Therms'!J179/'12ME Dec18 Norm Therms'!J$183</f>
        <v>6.5061735910093843E-2</v>
      </c>
      <c r="K58" s="374">
        <f>'12ME Dec18 Norm Therms'!K179/'12ME Dec18 Norm Therms'!K$183</f>
        <v>6.2414728532979129E-2</v>
      </c>
      <c r="L58" s="374">
        <f>'12ME Dec18 Norm Therms'!L179/'12ME Dec18 Norm Therms'!L$183</f>
        <v>6.9583288909622107E-2</v>
      </c>
      <c r="M58" s="374">
        <f>'12ME Dec18 Norm Therms'!M179/'12ME Dec18 Norm Therms'!M$183</f>
        <v>5.5455113897694606E-2</v>
      </c>
      <c r="N58" s="374">
        <f>'12ME Dec18 Norm Therms'!N179/'12ME Dec18 Norm Therms'!N$183</f>
        <v>5.9701847884804989E-2</v>
      </c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</row>
    <row r="59" spans="1:42" x14ac:dyDescent="0.2">
      <c r="A59" s="130" t="s">
        <v>100</v>
      </c>
      <c r="B59" s="374">
        <f>'12ME Dec18 Norm Therms'!B180/'12ME Dec18 Norm Therms'!B$183</f>
        <v>0.11853118263591379</v>
      </c>
      <c r="C59" s="374">
        <f>'12ME Dec18 Norm Therms'!C180/'12ME Dec18 Norm Therms'!C$183</f>
        <v>0.11223580864942054</v>
      </c>
      <c r="D59" s="374">
        <f>'12ME Dec18 Norm Therms'!D180/'12ME Dec18 Norm Therms'!D$183</f>
        <v>0.10476290773205113</v>
      </c>
      <c r="E59" s="374">
        <f>'12ME Dec18 Norm Therms'!E180/'12ME Dec18 Norm Therms'!E$183</f>
        <v>0.12093628134595311</v>
      </c>
      <c r="F59" s="374">
        <f>'12ME Dec18 Norm Therms'!F180/'12ME Dec18 Norm Therms'!F$183</f>
        <v>0.11943068294937845</v>
      </c>
      <c r="G59" s="374">
        <f>'12ME Dec18 Norm Therms'!G180/'12ME Dec18 Norm Therms'!G$183</f>
        <v>0.12686381148332024</v>
      </c>
      <c r="H59" s="374">
        <f>'12ME Dec18 Norm Therms'!H180/'12ME Dec18 Norm Therms'!H$183</f>
        <v>0.10442684724435564</v>
      </c>
      <c r="I59" s="374">
        <f>'12ME Dec18 Norm Therms'!I180/'12ME Dec18 Norm Therms'!I$183</f>
        <v>0.10876865022022862</v>
      </c>
      <c r="J59" s="374">
        <f>'12ME Dec18 Norm Therms'!J180/'12ME Dec18 Norm Therms'!J$183</f>
        <v>0.12407687481312644</v>
      </c>
      <c r="K59" s="374">
        <f>'12ME Dec18 Norm Therms'!K180/'12ME Dec18 Norm Therms'!K$183</f>
        <v>0.12373643578273835</v>
      </c>
      <c r="L59" s="374">
        <f>'12ME Dec18 Norm Therms'!L180/'12ME Dec18 Norm Therms'!L$183</f>
        <v>0.13895504462095895</v>
      </c>
      <c r="M59" s="374">
        <f>'12ME Dec18 Norm Therms'!M180/'12ME Dec18 Norm Therms'!M$183</f>
        <v>0.11057075598835762</v>
      </c>
      <c r="N59" s="374">
        <f>'12ME Dec18 Norm Therms'!N180/'12ME Dec18 Norm Therms'!N$183</f>
        <v>0.11710893084766291</v>
      </c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</row>
    <row r="60" spans="1:42" x14ac:dyDescent="0.2">
      <c r="A60" s="130" t="s">
        <v>101</v>
      </c>
      <c r="B60" s="374">
        <f>'12ME Dec18 Norm Therms'!B181/'12ME Dec18 Norm Therms'!B$183</f>
        <v>0.26921265064536931</v>
      </c>
      <c r="C60" s="374">
        <f>'12ME Dec18 Norm Therms'!C181/'12ME Dec18 Norm Therms'!C$183</f>
        <v>0.25657725703641582</v>
      </c>
      <c r="D60" s="374">
        <f>'12ME Dec18 Norm Therms'!D181/'12ME Dec18 Norm Therms'!D$183</f>
        <v>0.23635770815450044</v>
      </c>
      <c r="E60" s="374">
        <f>'12ME Dec18 Norm Therms'!E181/'12ME Dec18 Norm Therms'!E$183</f>
        <v>0.26694533371279661</v>
      </c>
      <c r="F60" s="374">
        <f>'12ME Dec18 Norm Therms'!F181/'12ME Dec18 Norm Therms'!F$183</f>
        <v>0.25748908160580303</v>
      </c>
      <c r="G60" s="374">
        <f>'12ME Dec18 Norm Therms'!G181/'12ME Dec18 Norm Therms'!G$183</f>
        <v>0.27816457209964646</v>
      </c>
      <c r="H60" s="374">
        <f>'12ME Dec18 Norm Therms'!H181/'12ME Dec18 Norm Therms'!H$183</f>
        <v>0.25048761449149232</v>
      </c>
      <c r="I60" s="374">
        <f>'12ME Dec18 Norm Therms'!I181/'12ME Dec18 Norm Therms'!I$183</f>
        <v>0.24877139520093311</v>
      </c>
      <c r="J60" s="374">
        <f>'12ME Dec18 Norm Therms'!J181/'12ME Dec18 Norm Therms'!J$183</f>
        <v>0.27380007876633999</v>
      </c>
      <c r="K60" s="374">
        <f>'12ME Dec18 Norm Therms'!K181/'12ME Dec18 Norm Therms'!K$183</f>
        <v>0.26484532169586966</v>
      </c>
      <c r="L60" s="374">
        <f>'12ME Dec18 Norm Therms'!L181/'12ME Dec18 Norm Therms'!L$183</f>
        <v>0.30458184400566957</v>
      </c>
      <c r="M60" s="374">
        <f>'12ME Dec18 Norm Therms'!M181/'12ME Dec18 Norm Therms'!M$183</f>
        <v>0.25014390324780883</v>
      </c>
      <c r="N60" s="374">
        <f>'12ME Dec18 Norm Therms'!N181/'12ME Dec18 Norm Therms'!N$183</f>
        <v>0.26194065873468314</v>
      </c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</row>
    <row r="61" spans="1:42" x14ac:dyDescent="0.2">
      <c r="A61" s="130" t="s">
        <v>174</v>
      </c>
      <c r="B61" s="374">
        <f>'12ME Dec18 Norm Therms'!B182/'12ME Dec18 Norm Therms'!B$183</f>
        <v>0.49372498408280313</v>
      </c>
      <c r="C61" s="374">
        <f>'12ME Dec18 Norm Therms'!C182/'12ME Dec18 Norm Therms'!C$183</f>
        <v>0.51725740137770582</v>
      </c>
      <c r="D61" s="374">
        <f>'12ME Dec18 Norm Therms'!D182/'12ME Dec18 Norm Therms'!D$183</f>
        <v>0.55411647638139727</v>
      </c>
      <c r="E61" s="374">
        <f>'12ME Dec18 Norm Therms'!E182/'12ME Dec18 Norm Therms'!E$183</f>
        <v>0.49094503156461644</v>
      </c>
      <c r="F61" s="374">
        <f>'12ME Dec18 Norm Therms'!F182/'12ME Dec18 Norm Therms'!F$183</f>
        <v>0.50320188597989923</v>
      </c>
      <c r="G61" s="374">
        <f>'12ME Dec18 Norm Therms'!G182/'12ME Dec18 Norm Therms'!G$183</f>
        <v>0.46468458751286251</v>
      </c>
      <c r="H61" s="374">
        <f>'12ME Dec18 Norm Therms'!H182/'12ME Dec18 Norm Therms'!H$183</f>
        <v>0.53086120409016524</v>
      </c>
      <c r="I61" s="374">
        <f>'12ME Dec18 Norm Therms'!I182/'12ME Dec18 Norm Therms'!I$183</f>
        <v>0.52742237518375468</v>
      </c>
      <c r="J61" s="374">
        <f>'12ME Dec18 Norm Therms'!J182/'12ME Dec18 Norm Therms'!J$183</f>
        <v>0.47199957460034597</v>
      </c>
      <c r="K61" s="374">
        <f>'12ME Dec18 Norm Therms'!K182/'12ME Dec18 Norm Therms'!K$183</f>
        <v>0.48650329765953904</v>
      </c>
      <c r="L61" s="374">
        <f>'12ME Dec18 Norm Therms'!L182/'12ME Dec18 Norm Therms'!L$183</f>
        <v>0.41729653355412727</v>
      </c>
      <c r="M61" s="374">
        <f>'12ME Dec18 Norm Therms'!M182/'12ME Dec18 Norm Therms'!M$183</f>
        <v>0.52837511296844442</v>
      </c>
      <c r="N61" s="374">
        <f>'12ME Dec18 Norm Therms'!N182/'12ME Dec18 Norm Therms'!N$183</f>
        <v>0.50138463786110921</v>
      </c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</row>
    <row r="62" spans="1:42" x14ac:dyDescent="0.2">
      <c r="A62" s="130" t="s">
        <v>6</v>
      </c>
      <c r="B62" s="375">
        <f>SUM(B56:B61)</f>
        <v>1</v>
      </c>
      <c r="C62" s="375">
        <f t="shared" ref="C62:N62" si="8">SUM(C56:C61)</f>
        <v>0.99999999999999989</v>
      </c>
      <c r="D62" s="375">
        <f t="shared" si="8"/>
        <v>1</v>
      </c>
      <c r="E62" s="375">
        <f t="shared" si="8"/>
        <v>1</v>
      </c>
      <c r="F62" s="375">
        <f t="shared" si="8"/>
        <v>1</v>
      </c>
      <c r="G62" s="375">
        <f t="shared" si="8"/>
        <v>1</v>
      </c>
      <c r="H62" s="375">
        <f t="shared" si="8"/>
        <v>1</v>
      </c>
      <c r="I62" s="375">
        <f t="shared" si="8"/>
        <v>1</v>
      </c>
      <c r="J62" s="375">
        <f t="shared" si="8"/>
        <v>1.0000000000000002</v>
      </c>
      <c r="K62" s="375">
        <f t="shared" si="8"/>
        <v>0.99999999999999989</v>
      </c>
      <c r="L62" s="375">
        <f t="shared" si="8"/>
        <v>1</v>
      </c>
      <c r="M62" s="375">
        <f t="shared" si="8"/>
        <v>1</v>
      </c>
      <c r="N62" s="375">
        <f t="shared" si="8"/>
        <v>1</v>
      </c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</row>
    <row r="63" spans="1:42" ht="15" x14ac:dyDescent="0.25">
      <c r="A63" s="130"/>
      <c r="B63" s="376"/>
      <c r="C63" s="376"/>
      <c r="D63" s="376"/>
      <c r="E63" s="376"/>
      <c r="F63" s="376"/>
      <c r="G63" s="376"/>
      <c r="H63" s="376"/>
      <c r="I63" s="376"/>
      <c r="J63" s="376"/>
      <c r="K63" s="376"/>
      <c r="L63" s="376"/>
      <c r="M63" s="376"/>
      <c r="N63" s="376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</row>
    <row r="65" spans="2:13" x14ac:dyDescent="0.2"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</row>
    <row r="66" spans="2:13" x14ac:dyDescent="0.2"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</row>
  </sheetData>
  <printOptions horizontalCentered="1"/>
  <pageMargins left="0.5" right="0.5" top="1" bottom="1" header="0.5" footer="0.5"/>
  <pageSetup scale="78" fitToHeight="2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1" manualBreakCount="1">
    <brk id="18" max="1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86"/>
  <sheetViews>
    <sheetView zoomScaleNormal="100" workbookViewId="0">
      <selection activeCell="R18" sqref="R18"/>
    </sheetView>
  </sheetViews>
  <sheetFormatPr defaultColWidth="9.140625" defaultRowHeight="12.75" x14ac:dyDescent="0.2"/>
  <cols>
    <col min="1" max="1" width="25.7109375" style="235" customWidth="1"/>
    <col min="2" max="2" width="12.85546875" style="235" bestFit="1" customWidth="1"/>
    <col min="3" max="13" width="11.5703125" style="235" bestFit="1" customWidth="1"/>
    <col min="14" max="14" width="13.42578125" style="235" customWidth="1"/>
    <col min="15" max="15" width="9.140625" style="235" customWidth="1"/>
    <col min="16" max="27" width="10.42578125" style="235" bestFit="1" customWidth="1"/>
    <col min="28" max="28" width="11.42578125" style="235" bestFit="1" customWidth="1"/>
    <col min="29" max="16384" width="9.140625" style="235"/>
  </cols>
  <sheetData>
    <row r="1" spans="1:14" x14ac:dyDescent="0.2">
      <c r="A1" s="235" t="s">
        <v>0</v>
      </c>
    </row>
    <row r="2" spans="1:14" x14ac:dyDescent="0.2">
      <c r="A2" s="235" t="s">
        <v>185</v>
      </c>
    </row>
    <row r="4" spans="1:14" x14ac:dyDescent="0.2">
      <c r="A4" s="202" t="s">
        <v>162</v>
      </c>
      <c r="B4" s="384">
        <f>'12ME Dec18 Cal Bill Freq'!B4</f>
        <v>43101</v>
      </c>
      <c r="C4" s="384">
        <f>'12ME Dec18 Cal Bill Freq'!C4</f>
        <v>43132</v>
      </c>
      <c r="D4" s="384">
        <f>'12ME Dec18 Cal Bill Freq'!D4</f>
        <v>43160</v>
      </c>
      <c r="E4" s="384">
        <f>'12ME Dec18 Cal Bill Freq'!E4</f>
        <v>43191</v>
      </c>
      <c r="F4" s="384">
        <f>'12ME Dec18 Cal Bill Freq'!F4</f>
        <v>43221</v>
      </c>
      <c r="G4" s="384">
        <f>'12ME Dec18 Cal Bill Freq'!G4</f>
        <v>43252</v>
      </c>
      <c r="H4" s="384">
        <f>'12ME Dec18 Cal Bill Freq'!H4</f>
        <v>43282</v>
      </c>
      <c r="I4" s="384">
        <f>'12ME Dec18 Cal Bill Freq'!I4</f>
        <v>43313</v>
      </c>
      <c r="J4" s="384">
        <f>'12ME Dec18 Cal Bill Freq'!J4</f>
        <v>43344</v>
      </c>
      <c r="K4" s="384">
        <f>'12ME Dec18 Cal Bill Freq'!K4</f>
        <v>43374</v>
      </c>
      <c r="L4" s="384">
        <f>'12ME Dec18 Cal Bill Freq'!L4</f>
        <v>43405</v>
      </c>
      <c r="M4" s="384">
        <f>'12ME Dec18 Cal Bill Freq'!M4</f>
        <v>43435</v>
      </c>
      <c r="N4" s="204" t="s">
        <v>190</v>
      </c>
    </row>
    <row r="5" spans="1:14" x14ac:dyDescent="0.2">
      <c r="A5" s="133" t="s">
        <v>176</v>
      </c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</row>
    <row r="6" spans="1:14" x14ac:dyDescent="0.2">
      <c r="A6" s="130" t="s">
        <v>177</v>
      </c>
      <c r="B6" s="222">
        <f>'12ME Dec18 Cal Bill Freq'!B6</f>
        <v>1157860.787</v>
      </c>
      <c r="C6" s="222">
        <f>'12ME Dec18 Cal Bill Freq'!C6</f>
        <v>1062897.169</v>
      </c>
      <c r="D6" s="222">
        <f>'12ME Dec18 Cal Bill Freq'!D6</f>
        <v>1190628.3959999999</v>
      </c>
      <c r="E6" s="222">
        <f>'12ME Dec18 Cal Bill Freq'!E6</f>
        <v>1151419.365</v>
      </c>
      <c r="F6" s="222">
        <f>'12ME Dec18 Cal Bill Freq'!F6</f>
        <v>1077430.378</v>
      </c>
      <c r="G6" s="222">
        <f>'12ME Dec18 Cal Bill Freq'!G6</f>
        <v>966074.72600000002</v>
      </c>
      <c r="H6" s="222">
        <f>'12ME Dec18 Cal Bill Freq'!H6</f>
        <v>863644.65399999998</v>
      </c>
      <c r="I6" s="222">
        <f>'12ME Dec18 Cal Bill Freq'!I6</f>
        <v>850144.36899999995</v>
      </c>
      <c r="J6" s="222">
        <f>'12ME Dec18 Cal Bill Freq'!J6</f>
        <v>967051.33</v>
      </c>
      <c r="K6" s="222">
        <f>'12ME Dec18 Cal Bill Freq'!K6</f>
        <v>1134151.9990000001</v>
      </c>
      <c r="L6" s="222">
        <f>'12ME Dec18 Cal Bill Freq'!L6</f>
        <v>1072971.0560000001</v>
      </c>
      <c r="M6" s="222">
        <f>'12ME Dec18 Cal Bill Freq'!M6</f>
        <v>1130552.78</v>
      </c>
      <c r="N6" s="196">
        <f>SUM(B6:M6)</f>
        <v>12624827.009</v>
      </c>
    </row>
    <row r="7" spans="1:14" x14ac:dyDescent="0.2">
      <c r="A7" s="130" t="s">
        <v>165</v>
      </c>
      <c r="B7" s="222">
        <f>'12ME Dec18 Cal Bill Freq'!B7</f>
        <v>3303141.4559999998</v>
      </c>
      <c r="C7" s="222">
        <f>'12ME Dec18 Cal Bill Freq'!C7</f>
        <v>3137631.9730000002</v>
      </c>
      <c r="D7" s="222">
        <f>'12ME Dec18 Cal Bill Freq'!D7</f>
        <v>3158410.909</v>
      </c>
      <c r="E7" s="222">
        <f>'12ME Dec18 Cal Bill Freq'!E7</f>
        <v>2445868.233</v>
      </c>
      <c r="F7" s="222">
        <f>'12ME Dec18 Cal Bill Freq'!F7</f>
        <v>1638537.1980000001</v>
      </c>
      <c r="G7" s="222">
        <f>'12ME Dec18 Cal Bill Freq'!G7</f>
        <v>1355732.45</v>
      </c>
      <c r="H7" s="222">
        <f>'12ME Dec18 Cal Bill Freq'!H7</f>
        <v>1033411.358</v>
      </c>
      <c r="I7" s="222">
        <f>'12ME Dec18 Cal Bill Freq'!I7</f>
        <v>1082181.5919999999</v>
      </c>
      <c r="J7" s="222">
        <f>'12ME Dec18 Cal Bill Freq'!J7</f>
        <v>1409827.925</v>
      </c>
      <c r="K7" s="222">
        <f>'12ME Dec18 Cal Bill Freq'!K7</f>
        <v>2190772.8220000002</v>
      </c>
      <c r="L7" s="222">
        <f>'12ME Dec18 Cal Bill Freq'!L7</f>
        <v>2820768.46</v>
      </c>
      <c r="M7" s="222">
        <f>'12ME Dec18 Cal Bill Freq'!M7</f>
        <v>3282874.6510000001</v>
      </c>
      <c r="N7" s="196">
        <f t="shared" ref="N7:N8" si="0">SUM(B7:M7)</f>
        <v>26859159.027000003</v>
      </c>
    </row>
    <row r="8" spans="1:14" x14ac:dyDescent="0.2">
      <c r="A8" s="130" t="s">
        <v>166</v>
      </c>
      <c r="B8" s="196">
        <f>B9-SUM(B6:B7)</f>
        <v>2753328.693</v>
      </c>
      <c r="C8" s="196">
        <f t="shared" ref="C8:M8" si="1">C9-SUM(C6:C7)</f>
        <v>1792675.5080000004</v>
      </c>
      <c r="D8" s="196">
        <f t="shared" si="1"/>
        <v>1916392.3890000004</v>
      </c>
      <c r="E8" s="196">
        <f t="shared" si="1"/>
        <v>1331585.0180000002</v>
      </c>
      <c r="F8" s="196">
        <f t="shared" si="1"/>
        <v>1071279.4620000003</v>
      </c>
      <c r="G8" s="196">
        <f t="shared" si="1"/>
        <v>591398.96600000001</v>
      </c>
      <c r="H8" s="196">
        <f t="shared" si="1"/>
        <v>394033.57299999986</v>
      </c>
      <c r="I8" s="196">
        <f t="shared" si="1"/>
        <v>390338.848</v>
      </c>
      <c r="J8" s="196">
        <f t="shared" si="1"/>
        <v>534051.92499999981</v>
      </c>
      <c r="K8" s="196">
        <f t="shared" si="1"/>
        <v>959223.90000000037</v>
      </c>
      <c r="L8" s="196">
        <f t="shared" si="1"/>
        <v>2037503.642</v>
      </c>
      <c r="M8" s="196">
        <f t="shared" si="1"/>
        <v>2649520.3780000005</v>
      </c>
      <c r="N8" s="196">
        <f t="shared" si="0"/>
        <v>16421332.301999999</v>
      </c>
    </row>
    <row r="9" spans="1:14" x14ac:dyDescent="0.2">
      <c r="A9" s="130" t="s">
        <v>6</v>
      </c>
      <c r="B9" s="222">
        <f>'12ME Dec18 Weather Adj'!D174</f>
        <v>7214330.9359999998</v>
      </c>
      <c r="C9" s="222">
        <f>'12ME Dec18 Weather Adj'!E174</f>
        <v>5993204.6500000004</v>
      </c>
      <c r="D9" s="222">
        <f>'12ME Dec18 Weather Adj'!F174</f>
        <v>6265431.6940000001</v>
      </c>
      <c r="E9" s="222">
        <f>'12ME Dec18 Weather Adj'!G174</f>
        <v>4928872.6160000004</v>
      </c>
      <c r="F9" s="222">
        <f>'12ME Dec18 Weather Adj'!H174</f>
        <v>3787247.0380000006</v>
      </c>
      <c r="G9" s="222">
        <f>'12ME Dec18 Weather Adj'!I174</f>
        <v>2913206.142</v>
      </c>
      <c r="H9" s="222">
        <f>'12ME Dec18 Weather Adj'!J174</f>
        <v>2291089.585</v>
      </c>
      <c r="I9" s="222">
        <f>'12ME Dec18 Weather Adj'!K174</f>
        <v>2322664.8089999999</v>
      </c>
      <c r="J9" s="222">
        <f>'12ME Dec18 Weather Adj'!L174</f>
        <v>2910931.1799999997</v>
      </c>
      <c r="K9" s="222">
        <f>'12ME Dec18 Weather Adj'!M174</f>
        <v>4284148.7210000008</v>
      </c>
      <c r="L9" s="222">
        <f>'12ME Dec18 Weather Adj'!N174</f>
        <v>5931243.1579999998</v>
      </c>
      <c r="M9" s="222">
        <f>'12ME Dec18 Weather Adj'!O174</f>
        <v>7062947.8090000004</v>
      </c>
      <c r="N9" s="196">
        <f>SUM(N6:N8)</f>
        <v>55905318.338</v>
      </c>
    </row>
    <row r="10" spans="1:14" s="196" customFormat="1" x14ac:dyDescent="0.2">
      <c r="A10" s="130"/>
    </row>
    <row r="11" spans="1:14" x14ac:dyDescent="0.2">
      <c r="A11" s="130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</row>
    <row r="12" spans="1:14" x14ac:dyDescent="0.2">
      <c r="A12" s="133" t="s">
        <v>178</v>
      </c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</row>
    <row r="13" spans="1:14" x14ac:dyDescent="0.2">
      <c r="A13" s="130" t="s">
        <v>177</v>
      </c>
      <c r="B13" s="222">
        <f>'12ME Dec18 Cal Bill Freq'!B13</f>
        <v>65669.274000000005</v>
      </c>
      <c r="C13" s="222">
        <f>'12ME Dec18 Cal Bill Freq'!C13</f>
        <v>62094.766000000003</v>
      </c>
      <c r="D13" s="222">
        <f>'12ME Dec18 Cal Bill Freq'!D13</f>
        <v>67369.051000000007</v>
      </c>
      <c r="E13" s="222">
        <f>'12ME Dec18 Cal Bill Freq'!E13</f>
        <v>65894.456000000006</v>
      </c>
      <c r="F13" s="222">
        <f>'12ME Dec18 Cal Bill Freq'!F13</f>
        <v>64675.387999999999</v>
      </c>
      <c r="G13" s="222">
        <f>'12ME Dec18 Cal Bill Freq'!G13</f>
        <v>61151.807999999997</v>
      </c>
      <c r="H13" s="222">
        <f>'12ME Dec18 Cal Bill Freq'!H13</f>
        <v>61940.180999999997</v>
      </c>
      <c r="I13" s="222">
        <f>'12ME Dec18 Cal Bill Freq'!I13</f>
        <v>59770.63</v>
      </c>
      <c r="J13" s="222">
        <f>'12ME Dec18 Cal Bill Freq'!J13</f>
        <v>60770.59</v>
      </c>
      <c r="K13" s="222">
        <f>'12ME Dec18 Cal Bill Freq'!K13</f>
        <v>65126.904000000002</v>
      </c>
      <c r="L13" s="222">
        <f>'12ME Dec18 Cal Bill Freq'!L13</f>
        <v>63637.646999999997</v>
      </c>
      <c r="M13" s="222">
        <f>'12ME Dec18 Cal Bill Freq'!M13</f>
        <v>64926.135000000002</v>
      </c>
      <c r="N13" s="196">
        <f t="shared" ref="N13:N15" si="2">SUM(B13:M13)</f>
        <v>763026.83</v>
      </c>
    </row>
    <row r="14" spans="1:14" x14ac:dyDescent="0.2">
      <c r="A14" s="130" t="s">
        <v>165</v>
      </c>
      <c r="B14" s="222">
        <f>'12ME Dec18 Cal Bill Freq'!B14</f>
        <v>251095.27799999999</v>
      </c>
      <c r="C14" s="222">
        <f>'12ME Dec18 Cal Bill Freq'!C14</f>
        <v>239327.72</v>
      </c>
      <c r="D14" s="222">
        <f>'12ME Dec18 Cal Bill Freq'!D14</f>
        <v>254583.26</v>
      </c>
      <c r="E14" s="222">
        <f>'12ME Dec18 Cal Bill Freq'!E14</f>
        <v>240732.26</v>
      </c>
      <c r="F14" s="222">
        <f>'12ME Dec18 Cal Bill Freq'!F14</f>
        <v>216649.454</v>
      </c>
      <c r="G14" s="222">
        <f>'12ME Dec18 Cal Bill Freq'!G14</f>
        <v>200600.78700000001</v>
      </c>
      <c r="H14" s="222">
        <f>'12ME Dec18 Cal Bill Freq'!H14</f>
        <v>197316.31099999999</v>
      </c>
      <c r="I14" s="222">
        <f>'12ME Dec18 Cal Bill Freq'!I14</f>
        <v>198654.87700000001</v>
      </c>
      <c r="J14" s="222">
        <f>'12ME Dec18 Cal Bill Freq'!J14</f>
        <v>200092.91099999999</v>
      </c>
      <c r="K14" s="222">
        <f>'12ME Dec18 Cal Bill Freq'!K14</f>
        <v>226034.67800000001</v>
      </c>
      <c r="L14" s="222">
        <f>'12ME Dec18 Cal Bill Freq'!L14</f>
        <v>240614.43299999999</v>
      </c>
      <c r="M14" s="222">
        <f>'12ME Dec18 Cal Bill Freq'!M14</f>
        <v>247202.34099999999</v>
      </c>
      <c r="N14" s="196">
        <f t="shared" si="2"/>
        <v>2712904.3100000005</v>
      </c>
    </row>
    <row r="15" spans="1:14" x14ac:dyDescent="0.2">
      <c r="A15" s="130" t="s">
        <v>166</v>
      </c>
      <c r="B15" s="196">
        <f>B16-SUM(B13:B14)</f>
        <v>668159.36899999995</v>
      </c>
      <c r="C15" s="196">
        <f t="shared" ref="C15:M15" si="3">C16-SUM(C13:C14)</f>
        <v>579906.53700000001</v>
      </c>
      <c r="D15" s="196">
        <f t="shared" si="3"/>
        <v>599326.31599999999</v>
      </c>
      <c r="E15" s="196">
        <f t="shared" si="3"/>
        <v>513261.34400000004</v>
      </c>
      <c r="F15" s="196">
        <f t="shared" si="3"/>
        <v>443799.62199999992</v>
      </c>
      <c r="G15" s="196">
        <f t="shared" si="3"/>
        <v>409142.10499999998</v>
      </c>
      <c r="H15" s="196">
        <f t="shared" si="3"/>
        <v>378981.63699999999</v>
      </c>
      <c r="I15" s="196">
        <f t="shared" si="3"/>
        <v>386200.58600000001</v>
      </c>
      <c r="J15" s="196">
        <f t="shared" si="3"/>
        <v>401768.76400000002</v>
      </c>
      <c r="K15" s="196">
        <f t="shared" si="3"/>
        <v>511455.20699999999</v>
      </c>
      <c r="L15" s="196">
        <f t="shared" si="3"/>
        <v>605654.84299999999</v>
      </c>
      <c r="M15" s="196">
        <f t="shared" si="3"/>
        <v>618958.75</v>
      </c>
      <c r="N15" s="196">
        <f t="shared" si="2"/>
        <v>6116615.080000001</v>
      </c>
    </row>
    <row r="16" spans="1:14" x14ac:dyDescent="0.2">
      <c r="A16" s="130" t="s">
        <v>6</v>
      </c>
      <c r="B16" s="222">
        <f>'12ME Dec18 Weather Adj'!D182</f>
        <v>984923.92099999997</v>
      </c>
      <c r="C16" s="222">
        <f>'12ME Dec18 Weather Adj'!E182</f>
        <v>881329.02300000004</v>
      </c>
      <c r="D16" s="222">
        <f>'12ME Dec18 Weather Adj'!F182</f>
        <v>921278.62699999998</v>
      </c>
      <c r="E16" s="222">
        <f>'12ME Dec18 Weather Adj'!G182</f>
        <v>819888.06</v>
      </c>
      <c r="F16" s="222">
        <f>'12ME Dec18 Weather Adj'!H182</f>
        <v>725124.46399999992</v>
      </c>
      <c r="G16" s="222">
        <f>'12ME Dec18 Weather Adj'!I182</f>
        <v>670894.69999999995</v>
      </c>
      <c r="H16" s="222">
        <f>'12ME Dec18 Weather Adj'!J182</f>
        <v>638238.12899999996</v>
      </c>
      <c r="I16" s="222">
        <f>'12ME Dec18 Weather Adj'!K182</f>
        <v>644626.09299999999</v>
      </c>
      <c r="J16" s="222">
        <f>'12ME Dec18 Weather Adj'!L182</f>
        <v>662632.26500000001</v>
      </c>
      <c r="K16" s="222">
        <f>'12ME Dec18 Weather Adj'!M182</f>
        <v>802616.78899999999</v>
      </c>
      <c r="L16" s="222">
        <f>'12ME Dec18 Weather Adj'!N182</f>
        <v>909906.92299999995</v>
      </c>
      <c r="M16" s="222">
        <f>'12ME Dec18 Weather Adj'!O182</f>
        <v>931087.22600000002</v>
      </c>
      <c r="N16" s="196">
        <f>SUM(N13:N15)</f>
        <v>9592546.2200000025</v>
      </c>
    </row>
    <row r="17" spans="1:14" s="196" customFormat="1" x14ac:dyDescent="0.2">
      <c r="A17" s="130"/>
    </row>
    <row r="18" spans="1:14" x14ac:dyDescent="0.2">
      <c r="A18" s="130"/>
      <c r="B18" s="196"/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</row>
    <row r="19" spans="1:14" x14ac:dyDescent="0.2">
      <c r="A19" s="235" t="s">
        <v>179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</row>
    <row r="20" spans="1:14" x14ac:dyDescent="0.2">
      <c r="A20" s="130" t="s">
        <v>88</v>
      </c>
      <c r="B20" s="222">
        <f>'12ME Dec18 Cal Bill Freq'!B34</f>
        <v>619196.05900000001</v>
      </c>
      <c r="C20" s="222">
        <f>'12ME Dec18 Cal Bill Freq'!C34</f>
        <v>596871.32700000005</v>
      </c>
      <c r="D20" s="222">
        <f>'12ME Dec18 Cal Bill Freq'!D34</f>
        <v>628194.80700000003</v>
      </c>
      <c r="E20" s="222">
        <f>'12ME Dec18 Cal Bill Freq'!E34</f>
        <v>590443.04700000002</v>
      </c>
      <c r="F20" s="222">
        <f>'12ME Dec18 Cal Bill Freq'!F34</f>
        <v>535177.755</v>
      </c>
      <c r="G20" s="222">
        <f>'12ME Dec18 Cal Bill Freq'!G34</f>
        <v>468885.17200000002</v>
      </c>
      <c r="H20" s="222">
        <f>'12ME Dec18 Cal Bill Freq'!H34</f>
        <v>443831.57</v>
      </c>
      <c r="I20" s="222">
        <f>'12ME Dec18 Cal Bill Freq'!I34</f>
        <v>428218.26799999998</v>
      </c>
      <c r="J20" s="222">
        <f>'12ME Dec18 Cal Bill Freq'!J34</f>
        <v>466664.57299999997</v>
      </c>
      <c r="K20" s="222">
        <f>'12ME Dec18 Cal Bill Freq'!K34</f>
        <v>542784.20499999996</v>
      </c>
      <c r="L20" s="222">
        <f>'12ME Dec18 Cal Bill Freq'!L34</f>
        <v>569972.35800000001</v>
      </c>
      <c r="M20" s="222">
        <f>'12ME Dec18 Cal Bill Freq'!M34</f>
        <v>596222.05000000005</v>
      </c>
      <c r="N20" s="196">
        <f t="shared" ref="N20:N22" si="4">SUM(B20:M20)</f>
        <v>6486461.1909999996</v>
      </c>
    </row>
    <row r="21" spans="1:14" x14ac:dyDescent="0.2">
      <c r="A21" s="130" t="s">
        <v>89</v>
      </c>
      <c r="B21" s="222">
        <f>'12ME Dec18 Cal Bill Freq'!B35</f>
        <v>453670.63400000002</v>
      </c>
      <c r="C21" s="222">
        <f>'12ME Dec18 Cal Bill Freq'!C35</f>
        <v>395277.45</v>
      </c>
      <c r="D21" s="222">
        <f>'12ME Dec18 Cal Bill Freq'!D35</f>
        <v>414001.36099999998</v>
      </c>
      <c r="E21" s="222">
        <f>'12ME Dec18 Cal Bill Freq'!E35</f>
        <v>295900.73800000001</v>
      </c>
      <c r="F21" s="222">
        <f>'12ME Dec18 Cal Bill Freq'!F35</f>
        <v>251734.97399999999</v>
      </c>
      <c r="G21" s="222">
        <f>'12ME Dec18 Cal Bill Freq'!G35</f>
        <v>216769.435</v>
      </c>
      <c r="H21" s="222">
        <f>'12ME Dec18 Cal Bill Freq'!H35</f>
        <v>175131.28700000001</v>
      </c>
      <c r="I21" s="222">
        <f>'12ME Dec18 Cal Bill Freq'!I35</f>
        <v>190024.038</v>
      </c>
      <c r="J21" s="222">
        <f>'12ME Dec18 Cal Bill Freq'!J35</f>
        <v>225308.853</v>
      </c>
      <c r="K21" s="222">
        <f>'12ME Dec18 Cal Bill Freq'!K35</f>
        <v>283762.011</v>
      </c>
      <c r="L21" s="222">
        <f>'12ME Dec18 Cal Bill Freq'!L35</f>
        <v>326194.69799999997</v>
      </c>
      <c r="M21" s="222">
        <f>'12ME Dec18 Cal Bill Freq'!M35</f>
        <v>385924.52899999998</v>
      </c>
      <c r="N21" s="196">
        <f t="shared" si="4"/>
        <v>3613700.0080000004</v>
      </c>
    </row>
    <row r="22" spans="1:14" x14ac:dyDescent="0.2">
      <c r="A22" s="130" t="s">
        <v>169</v>
      </c>
      <c r="B22" s="196">
        <f>B23-SUM(B20:B21)</f>
        <v>707958.24600000004</v>
      </c>
      <c r="C22" s="196">
        <f t="shared" ref="C22:M22" si="5">C23-SUM(C20:C21)</f>
        <v>544230.76100000017</v>
      </c>
      <c r="D22" s="196">
        <f t="shared" si="5"/>
        <v>601794.96799999988</v>
      </c>
      <c r="E22" s="196">
        <f t="shared" si="5"/>
        <v>364419.35099999991</v>
      </c>
      <c r="F22" s="196">
        <f t="shared" si="5"/>
        <v>133322.15700000001</v>
      </c>
      <c r="G22" s="196">
        <f t="shared" si="5"/>
        <v>47470.895000000019</v>
      </c>
      <c r="H22" s="196">
        <f t="shared" si="5"/>
        <v>27513.770000000019</v>
      </c>
      <c r="I22" s="196">
        <f t="shared" si="5"/>
        <v>87994.886999999988</v>
      </c>
      <c r="J22" s="196">
        <f t="shared" si="5"/>
        <v>148801.91399999999</v>
      </c>
      <c r="K22" s="196">
        <f t="shared" si="5"/>
        <v>292087.82400000002</v>
      </c>
      <c r="L22" s="196">
        <f t="shared" si="5"/>
        <v>497319.84500000009</v>
      </c>
      <c r="M22" s="196">
        <f t="shared" si="5"/>
        <v>666072.97699999984</v>
      </c>
      <c r="N22" s="196">
        <f t="shared" si="4"/>
        <v>4118987.5950000002</v>
      </c>
    </row>
    <row r="23" spans="1:14" x14ac:dyDescent="0.2">
      <c r="A23" s="130" t="s">
        <v>6</v>
      </c>
      <c r="B23" s="222">
        <f>'12ME Dec18 Weather Adj'!D178</f>
        <v>1780824.939</v>
      </c>
      <c r="C23" s="222">
        <f>'12ME Dec18 Weather Adj'!E178</f>
        <v>1536379.5380000002</v>
      </c>
      <c r="D23" s="222">
        <f>'12ME Dec18 Weather Adj'!F178</f>
        <v>1643991.1359999999</v>
      </c>
      <c r="E23" s="222">
        <f>'12ME Dec18 Weather Adj'!G178</f>
        <v>1250763.1359999999</v>
      </c>
      <c r="F23" s="222">
        <f>'12ME Dec18 Weather Adj'!H178</f>
        <v>920234.88600000006</v>
      </c>
      <c r="G23" s="222">
        <f>'12ME Dec18 Weather Adj'!I178</f>
        <v>733125.50200000009</v>
      </c>
      <c r="H23" s="222">
        <f>'12ME Dec18 Weather Adj'!J178</f>
        <v>646476.62700000009</v>
      </c>
      <c r="I23" s="222">
        <f>'12ME Dec18 Weather Adj'!K178</f>
        <v>706237.19299999997</v>
      </c>
      <c r="J23" s="222">
        <f>'12ME Dec18 Weather Adj'!L178</f>
        <v>840775.34</v>
      </c>
      <c r="K23" s="222">
        <f>'12ME Dec18 Weather Adj'!M178</f>
        <v>1118634.04</v>
      </c>
      <c r="L23" s="222">
        <f>'12ME Dec18 Weather Adj'!N178</f>
        <v>1393486.9010000001</v>
      </c>
      <c r="M23" s="222">
        <f>'12ME Dec18 Weather Adj'!O178</f>
        <v>1648219.5559999999</v>
      </c>
      <c r="N23" s="196">
        <f>SUM(N20:N22)</f>
        <v>14219148.794000002</v>
      </c>
    </row>
    <row r="24" spans="1:14" s="196" customFormat="1" x14ac:dyDescent="0.2">
      <c r="A24" s="130"/>
    </row>
    <row r="25" spans="1:14" x14ac:dyDescent="0.2">
      <c r="A25" s="130"/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</row>
    <row r="26" spans="1:14" x14ac:dyDescent="0.2">
      <c r="A26" s="235" t="s">
        <v>180</v>
      </c>
      <c r="B26" s="196"/>
      <c r="C26" s="196"/>
      <c r="D26" s="196"/>
      <c r="E26" s="196"/>
      <c r="F26" s="196"/>
      <c r="G26" s="196"/>
      <c r="H26" s="196"/>
      <c r="I26" s="196"/>
      <c r="J26" s="196"/>
      <c r="K26" s="196"/>
      <c r="L26" s="196"/>
      <c r="M26" s="196"/>
    </row>
    <row r="27" spans="1:14" x14ac:dyDescent="0.2">
      <c r="A27" s="130" t="s">
        <v>88</v>
      </c>
      <c r="B27" s="222">
        <f>'12ME Dec18 Cal Bill Freq'!B41</f>
        <v>100694.553</v>
      </c>
      <c r="C27" s="222">
        <f>'12ME Dec18 Cal Bill Freq'!C41</f>
        <v>95970.812999999995</v>
      </c>
      <c r="D27" s="222">
        <f>'12ME Dec18 Cal Bill Freq'!D41</f>
        <v>99781.682000000001</v>
      </c>
      <c r="E27" s="222">
        <f>'12ME Dec18 Cal Bill Freq'!E41</f>
        <v>100107.56</v>
      </c>
      <c r="F27" s="222">
        <f>'12ME Dec18 Cal Bill Freq'!F41</f>
        <v>91522.342999999993</v>
      </c>
      <c r="G27" s="222">
        <f>'12ME Dec18 Cal Bill Freq'!G41</f>
        <v>87325.294999999998</v>
      </c>
      <c r="H27" s="222">
        <f>'12ME Dec18 Cal Bill Freq'!H41</f>
        <v>87420.232999999993</v>
      </c>
      <c r="I27" s="222">
        <f>'12ME Dec18 Cal Bill Freq'!I41</f>
        <v>84955.983999999997</v>
      </c>
      <c r="J27" s="222">
        <f>'12ME Dec18 Cal Bill Freq'!J41</f>
        <v>87181.396999999997</v>
      </c>
      <c r="K27" s="222">
        <f>'12ME Dec18 Cal Bill Freq'!K41</f>
        <v>97589.463000000003</v>
      </c>
      <c r="L27" s="222">
        <f>'12ME Dec18 Cal Bill Freq'!L41</f>
        <v>99931.167000000001</v>
      </c>
      <c r="M27" s="222">
        <f>'12ME Dec18 Cal Bill Freq'!M41</f>
        <v>98679.991999999998</v>
      </c>
      <c r="N27" s="196">
        <f t="shared" ref="N27:N29" si="6">SUM(B27:M27)</f>
        <v>1131160.4820000001</v>
      </c>
    </row>
    <row r="28" spans="1:14" x14ac:dyDescent="0.2">
      <c r="A28" s="130" t="s">
        <v>89</v>
      </c>
      <c r="B28" s="222">
        <f>'12ME Dec18 Cal Bill Freq'!B42</f>
        <v>47232.860999999997</v>
      </c>
      <c r="C28" s="222">
        <f>'12ME Dec18 Cal Bill Freq'!C42</f>
        <v>41418.798999999999</v>
      </c>
      <c r="D28" s="222">
        <f>'12ME Dec18 Cal Bill Freq'!D42</f>
        <v>37198.016000000003</v>
      </c>
      <c r="E28" s="222">
        <f>'12ME Dec18 Cal Bill Freq'!E42</f>
        <v>47052.500999999997</v>
      </c>
      <c r="F28" s="222">
        <f>'12ME Dec18 Cal Bill Freq'!F42</f>
        <v>35115.035000000003</v>
      </c>
      <c r="G28" s="222">
        <f>'12ME Dec18 Cal Bill Freq'!G42</f>
        <v>26116.065999999999</v>
      </c>
      <c r="H28" s="222">
        <f>'12ME Dec18 Cal Bill Freq'!H42</f>
        <v>17378.296999999999</v>
      </c>
      <c r="I28" s="222">
        <f>'12ME Dec18 Cal Bill Freq'!I42</f>
        <v>27399.663</v>
      </c>
      <c r="J28" s="222">
        <f>'12ME Dec18 Cal Bill Freq'!J42</f>
        <v>23531.300999999999</v>
      </c>
      <c r="K28" s="222">
        <f>'12ME Dec18 Cal Bill Freq'!K42</f>
        <v>30406.374</v>
      </c>
      <c r="L28" s="222">
        <f>'12ME Dec18 Cal Bill Freq'!L42</f>
        <v>32106.988000000001</v>
      </c>
      <c r="M28" s="222">
        <f>'12ME Dec18 Cal Bill Freq'!M42</f>
        <v>42625.913999999997</v>
      </c>
      <c r="N28" s="196">
        <f t="shared" si="6"/>
        <v>407581.815</v>
      </c>
    </row>
    <row r="29" spans="1:14" x14ac:dyDescent="0.2">
      <c r="A29" s="130" t="s">
        <v>169</v>
      </c>
      <c r="B29" s="196">
        <f>B30-SUM(B27:B28)</f>
        <v>4855.9159999999974</v>
      </c>
      <c r="C29" s="196">
        <f t="shared" ref="C29:M29" si="7">C30-SUM(C27:C28)</f>
        <v>6754.8839999999909</v>
      </c>
      <c r="D29" s="196">
        <f t="shared" si="7"/>
        <v>8416.9130000000005</v>
      </c>
      <c r="E29" s="196">
        <f t="shared" si="7"/>
        <v>2528.7159999999858</v>
      </c>
      <c r="F29" s="196">
        <f t="shared" si="7"/>
        <v>76.122000000003027</v>
      </c>
      <c r="G29" s="196">
        <f t="shared" si="7"/>
        <v>0</v>
      </c>
      <c r="H29" s="196">
        <f t="shared" si="7"/>
        <v>0</v>
      </c>
      <c r="I29" s="196">
        <f t="shared" si="7"/>
        <v>0</v>
      </c>
      <c r="J29" s="196">
        <f t="shared" si="7"/>
        <v>0</v>
      </c>
      <c r="K29" s="196">
        <f t="shared" si="7"/>
        <v>0</v>
      </c>
      <c r="L29" s="196">
        <f t="shared" si="7"/>
        <v>718.98999999999069</v>
      </c>
      <c r="M29" s="196">
        <f t="shared" si="7"/>
        <v>6755.9219999999914</v>
      </c>
      <c r="N29" s="196">
        <f t="shared" si="6"/>
        <v>30107.46299999996</v>
      </c>
    </row>
    <row r="30" spans="1:14" x14ac:dyDescent="0.2">
      <c r="A30" s="130" t="s">
        <v>6</v>
      </c>
      <c r="B30" s="222">
        <f>'12ME Dec18 Weather Adj'!D191</f>
        <v>152783.32999999999</v>
      </c>
      <c r="C30" s="222">
        <f>'12ME Dec18 Weather Adj'!E191</f>
        <v>144144.49599999998</v>
      </c>
      <c r="D30" s="222">
        <f>'12ME Dec18 Weather Adj'!F191</f>
        <v>145396.611</v>
      </c>
      <c r="E30" s="222">
        <f>'12ME Dec18 Weather Adj'!G191</f>
        <v>149688.77699999997</v>
      </c>
      <c r="F30" s="222">
        <f>'12ME Dec18 Weather Adj'!H191</f>
        <v>126713.5</v>
      </c>
      <c r="G30" s="222">
        <f>'12ME Dec18 Weather Adj'!I191</f>
        <v>113441.361</v>
      </c>
      <c r="H30" s="222">
        <f>'12ME Dec18 Weather Adj'!J191</f>
        <v>104798.53</v>
      </c>
      <c r="I30" s="222">
        <f>'12ME Dec18 Weather Adj'!K191</f>
        <v>112355.647</v>
      </c>
      <c r="J30" s="222">
        <f>'12ME Dec18 Weather Adj'!L191</f>
        <v>110712.698</v>
      </c>
      <c r="K30" s="222">
        <f>'12ME Dec18 Weather Adj'!M191</f>
        <v>127995.837</v>
      </c>
      <c r="L30" s="222">
        <f>'12ME Dec18 Weather Adj'!N191</f>
        <v>132757.14499999999</v>
      </c>
      <c r="M30" s="222">
        <f>'12ME Dec18 Weather Adj'!O191</f>
        <v>148061.82799999998</v>
      </c>
      <c r="N30" s="196">
        <f>SUM(N27:N29)</f>
        <v>1568849.76</v>
      </c>
    </row>
    <row r="31" spans="1:14" s="196" customFormat="1" x14ac:dyDescent="0.2">
      <c r="A31" s="130"/>
    </row>
    <row r="32" spans="1:14" x14ac:dyDescent="0.2">
      <c r="A32" s="130"/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</row>
    <row r="33" spans="1:14" x14ac:dyDescent="0.2">
      <c r="A33" s="130" t="s">
        <v>181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</row>
    <row r="34" spans="1:14" x14ac:dyDescent="0.2">
      <c r="A34" s="130" t="s">
        <v>94</v>
      </c>
      <c r="B34" s="222">
        <f>'12ME Dec18 Cal Bill Freq'!B62</f>
        <v>210017.342</v>
      </c>
      <c r="C34" s="222">
        <f>'12ME Dec18 Cal Bill Freq'!C62</f>
        <v>192508.152</v>
      </c>
      <c r="D34" s="222">
        <f>'12ME Dec18 Cal Bill Freq'!D62</f>
        <v>216360.37599999999</v>
      </c>
      <c r="E34" s="222">
        <f>'12ME Dec18 Cal Bill Freq'!E62</f>
        <v>203132.302</v>
      </c>
      <c r="F34" s="222">
        <f>'12ME Dec18 Cal Bill Freq'!F62</f>
        <v>162482.503</v>
      </c>
      <c r="G34" s="222">
        <f>'12ME Dec18 Cal Bill Freq'!G62</f>
        <v>123157.363</v>
      </c>
      <c r="H34" s="222">
        <f>'12ME Dec18 Cal Bill Freq'!H62</f>
        <v>86435.752999999997</v>
      </c>
      <c r="I34" s="222">
        <f>'12ME Dec18 Cal Bill Freq'!I62</f>
        <v>87632.289000000004</v>
      </c>
      <c r="J34" s="222">
        <f>'12ME Dec18 Cal Bill Freq'!J62</f>
        <v>136355.29800000001</v>
      </c>
      <c r="K34" s="222">
        <f>'12ME Dec18 Cal Bill Freq'!K62</f>
        <v>193894.08100000001</v>
      </c>
      <c r="L34" s="222">
        <f>'12ME Dec18 Cal Bill Freq'!L62</f>
        <v>191672.98499999999</v>
      </c>
      <c r="M34" s="222">
        <f>'12ME Dec18 Cal Bill Freq'!M62</f>
        <v>203239.495</v>
      </c>
      <c r="N34" s="196">
        <f t="shared" ref="N34:N35" si="8">SUM(B34:M34)</f>
        <v>2006887.9390000002</v>
      </c>
    </row>
    <row r="35" spans="1:14" x14ac:dyDescent="0.2">
      <c r="A35" s="130" t="s">
        <v>172</v>
      </c>
      <c r="B35" s="196">
        <f>B36-B34</f>
        <v>1048708.067</v>
      </c>
      <c r="C35" s="196">
        <f t="shared" ref="C35:M35" si="9">C36-C34</f>
        <v>857230.8060000001</v>
      </c>
      <c r="D35" s="196">
        <f t="shared" si="9"/>
        <v>893805.53799999994</v>
      </c>
      <c r="E35" s="196">
        <f t="shared" si="9"/>
        <v>639624.26699999999</v>
      </c>
      <c r="F35" s="196">
        <f t="shared" si="9"/>
        <v>310924.28099999996</v>
      </c>
      <c r="G35" s="196">
        <f t="shared" si="9"/>
        <v>190049.43099999998</v>
      </c>
      <c r="H35" s="196">
        <f t="shared" si="9"/>
        <v>127068.16</v>
      </c>
      <c r="I35" s="196">
        <f t="shared" si="9"/>
        <v>119660.74200000001</v>
      </c>
      <c r="J35" s="196">
        <f t="shared" si="9"/>
        <v>210281.18800000002</v>
      </c>
      <c r="K35" s="196">
        <f t="shared" si="9"/>
        <v>484194.10899999994</v>
      </c>
      <c r="L35" s="196">
        <f t="shared" si="9"/>
        <v>735731.94900000002</v>
      </c>
      <c r="M35" s="196">
        <f t="shared" si="9"/>
        <v>937012.48699999985</v>
      </c>
      <c r="N35" s="196">
        <f t="shared" si="8"/>
        <v>6554291.0250000004</v>
      </c>
    </row>
    <row r="36" spans="1:14" x14ac:dyDescent="0.2">
      <c r="A36" s="130" t="s">
        <v>6</v>
      </c>
      <c r="B36" s="222">
        <f>'12ME Dec18 Weather Adj'!D179</f>
        <v>1258725.409</v>
      </c>
      <c r="C36" s="222">
        <f>'12ME Dec18 Weather Adj'!E179</f>
        <v>1049738.9580000001</v>
      </c>
      <c r="D36" s="222">
        <f>'12ME Dec18 Weather Adj'!F179</f>
        <v>1110165.9139999999</v>
      </c>
      <c r="E36" s="222">
        <f>'12ME Dec18 Weather Adj'!G179</f>
        <v>842756.56900000002</v>
      </c>
      <c r="F36" s="222">
        <f>'12ME Dec18 Weather Adj'!H179</f>
        <v>473406.78399999999</v>
      </c>
      <c r="G36" s="222">
        <f>'12ME Dec18 Weather Adj'!I179</f>
        <v>313206.79399999999</v>
      </c>
      <c r="H36" s="222">
        <f>'12ME Dec18 Weather Adj'!J179</f>
        <v>213503.913</v>
      </c>
      <c r="I36" s="222">
        <f>'12ME Dec18 Weather Adj'!K179</f>
        <v>207293.03100000002</v>
      </c>
      <c r="J36" s="222">
        <f>'12ME Dec18 Weather Adj'!L179</f>
        <v>346636.48600000003</v>
      </c>
      <c r="K36" s="222">
        <f>'12ME Dec18 Weather Adj'!M179</f>
        <v>678088.19</v>
      </c>
      <c r="L36" s="222">
        <f>'12ME Dec18 Weather Adj'!N179</f>
        <v>927404.93400000001</v>
      </c>
      <c r="M36" s="222">
        <f>'12ME Dec18 Weather Adj'!O179</f>
        <v>1140251.9819999998</v>
      </c>
      <c r="N36" s="196">
        <f>SUM(N34:N35)</f>
        <v>8561178.9640000015</v>
      </c>
    </row>
    <row r="37" spans="1:14" x14ac:dyDescent="0.2">
      <c r="A37" s="130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</row>
    <row r="38" spans="1:14" x14ac:dyDescent="0.2">
      <c r="A38" s="130"/>
      <c r="B38" s="196"/>
      <c r="C38" s="196"/>
      <c r="D38" s="196"/>
      <c r="E38" s="196"/>
      <c r="F38" s="196"/>
      <c r="G38" s="196"/>
      <c r="H38" s="196"/>
      <c r="I38" s="196"/>
      <c r="J38" s="196"/>
      <c r="K38" s="196"/>
      <c r="L38" s="196"/>
      <c r="M38" s="196"/>
    </row>
    <row r="39" spans="1:14" x14ac:dyDescent="0.2">
      <c r="A39" s="196" t="s">
        <v>182</v>
      </c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</row>
    <row r="40" spans="1:14" x14ac:dyDescent="0.2">
      <c r="A40" s="130" t="s">
        <v>94</v>
      </c>
      <c r="B40" s="222">
        <f>'12ME Dec18 Cal Bill Freq'!B68</f>
        <v>4058.5680000000002</v>
      </c>
      <c r="C40" s="222">
        <f>'12ME Dec18 Cal Bill Freq'!C68</f>
        <v>4688.7169999999996</v>
      </c>
      <c r="D40" s="222">
        <f>'12ME Dec18 Cal Bill Freq'!D68</f>
        <v>5155.1409999999996</v>
      </c>
      <c r="E40" s="222">
        <f>'12ME Dec18 Cal Bill Freq'!E68</f>
        <v>5215.2560000000003</v>
      </c>
      <c r="F40" s="222">
        <f>'12ME Dec18 Cal Bill Freq'!F68</f>
        <v>3869.3560000000002</v>
      </c>
      <c r="G40" s="222">
        <f>'12ME Dec18 Cal Bill Freq'!G68</f>
        <v>3194.134</v>
      </c>
      <c r="H40" s="222">
        <f>'12ME Dec18 Cal Bill Freq'!H68</f>
        <v>2335.8000000000002</v>
      </c>
      <c r="I40" s="222">
        <f>'12ME Dec18 Cal Bill Freq'!I68</f>
        <v>2776.384</v>
      </c>
      <c r="J40" s="222">
        <f>'12ME Dec18 Cal Bill Freq'!J68</f>
        <v>3057.7080000000001</v>
      </c>
      <c r="K40" s="222">
        <f>'12ME Dec18 Cal Bill Freq'!K68</f>
        <v>4160.5870000000004</v>
      </c>
      <c r="L40" s="222">
        <f>'12ME Dec18 Cal Bill Freq'!L68</f>
        <v>4757.6880000000001</v>
      </c>
      <c r="M40" s="222">
        <f>'12ME Dec18 Cal Bill Freq'!M68</f>
        <v>4093.989</v>
      </c>
      <c r="N40" s="196">
        <f t="shared" ref="N40:N41" si="10">SUM(B40:M40)</f>
        <v>47363.328000000001</v>
      </c>
    </row>
    <row r="41" spans="1:14" x14ac:dyDescent="0.2">
      <c r="A41" s="130" t="s">
        <v>172</v>
      </c>
      <c r="B41" s="196">
        <f>B42-B40</f>
        <v>13643.699000000001</v>
      </c>
      <c r="C41" s="196">
        <f t="shared" ref="C41:M41" si="11">C42-C40</f>
        <v>14034.593999999997</v>
      </c>
      <c r="D41" s="196">
        <f t="shared" si="11"/>
        <v>11875.316000000003</v>
      </c>
      <c r="E41" s="196">
        <f t="shared" si="11"/>
        <v>16755.670999999998</v>
      </c>
      <c r="F41" s="196">
        <f t="shared" si="11"/>
        <v>7262.5600000000013</v>
      </c>
      <c r="G41" s="196">
        <f t="shared" si="11"/>
        <v>5377.2150000000001</v>
      </c>
      <c r="H41" s="196">
        <f t="shared" si="11"/>
        <v>4122.5860000000002</v>
      </c>
      <c r="I41" s="196">
        <f t="shared" si="11"/>
        <v>4935.8450000000003</v>
      </c>
      <c r="J41" s="196">
        <f t="shared" si="11"/>
        <v>13150.194</v>
      </c>
      <c r="K41" s="196">
        <f t="shared" si="11"/>
        <v>20148.001</v>
      </c>
      <c r="L41" s="196">
        <f t="shared" si="11"/>
        <v>16598.176999999996</v>
      </c>
      <c r="M41" s="196">
        <f t="shared" si="11"/>
        <v>16190.643000000002</v>
      </c>
      <c r="N41" s="196">
        <f t="shared" si="10"/>
        <v>144094.50099999999</v>
      </c>
    </row>
    <row r="42" spans="1:14" x14ac:dyDescent="0.2">
      <c r="A42" s="130" t="s">
        <v>6</v>
      </c>
      <c r="B42" s="222">
        <f>'12ME Dec18 Weather Adj'!D192</f>
        <v>17702.267</v>
      </c>
      <c r="C42" s="222">
        <f>'12ME Dec18 Weather Adj'!E192</f>
        <v>18723.310999999998</v>
      </c>
      <c r="D42" s="222">
        <f>'12ME Dec18 Weather Adj'!F192</f>
        <v>17030.457000000002</v>
      </c>
      <c r="E42" s="222">
        <f>'12ME Dec18 Weather Adj'!G192</f>
        <v>21970.927</v>
      </c>
      <c r="F42" s="222">
        <f>'12ME Dec18 Weather Adj'!H192</f>
        <v>11131.916000000001</v>
      </c>
      <c r="G42" s="222">
        <f>'12ME Dec18 Weather Adj'!I192</f>
        <v>8571.3490000000002</v>
      </c>
      <c r="H42" s="222">
        <f>'12ME Dec18 Weather Adj'!J192</f>
        <v>6458.3860000000004</v>
      </c>
      <c r="I42" s="222">
        <f>'12ME Dec18 Weather Adj'!K192</f>
        <v>7712.2290000000003</v>
      </c>
      <c r="J42" s="222">
        <f>'12ME Dec18 Weather Adj'!L192</f>
        <v>16207.902</v>
      </c>
      <c r="K42" s="222">
        <f>'12ME Dec18 Weather Adj'!M192</f>
        <v>24308.588</v>
      </c>
      <c r="L42" s="222">
        <f>'12ME Dec18 Weather Adj'!N192</f>
        <v>21355.864999999998</v>
      </c>
      <c r="M42" s="222">
        <f>'12ME Dec18 Weather Adj'!O192</f>
        <v>20284.632000000001</v>
      </c>
      <c r="N42" s="196">
        <f>SUM(N40:N41)</f>
        <v>191457.829</v>
      </c>
    </row>
    <row r="43" spans="1:14" x14ac:dyDescent="0.2">
      <c r="A43" s="130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</row>
    <row r="44" spans="1:14" x14ac:dyDescent="0.2">
      <c r="A44" s="130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</row>
    <row r="45" spans="1:14" x14ac:dyDescent="0.2">
      <c r="A45" s="235" t="s">
        <v>183</v>
      </c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</row>
    <row r="46" spans="1:14" x14ac:dyDescent="0.2">
      <c r="A46" s="130" t="s">
        <v>88</v>
      </c>
      <c r="B46" s="222">
        <f>'12ME Dec18 Cal Bill Freq'!B80</f>
        <v>126044.556</v>
      </c>
      <c r="C46" s="222">
        <f>'12ME Dec18 Cal Bill Freq'!C80</f>
        <v>121455.628</v>
      </c>
      <c r="D46" s="222">
        <f>'12ME Dec18 Cal Bill Freq'!D80</f>
        <v>125000</v>
      </c>
      <c r="E46" s="222">
        <f>'12ME Dec18 Cal Bill Freq'!E80</f>
        <v>124138</v>
      </c>
      <c r="F46" s="222">
        <f>'12ME Dec18 Cal Bill Freq'!F80</f>
        <v>127528.666</v>
      </c>
      <c r="G46" s="222">
        <f>'12ME Dec18 Cal Bill Freq'!G80</f>
        <v>121720.43</v>
      </c>
      <c r="H46" s="222">
        <f>'12ME Dec18 Cal Bill Freq'!H80</f>
        <v>127474.97199999999</v>
      </c>
      <c r="I46" s="222">
        <f>'12ME Dec18 Cal Bill Freq'!I80</f>
        <v>127471.266</v>
      </c>
      <c r="J46" s="222">
        <f>'12ME Dec18 Cal Bill Freq'!J80</f>
        <v>123229.166</v>
      </c>
      <c r="K46" s="222">
        <f>'12ME Dec18 Cal Bill Freq'!K80</f>
        <v>126023.5</v>
      </c>
      <c r="L46" s="222">
        <f>'12ME Dec18 Cal Bill Freq'!L80</f>
        <v>125747.334</v>
      </c>
      <c r="M46" s="222">
        <f>'12ME Dec18 Cal Bill Freq'!M80</f>
        <v>124791.666</v>
      </c>
      <c r="N46" s="196">
        <f t="shared" ref="N46:N51" si="12">SUM(B46:M46)</f>
        <v>1500625.1839999999</v>
      </c>
    </row>
    <row r="47" spans="1:14" s="196" customFormat="1" x14ac:dyDescent="0.2">
      <c r="A47" s="130" t="s">
        <v>89</v>
      </c>
      <c r="B47" s="222">
        <f>'12ME Dec18 Cal Bill Freq'!B81</f>
        <v>126044.005</v>
      </c>
      <c r="C47" s="222">
        <f>'12ME Dec18 Cal Bill Freq'!C81</f>
        <v>121455.628</v>
      </c>
      <c r="D47" s="222">
        <f>'12ME Dec18 Cal Bill Freq'!D81</f>
        <v>125000</v>
      </c>
      <c r="E47" s="222">
        <f>'12ME Dec18 Cal Bill Freq'!E81</f>
        <v>124138</v>
      </c>
      <c r="F47" s="222">
        <f>'12ME Dec18 Cal Bill Freq'!F81</f>
        <v>127528.666</v>
      </c>
      <c r="G47" s="222">
        <f>'12ME Dec18 Cal Bill Freq'!G81</f>
        <v>112863.99</v>
      </c>
      <c r="H47" s="222">
        <f>'12ME Dec18 Cal Bill Freq'!H81</f>
        <v>116478.465</v>
      </c>
      <c r="I47" s="222">
        <f>'12ME Dec18 Cal Bill Freq'!I81</f>
        <v>117538.98299999999</v>
      </c>
      <c r="J47" s="222">
        <f>'12ME Dec18 Cal Bill Freq'!J81</f>
        <v>123229.166</v>
      </c>
      <c r="K47" s="222">
        <f>'12ME Dec18 Cal Bill Freq'!K81</f>
        <v>126023.5</v>
      </c>
      <c r="L47" s="222">
        <f>'12ME Dec18 Cal Bill Freq'!L81</f>
        <v>125747.334</v>
      </c>
      <c r="M47" s="222">
        <f>'12ME Dec18 Cal Bill Freq'!M81</f>
        <v>124791.666</v>
      </c>
      <c r="N47" s="196">
        <f t="shared" si="12"/>
        <v>1470839.4029999999</v>
      </c>
    </row>
    <row r="48" spans="1:14" x14ac:dyDescent="0.2">
      <c r="A48" s="130" t="s">
        <v>99</v>
      </c>
      <c r="B48" s="222">
        <f>'12ME Dec18 Cal Bill Freq'!B82</f>
        <v>252089.111</v>
      </c>
      <c r="C48" s="222">
        <f>'12ME Dec18 Cal Bill Freq'!C82</f>
        <v>242911.25599999999</v>
      </c>
      <c r="D48" s="222">
        <f>'12ME Dec18 Cal Bill Freq'!D82</f>
        <v>250000</v>
      </c>
      <c r="E48" s="222">
        <f>'12ME Dec18 Cal Bill Freq'!E82</f>
        <v>248276</v>
      </c>
      <c r="F48" s="222">
        <f>'12ME Dec18 Cal Bill Freq'!F82</f>
        <v>197462.139</v>
      </c>
      <c r="G48" s="222">
        <f>'12ME Dec18 Cal Bill Freq'!G82</f>
        <v>175211.476</v>
      </c>
      <c r="H48" s="222">
        <f>'12ME Dec18 Cal Bill Freq'!H82</f>
        <v>162170.50099999999</v>
      </c>
      <c r="I48" s="222">
        <f>'12ME Dec18 Cal Bill Freq'!I82</f>
        <v>143109.87599999999</v>
      </c>
      <c r="J48" s="222">
        <f>'12ME Dec18 Cal Bill Freq'!J82</f>
        <v>179104.89199999999</v>
      </c>
      <c r="K48" s="222">
        <f>'12ME Dec18 Cal Bill Freq'!K82</f>
        <v>252047</v>
      </c>
      <c r="L48" s="222">
        <f>'12ME Dec18 Cal Bill Freq'!L82</f>
        <v>251494.666</v>
      </c>
      <c r="M48" s="222">
        <f>'12ME Dec18 Cal Bill Freq'!M82</f>
        <v>249583.334</v>
      </c>
      <c r="N48" s="196">
        <f t="shared" si="12"/>
        <v>2603460.2510000002</v>
      </c>
    </row>
    <row r="49" spans="1:14" x14ac:dyDescent="0.2">
      <c r="A49" s="130" t="s">
        <v>100</v>
      </c>
      <c r="B49" s="222">
        <f>'12ME Dec18 Cal Bill Freq'!B83</f>
        <v>394483.83799999999</v>
      </c>
      <c r="C49" s="222">
        <f>'12ME Dec18 Cal Bill Freq'!C83</f>
        <v>439683.32199999999</v>
      </c>
      <c r="D49" s="222">
        <f>'12ME Dec18 Cal Bill Freq'!D83</f>
        <v>443482.08899999998</v>
      </c>
      <c r="E49" s="222">
        <f>'12ME Dec18 Cal Bill Freq'!E83</f>
        <v>318372.07799999998</v>
      </c>
      <c r="F49" s="222">
        <f>'12ME Dec18 Cal Bill Freq'!F83</f>
        <v>167686.50099999999</v>
      </c>
      <c r="G49" s="222">
        <f>'12ME Dec18 Cal Bill Freq'!G83</f>
        <v>115520.219</v>
      </c>
      <c r="H49" s="222">
        <f>'12ME Dec18 Cal Bill Freq'!H83</f>
        <v>101089.102</v>
      </c>
      <c r="I49" s="222">
        <f>'12ME Dec18 Cal Bill Freq'!I83</f>
        <v>105912.84600000001</v>
      </c>
      <c r="J49" s="222">
        <f>'12ME Dec18 Cal Bill Freq'!J83</f>
        <v>137262.06</v>
      </c>
      <c r="K49" s="222">
        <f>'12ME Dec18 Cal Bill Freq'!K83</f>
        <v>241102.802</v>
      </c>
      <c r="L49" s="222">
        <f>'12ME Dec18 Cal Bill Freq'!L83</f>
        <v>336367.91100000002</v>
      </c>
      <c r="M49" s="222">
        <f>'12ME Dec18 Cal Bill Freq'!M83</f>
        <v>396153.761</v>
      </c>
      <c r="N49" s="196">
        <f t="shared" si="12"/>
        <v>3197116.5289999996</v>
      </c>
    </row>
    <row r="50" spans="1:14" x14ac:dyDescent="0.2">
      <c r="A50" s="130" t="s">
        <v>101</v>
      </c>
      <c r="B50" s="222">
        <f>'12ME Dec18 Cal Bill Freq'!B84</f>
        <v>336549.57699999999</v>
      </c>
      <c r="C50" s="222">
        <f>'12ME Dec18 Cal Bill Freq'!C84</f>
        <v>311044.71799999999</v>
      </c>
      <c r="D50" s="222">
        <f>'12ME Dec18 Cal Bill Freq'!D84</f>
        <v>310532.62800000003</v>
      </c>
      <c r="E50" s="222">
        <f>'12ME Dec18 Cal Bill Freq'!E84</f>
        <v>310431.10800000001</v>
      </c>
      <c r="F50" s="222">
        <f>'12ME Dec18 Cal Bill Freq'!F84</f>
        <v>300000</v>
      </c>
      <c r="G50" s="222">
        <f>'12ME Dec18 Cal Bill Freq'!G84</f>
        <v>300000</v>
      </c>
      <c r="H50" s="222">
        <f>'12ME Dec18 Cal Bill Freq'!H84</f>
        <v>300000</v>
      </c>
      <c r="I50" s="222">
        <f>'12ME Dec18 Cal Bill Freq'!I84</f>
        <v>300000</v>
      </c>
      <c r="J50" s="222">
        <f>'12ME Dec18 Cal Bill Freq'!J84</f>
        <v>300000</v>
      </c>
      <c r="K50" s="222">
        <f>'12ME Dec18 Cal Bill Freq'!K84</f>
        <v>300000</v>
      </c>
      <c r="L50" s="222">
        <f>'12ME Dec18 Cal Bill Freq'!L84</f>
        <v>323394.09700000001</v>
      </c>
      <c r="M50" s="222">
        <f>'12ME Dec18 Cal Bill Freq'!M84</f>
        <v>347184.614</v>
      </c>
      <c r="N50" s="196">
        <f t="shared" si="12"/>
        <v>3739136.7420000001</v>
      </c>
    </row>
    <row r="51" spans="1:14" x14ac:dyDescent="0.2">
      <c r="A51" s="130" t="s">
        <v>174</v>
      </c>
      <c r="B51" s="196">
        <f>B52-SUM(B46:B50)</f>
        <v>1346884.32</v>
      </c>
      <c r="C51" s="196">
        <f t="shared" ref="C51:M51" si="13">C52-SUM(C46:C50)</f>
        <v>1217319.21</v>
      </c>
      <c r="D51" s="196">
        <f t="shared" si="13"/>
        <v>1178005.6599999999</v>
      </c>
      <c r="E51" s="196">
        <f t="shared" si="13"/>
        <v>949314.73</v>
      </c>
      <c r="F51" s="196">
        <f t="shared" si="13"/>
        <v>565504.23</v>
      </c>
      <c r="G51" s="196">
        <f t="shared" si="13"/>
        <v>605234.98</v>
      </c>
      <c r="H51" s="196">
        <f t="shared" si="13"/>
        <v>473068.27</v>
      </c>
      <c r="I51" s="196">
        <f t="shared" si="13"/>
        <v>480992.35</v>
      </c>
      <c r="J51" s="196">
        <f t="shared" si="13"/>
        <v>509890.64999999991</v>
      </c>
      <c r="K51" s="196">
        <f t="shared" si="13"/>
        <v>711653.09</v>
      </c>
      <c r="L51" s="196">
        <f t="shared" si="13"/>
        <v>989687.91999999993</v>
      </c>
      <c r="M51" s="196">
        <f t="shared" si="13"/>
        <v>1342990.14</v>
      </c>
      <c r="N51" s="196">
        <f t="shared" si="12"/>
        <v>10370545.550000001</v>
      </c>
    </row>
    <row r="52" spans="1:14" x14ac:dyDescent="0.2">
      <c r="A52" s="130" t="s">
        <v>6</v>
      </c>
      <c r="B52" s="222">
        <f>'12ME Dec18 Weather Adj'!D180</f>
        <v>2582095.4070000001</v>
      </c>
      <c r="C52" s="222">
        <f>'12ME Dec18 Weather Adj'!E180</f>
        <v>2453869.7620000001</v>
      </c>
      <c r="D52" s="222">
        <f>'12ME Dec18 Weather Adj'!F180</f>
        <v>2432020.3769999999</v>
      </c>
      <c r="E52" s="222">
        <f>'12ME Dec18 Weather Adj'!G180</f>
        <v>2074669.916</v>
      </c>
      <c r="F52" s="222">
        <f>'12ME Dec18 Weather Adj'!H180</f>
        <v>1485710.202</v>
      </c>
      <c r="G52" s="222">
        <f>'12ME Dec18 Weather Adj'!I180</f>
        <v>1430551.095</v>
      </c>
      <c r="H52" s="222">
        <f>'12ME Dec18 Weather Adj'!J180</f>
        <v>1280281.31</v>
      </c>
      <c r="I52" s="222">
        <f>'12ME Dec18 Weather Adj'!K180</f>
        <v>1275025.321</v>
      </c>
      <c r="J52" s="222">
        <f>'12ME Dec18 Weather Adj'!L180</f>
        <v>1372715.9339999999</v>
      </c>
      <c r="K52" s="222">
        <f>'12ME Dec18 Weather Adj'!M180</f>
        <v>1756849.892</v>
      </c>
      <c r="L52" s="222">
        <f>'12ME Dec18 Weather Adj'!N180</f>
        <v>2152439.2620000001</v>
      </c>
      <c r="M52" s="222">
        <f>'12ME Dec18 Weather Adj'!O180</f>
        <v>2585495.1809999999</v>
      </c>
      <c r="N52" s="196">
        <f>SUM(N46:N51)</f>
        <v>22881723.659000002</v>
      </c>
    </row>
    <row r="53" spans="1:14" x14ac:dyDescent="0.2">
      <c r="A53" s="130"/>
      <c r="B53" s="196"/>
      <c r="C53" s="196"/>
      <c r="D53" s="196"/>
      <c r="E53" s="196"/>
      <c r="F53" s="196"/>
      <c r="G53" s="196"/>
      <c r="H53" s="196"/>
      <c r="I53" s="196"/>
      <c r="J53" s="196"/>
      <c r="K53" s="196"/>
      <c r="L53" s="196"/>
      <c r="M53" s="196"/>
    </row>
    <row r="54" spans="1:14" x14ac:dyDescent="0.2">
      <c r="A54" s="130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</row>
    <row r="55" spans="1:14" x14ac:dyDescent="0.2">
      <c r="A55" s="235" t="s">
        <v>184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</row>
    <row r="56" spans="1:14" x14ac:dyDescent="0.2">
      <c r="A56" s="130" t="s">
        <v>88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f t="shared" ref="N56:N61" si="14">SUM(B56:M56)</f>
        <v>0</v>
      </c>
    </row>
    <row r="57" spans="1:14" x14ac:dyDescent="0.2">
      <c r="A57" s="130" t="s">
        <v>89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f t="shared" si="14"/>
        <v>0</v>
      </c>
    </row>
    <row r="58" spans="1:14" x14ac:dyDescent="0.2">
      <c r="A58" s="130" t="s">
        <v>99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f t="shared" si="14"/>
        <v>0</v>
      </c>
    </row>
    <row r="59" spans="1:14" x14ac:dyDescent="0.2">
      <c r="A59" s="130" t="s">
        <v>100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f t="shared" si="14"/>
        <v>0</v>
      </c>
    </row>
    <row r="60" spans="1:14" x14ac:dyDescent="0.2">
      <c r="A60" s="130" t="s">
        <v>101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f t="shared" si="14"/>
        <v>0</v>
      </c>
    </row>
    <row r="61" spans="1:14" x14ac:dyDescent="0.2">
      <c r="A61" s="130" t="s">
        <v>174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f t="shared" si="14"/>
        <v>0</v>
      </c>
    </row>
    <row r="62" spans="1:14" x14ac:dyDescent="0.2">
      <c r="A62" s="130" t="s">
        <v>6</v>
      </c>
      <c r="B62" s="196">
        <f t="shared" ref="B62" si="15">SUM(B56:B61)</f>
        <v>0</v>
      </c>
      <c r="C62" s="196">
        <f t="shared" ref="C62:M62" si="16">SUM(C56:C61)</f>
        <v>0</v>
      </c>
      <c r="D62" s="196">
        <f t="shared" si="16"/>
        <v>0</v>
      </c>
      <c r="E62" s="196">
        <f t="shared" si="16"/>
        <v>0</v>
      </c>
      <c r="F62" s="196">
        <f t="shared" si="16"/>
        <v>0</v>
      </c>
      <c r="G62" s="196">
        <f t="shared" si="16"/>
        <v>0</v>
      </c>
      <c r="H62" s="196">
        <f t="shared" si="16"/>
        <v>0</v>
      </c>
      <c r="I62" s="196">
        <f t="shared" si="16"/>
        <v>0</v>
      </c>
      <c r="J62" s="196">
        <f t="shared" si="16"/>
        <v>0</v>
      </c>
      <c r="K62" s="196">
        <f t="shared" si="16"/>
        <v>0</v>
      </c>
      <c r="L62" s="196">
        <f t="shared" si="16"/>
        <v>0</v>
      </c>
      <c r="M62" s="196">
        <f t="shared" si="16"/>
        <v>0</v>
      </c>
      <c r="N62" s="196">
        <f>SUM(N56:N61)</f>
        <v>0</v>
      </c>
    </row>
    <row r="65" spans="1:27" x14ac:dyDescent="0.2">
      <c r="A65" s="130" t="s">
        <v>163</v>
      </c>
      <c r="B65" s="196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O65" s="130"/>
    </row>
    <row r="66" spans="1:27" x14ac:dyDescent="0.2">
      <c r="A66" s="130" t="s">
        <v>164</v>
      </c>
      <c r="B66" s="222">
        <f>'12ME Dec18 Cal Bill Freq'!B20</f>
        <v>69360</v>
      </c>
      <c r="C66" s="222">
        <f>'12ME Dec18 Cal Bill Freq'!C20</f>
        <v>70980</v>
      </c>
      <c r="D66" s="222">
        <f>'12ME Dec18 Cal Bill Freq'!D20</f>
        <v>71100</v>
      </c>
      <c r="E66" s="222">
        <f>'12ME Dec18 Cal Bill Freq'!E20</f>
        <v>72000</v>
      </c>
      <c r="F66" s="222">
        <f>'12ME Dec18 Cal Bill Freq'!F20</f>
        <v>71141.990000000005</v>
      </c>
      <c r="G66" s="222">
        <f>'12ME Dec18 Cal Bill Freq'!G20</f>
        <v>73679.11</v>
      </c>
      <c r="H66" s="222">
        <f>'12ME Dec18 Cal Bill Freq'!H20</f>
        <v>73057.41</v>
      </c>
      <c r="I66" s="222">
        <f>'12ME Dec18 Cal Bill Freq'!I20</f>
        <v>73251.44</v>
      </c>
      <c r="J66" s="222">
        <f>'12ME Dec18 Cal Bill Freq'!J20</f>
        <v>73935.649999999994</v>
      </c>
      <c r="K66" s="222">
        <f>'12ME Dec18 Cal Bill Freq'!K20</f>
        <v>74550.95</v>
      </c>
      <c r="L66" s="222">
        <f>'12ME Dec18 Cal Bill Freq'!L20</f>
        <v>73800</v>
      </c>
      <c r="M66" s="222">
        <f>'12ME Dec18 Cal Bill Freq'!M20</f>
        <v>73800</v>
      </c>
      <c r="N66" s="196">
        <f t="shared" ref="N66:N68" si="17">SUM(B66:M66)</f>
        <v>870656.54999999993</v>
      </c>
      <c r="P66" s="196"/>
      <c r="Q66" s="196"/>
      <c r="R66" s="196"/>
      <c r="S66" s="196"/>
      <c r="T66" s="196"/>
      <c r="U66" s="196"/>
      <c r="V66" s="196"/>
      <c r="W66" s="196"/>
      <c r="X66" s="196"/>
      <c r="Y66" s="196"/>
      <c r="Z66" s="196"/>
      <c r="AA66" s="196"/>
    </row>
    <row r="67" spans="1:27" x14ac:dyDescent="0.2">
      <c r="A67" s="130" t="s">
        <v>165</v>
      </c>
      <c r="B67" s="222">
        <f>'12ME Dec18 Cal Bill Freq'!B21</f>
        <v>278423.61</v>
      </c>
      <c r="C67" s="222">
        <f>'12ME Dec18 Cal Bill Freq'!C21</f>
        <v>284808.07</v>
      </c>
      <c r="D67" s="222">
        <f>'12ME Dec18 Cal Bill Freq'!D21</f>
        <v>280728.15999999997</v>
      </c>
      <c r="E67" s="222">
        <f>'12ME Dec18 Cal Bill Freq'!E21</f>
        <v>264094.78999999998</v>
      </c>
      <c r="F67" s="222">
        <f>'12ME Dec18 Cal Bill Freq'!F21</f>
        <v>236993.8</v>
      </c>
      <c r="G67" s="222">
        <f>'12ME Dec18 Cal Bill Freq'!G21</f>
        <v>237154.84</v>
      </c>
      <c r="H67" s="222">
        <f>'12ME Dec18 Cal Bill Freq'!H21</f>
        <v>224856.92</v>
      </c>
      <c r="I67" s="222">
        <f>'12ME Dec18 Cal Bill Freq'!I21</f>
        <v>224420.98</v>
      </c>
      <c r="J67" s="222">
        <f>'12ME Dec18 Cal Bill Freq'!J21</f>
        <v>234124.08</v>
      </c>
      <c r="K67" s="222">
        <f>'12ME Dec18 Cal Bill Freq'!K21</f>
        <v>272736.33</v>
      </c>
      <c r="L67" s="222">
        <f>'12ME Dec18 Cal Bill Freq'!L21</f>
        <v>284495.09999999998</v>
      </c>
      <c r="M67" s="222">
        <f>'12ME Dec18 Cal Bill Freq'!M21</f>
        <v>305615.93</v>
      </c>
      <c r="N67" s="196">
        <f t="shared" si="17"/>
        <v>3128452.6100000003</v>
      </c>
    </row>
    <row r="68" spans="1:27" x14ac:dyDescent="0.2">
      <c r="A68" s="130" t="s">
        <v>166</v>
      </c>
      <c r="B68" s="196">
        <f>B69-SUM(B66:B67)</f>
        <v>962148.78000000014</v>
      </c>
      <c r="C68" s="196">
        <f t="shared" ref="C68:M68" si="18">C69-SUM(C66:C67)</f>
        <v>831897.94</v>
      </c>
      <c r="D68" s="196">
        <f t="shared" si="18"/>
        <v>898639.7</v>
      </c>
      <c r="E68" s="196">
        <f t="shared" si="18"/>
        <v>797746.1399999999</v>
      </c>
      <c r="F68" s="196">
        <f t="shared" si="18"/>
        <v>774001.06</v>
      </c>
      <c r="G68" s="196">
        <f t="shared" si="18"/>
        <v>755805.3</v>
      </c>
      <c r="H68" s="196">
        <f t="shared" si="18"/>
        <v>736219.81</v>
      </c>
      <c r="I68" s="196">
        <f t="shared" si="18"/>
        <v>774383.43</v>
      </c>
      <c r="J68" s="196">
        <f t="shared" si="18"/>
        <v>716071.68</v>
      </c>
      <c r="K68" s="196">
        <f t="shared" si="18"/>
        <v>873920.19</v>
      </c>
      <c r="L68" s="196">
        <f t="shared" si="18"/>
        <v>957173.15</v>
      </c>
      <c r="M68" s="196">
        <f t="shared" si="18"/>
        <v>1050750.58</v>
      </c>
      <c r="N68" s="196">
        <f t="shared" si="17"/>
        <v>10128757.759999998</v>
      </c>
    </row>
    <row r="69" spans="1:27" x14ac:dyDescent="0.2">
      <c r="A69" s="130" t="s">
        <v>6</v>
      </c>
      <c r="B69" s="222">
        <f>'12ME Dec18 Weather Adj'!D175</f>
        <v>1309932.3900000001</v>
      </c>
      <c r="C69" s="222">
        <f>'12ME Dec18 Weather Adj'!E175</f>
        <v>1187686.01</v>
      </c>
      <c r="D69" s="222">
        <f>'12ME Dec18 Weather Adj'!F175</f>
        <v>1250467.8599999999</v>
      </c>
      <c r="E69" s="222">
        <f>'12ME Dec18 Weather Adj'!G175</f>
        <v>1133840.93</v>
      </c>
      <c r="F69" s="222">
        <f>'12ME Dec18 Weather Adj'!H175</f>
        <v>1082136.8500000001</v>
      </c>
      <c r="G69" s="222">
        <f>'12ME Dec18 Weather Adj'!I175</f>
        <v>1066639.25</v>
      </c>
      <c r="H69" s="222">
        <f>'12ME Dec18 Weather Adj'!J175</f>
        <v>1034134.1400000001</v>
      </c>
      <c r="I69" s="222">
        <f>'12ME Dec18 Weather Adj'!K175</f>
        <v>1072055.8500000001</v>
      </c>
      <c r="J69" s="222">
        <f>'12ME Dec18 Weather Adj'!L175</f>
        <v>1024131.41</v>
      </c>
      <c r="K69" s="222">
        <f>'12ME Dec18 Weather Adj'!M175</f>
        <v>1221207.47</v>
      </c>
      <c r="L69" s="222">
        <f>'12ME Dec18 Weather Adj'!N175</f>
        <v>1315468.25</v>
      </c>
      <c r="M69" s="222">
        <f>'12ME Dec18 Weather Adj'!O175</f>
        <v>1430166.51</v>
      </c>
      <c r="N69" s="196">
        <f>SUM(N66:N68)</f>
        <v>14127866.919999998</v>
      </c>
    </row>
    <row r="70" spans="1:27" x14ac:dyDescent="0.2">
      <c r="A70" s="196"/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</row>
    <row r="71" spans="1:27" x14ac:dyDescent="0.2">
      <c r="A71" s="130"/>
      <c r="B71" s="196"/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</row>
    <row r="72" spans="1:27" x14ac:dyDescent="0.2">
      <c r="A72" s="130" t="s">
        <v>167</v>
      </c>
      <c r="B72" s="196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</row>
    <row r="73" spans="1:27" x14ac:dyDescent="0.2">
      <c r="A73" s="130" t="s">
        <v>164</v>
      </c>
      <c r="B73" s="222">
        <f>'12ME Dec18 Cal Bill Freq'!B27</f>
        <v>23430</v>
      </c>
      <c r="C73" s="222">
        <f>'12ME Dec18 Cal Bill Freq'!C27</f>
        <v>23400</v>
      </c>
      <c r="D73" s="222">
        <f>'12ME Dec18 Cal Bill Freq'!D27</f>
        <v>23400</v>
      </c>
      <c r="E73" s="222">
        <f>'12ME Dec18 Cal Bill Freq'!E27</f>
        <v>22500</v>
      </c>
      <c r="F73" s="222">
        <f>'12ME Dec18 Cal Bill Freq'!F27</f>
        <v>20700</v>
      </c>
      <c r="G73" s="222">
        <f>'12ME Dec18 Cal Bill Freq'!G27</f>
        <v>20700</v>
      </c>
      <c r="H73" s="222">
        <f>'12ME Dec18 Cal Bill Freq'!H27</f>
        <v>20601.21</v>
      </c>
      <c r="I73" s="222">
        <f>'12ME Dec18 Cal Bill Freq'!I27</f>
        <v>20705.490000000002</v>
      </c>
      <c r="J73" s="222">
        <f>'12ME Dec18 Cal Bill Freq'!J27</f>
        <v>20754.060000000001</v>
      </c>
      <c r="K73" s="222">
        <f>'12ME Dec18 Cal Bill Freq'!K27</f>
        <v>21529.65</v>
      </c>
      <c r="L73" s="222">
        <f>'12ME Dec18 Cal Bill Freq'!L27</f>
        <v>20700</v>
      </c>
      <c r="M73" s="222">
        <f>'12ME Dec18 Cal Bill Freq'!M27</f>
        <v>20700</v>
      </c>
      <c r="N73" s="196">
        <f t="shared" ref="N73:N75" si="19">SUM(B73:M73)</f>
        <v>259120.40999999997</v>
      </c>
    </row>
    <row r="74" spans="1:27" x14ac:dyDescent="0.2">
      <c r="A74" s="130" t="s">
        <v>165</v>
      </c>
      <c r="B74" s="222">
        <f>'12ME Dec18 Cal Bill Freq'!B28</f>
        <v>105881.71</v>
      </c>
      <c r="C74" s="222">
        <f>'12ME Dec18 Cal Bill Freq'!C28</f>
        <v>104439.87</v>
      </c>
      <c r="D74" s="222">
        <f>'12ME Dec18 Cal Bill Freq'!D28</f>
        <v>104239.07</v>
      </c>
      <c r="E74" s="222">
        <f>'12ME Dec18 Cal Bill Freq'!E28</f>
        <v>100178.73</v>
      </c>
      <c r="F74" s="222">
        <f>'12ME Dec18 Cal Bill Freq'!F28</f>
        <v>91707.43</v>
      </c>
      <c r="G74" s="222">
        <f>'12ME Dec18 Cal Bill Freq'!G28</f>
        <v>89579.8</v>
      </c>
      <c r="H74" s="222">
        <f>'12ME Dec18 Cal Bill Freq'!H28</f>
        <v>89429.69</v>
      </c>
      <c r="I74" s="222">
        <f>'12ME Dec18 Cal Bill Freq'!I28</f>
        <v>91238.53</v>
      </c>
      <c r="J74" s="222">
        <f>'12ME Dec18 Cal Bill Freq'!J28</f>
        <v>90939.3</v>
      </c>
      <c r="K74" s="222">
        <f>'12ME Dec18 Cal Bill Freq'!K28</f>
        <v>93055.91</v>
      </c>
      <c r="L74" s="222">
        <f>'12ME Dec18 Cal Bill Freq'!L28</f>
        <v>91820.59</v>
      </c>
      <c r="M74" s="222">
        <f>'12ME Dec18 Cal Bill Freq'!M28</f>
        <v>93116.1</v>
      </c>
      <c r="N74" s="196">
        <f t="shared" si="19"/>
        <v>1145626.7300000002</v>
      </c>
    </row>
    <row r="75" spans="1:27" x14ac:dyDescent="0.2">
      <c r="A75" s="130" t="s">
        <v>166</v>
      </c>
      <c r="B75" s="196">
        <f>B76-SUM(B73:B74)</f>
        <v>457729.99999999994</v>
      </c>
      <c r="C75" s="196">
        <f t="shared" ref="C75:M75" si="20">C76-SUM(C73:C74)</f>
        <v>432223.28999999992</v>
      </c>
      <c r="D75" s="196">
        <f t="shared" si="20"/>
        <v>525652.60999999987</v>
      </c>
      <c r="E75" s="196">
        <f t="shared" si="20"/>
        <v>439380.58000000007</v>
      </c>
      <c r="F75" s="196">
        <f t="shared" si="20"/>
        <v>420642.96999999991</v>
      </c>
      <c r="G75" s="196">
        <f t="shared" si="20"/>
        <v>408659.32</v>
      </c>
      <c r="H75" s="196">
        <f t="shared" si="20"/>
        <v>388210.15999999992</v>
      </c>
      <c r="I75" s="196">
        <f t="shared" si="20"/>
        <v>413051.72</v>
      </c>
      <c r="J75" s="196">
        <f t="shared" si="20"/>
        <v>382505.57</v>
      </c>
      <c r="K75" s="196">
        <f t="shared" si="20"/>
        <v>448687.04</v>
      </c>
      <c r="L75" s="196">
        <f t="shared" si="20"/>
        <v>410837.77</v>
      </c>
      <c r="M75" s="196">
        <f t="shared" si="20"/>
        <v>356819.33000000007</v>
      </c>
      <c r="N75" s="196">
        <f t="shared" si="19"/>
        <v>5084400.3599999994</v>
      </c>
    </row>
    <row r="76" spans="1:27" x14ac:dyDescent="0.2">
      <c r="A76" s="130" t="s">
        <v>6</v>
      </c>
      <c r="B76" s="222">
        <f>'12ME Dec18 Weather Adj'!D194</f>
        <v>587041.71</v>
      </c>
      <c r="C76" s="222">
        <f>'12ME Dec18 Weather Adj'!E194</f>
        <v>560063.15999999992</v>
      </c>
      <c r="D76" s="222">
        <f>'12ME Dec18 Weather Adj'!F194</f>
        <v>653291.67999999993</v>
      </c>
      <c r="E76" s="222">
        <f>'12ME Dec18 Weather Adj'!G194</f>
        <v>562059.31000000006</v>
      </c>
      <c r="F76" s="222">
        <f>'12ME Dec18 Weather Adj'!H194</f>
        <v>533050.39999999991</v>
      </c>
      <c r="G76" s="222">
        <f>'12ME Dec18 Weather Adj'!I194</f>
        <v>518939.12</v>
      </c>
      <c r="H76" s="222">
        <f>'12ME Dec18 Weather Adj'!J194</f>
        <v>498241.05999999994</v>
      </c>
      <c r="I76" s="222">
        <f>'12ME Dec18 Weather Adj'!K194</f>
        <v>524995.74</v>
      </c>
      <c r="J76" s="222">
        <f>'12ME Dec18 Weather Adj'!L194</f>
        <v>494198.93</v>
      </c>
      <c r="K76" s="222">
        <f>'12ME Dec18 Weather Adj'!M194</f>
        <v>563272.6</v>
      </c>
      <c r="L76" s="222">
        <f>'12ME Dec18 Weather Adj'!N194</f>
        <v>523358.36</v>
      </c>
      <c r="M76" s="222">
        <f>'12ME Dec18 Weather Adj'!O194</f>
        <v>470635.43000000005</v>
      </c>
      <c r="N76" s="196">
        <f>SUM(N73:N75)</f>
        <v>6489147.5</v>
      </c>
    </row>
    <row r="77" spans="1:27" x14ac:dyDescent="0.2">
      <c r="A77" s="130"/>
      <c r="B77" s="196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</row>
    <row r="78" spans="1:27" x14ac:dyDescent="0.2">
      <c r="A78" s="130"/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</row>
    <row r="79" spans="1:27" x14ac:dyDescent="0.2">
      <c r="A79" s="130" t="s">
        <v>168</v>
      </c>
      <c r="B79" s="196"/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</row>
    <row r="80" spans="1:27" x14ac:dyDescent="0.2">
      <c r="A80" s="130" t="s">
        <v>88</v>
      </c>
      <c r="B80" s="222">
        <f>'12ME Dec18 Cal Bill Freq'!B48</f>
        <v>795648.58</v>
      </c>
      <c r="C80" s="222">
        <f>'12ME Dec18 Cal Bill Freq'!C48</f>
        <v>769515.8</v>
      </c>
      <c r="D80" s="222">
        <f>'12ME Dec18 Cal Bill Freq'!D48</f>
        <v>788760.82</v>
      </c>
      <c r="E80" s="222">
        <f>'12ME Dec18 Cal Bill Freq'!E48</f>
        <v>775878.28</v>
      </c>
      <c r="F80" s="222">
        <f>'12ME Dec18 Cal Bill Freq'!F48</f>
        <v>779542.12</v>
      </c>
      <c r="G80" s="222">
        <f>'12ME Dec18 Cal Bill Freq'!G48</f>
        <v>782090.09</v>
      </c>
      <c r="H80" s="222">
        <f>'12ME Dec18 Cal Bill Freq'!H48</f>
        <v>768423.58</v>
      </c>
      <c r="I80" s="222">
        <f>'12ME Dec18 Cal Bill Freq'!I48</f>
        <v>763186.72</v>
      </c>
      <c r="J80" s="222">
        <f>'12ME Dec18 Cal Bill Freq'!J48</f>
        <v>764600.1</v>
      </c>
      <c r="K80" s="222">
        <f>'12ME Dec18 Cal Bill Freq'!K48</f>
        <v>785087.26</v>
      </c>
      <c r="L80" s="222">
        <f>'12ME Dec18 Cal Bill Freq'!L48</f>
        <v>780276.71</v>
      </c>
      <c r="M80" s="222">
        <f>'12ME Dec18 Cal Bill Freq'!M48</f>
        <v>776596.75</v>
      </c>
      <c r="N80" s="196">
        <f t="shared" ref="N80:N82" si="21">SUM(B80:M80)</f>
        <v>9329606.8099999987</v>
      </c>
    </row>
    <row r="81" spans="1:14" x14ac:dyDescent="0.2">
      <c r="A81" s="130" t="s">
        <v>89</v>
      </c>
      <c r="B81" s="222">
        <f>'12ME Dec18 Cal Bill Freq'!B49</f>
        <v>542927.29</v>
      </c>
      <c r="C81" s="222">
        <f>'12ME Dec18 Cal Bill Freq'!C49</f>
        <v>521896.28</v>
      </c>
      <c r="D81" s="222">
        <f>'12ME Dec18 Cal Bill Freq'!D49</f>
        <v>553130.56999999995</v>
      </c>
      <c r="E81" s="222">
        <f>'12ME Dec18 Cal Bill Freq'!E49</f>
        <v>502540.24</v>
      </c>
      <c r="F81" s="222">
        <f>'12ME Dec18 Cal Bill Freq'!F49</f>
        <v>489533.2</v>
      </c>
      <c r="G81" s="222">
        <f>'12ME Dec18 Cal Bill Freq'!G49</f>
        <v>495352.57</v>
      </c>
      <c r="H81" s="222">
        <f>'12ME Dec18 Cal Bill Freq'!H49</f>
        <v>471637.41</v>
      </c>
      <c r="I81" s="222">
        <f>'12ME Dec18 Cal Bill Freq'!I49</f>
        <v>481182</v>
      </c>
      <c r="J81" s="222">
        <f>'12ME Dec18 Cal Bill Freq'!J49</f>
        <v>478999.1</v>
      </c>
      <c r="K81" s="222">
        <f>'12ME Dec18 Cal Bill Freq'!K49</f>
        <v>520849.77</v>
      </c>
      <c r="L81" s="222">
        <f>'12ME Dec18 Cal Bill Freq'!L49</f>
        <v>539999.15</v>
      </c>
      <c r="M81" s="222">
        <f>'12ME Dec18 Cal Bill Freq'!M49</f>
        <v>559676.5</v>
      </c>
      <c r="N81" s="196">
        <f t="shared" si="21"/>
        <v>6157724.0800000001</v>
      </c>
    </row>
    <row r="82" spans="1:14" x14ac:dyDescent="0.2">
      <c r="A82" s="130" t="s">
        <v>169</v>
      </c>
      <c r="B82" s="196">
        <f>B83-SUM(B80:B81)</f>
        <v>875409.04999999981</v>
      </c>
      <c r="C82" s="196">
        <f t="shared" ref="C82:M82" si="22">C83-SUM(C80:C81)</f>
        <v>673378.37000000011</v>
      </c>
      <c r="D82" s="196">
        <f t="shared" si="22"/>
        <v>763922.19000000018</v>
      </c>
      <c r="E82" s="196">
        <f t="shared" si="22"/>
        <v>574527.58000000007</v>
      </c>
      <c r="F82" s="196">
        <f t="shared" si="22"/>
        <v>594287.80000000005</v>
      </c>
      <c r="G82" s="196">
        <f t="shared" si="22"/>
        <v>473268.68999999994</v>
      </c>
      <c r="H82" s="196">
        <f t="shared" si="22"/>
        <v>442515.32000000007</v>
      </c>
      <c r="I82" s="196">
        <f t="shared" si="22"/>
        <v>440206.90000000014</v>
      </c>
      <c r="J82" s="196">
        <f t="shared" si="22"/>
        <v>441525.48</v>
      </c>
      <c r="K82" s="196">
        <f t="shared" si="22"/>
        <v>659790.77</v>
      </c>
      <c r="L82" s="196">
        <f t="shared" si="22"/>
        <v>762561.7</v>
      </c>
      <c r="M82" s="196">
        <f t="shared" si="22"/>
        <v>866737.46999999974</v>
      </c>
      <c r="N82" s="196">
        <f t="shared" si="21"/>
        <v>7568131.3200000003</v>
      </c>
    </row>
    <row r="83" spans="1:14" x14ac:dyDescent="0.2">
      <c r="A83" s="130" t="s">
        <v>6</v>
      </c>
      <c r="B83" s="222">
        <f>'12ME Dec18 Weather Adj'!D176</f>
        <v>2213984.92</v>
      </c>
      <c r="C83" s="222">
        <f>'12ME Dec18 Weather Adj'!E176</f>
        <v>1964790.4500000002</v>
      </c>
      <c r="D83" s="222">
        <f>'12ME Dec18 Weather Adj'!F176</f>
        <v>2105813.58</v>
      </c>
      <c r="E83" s="222">
        <f>'12ME Dec18 Weather Adj'!G176</f>
        <v>1852946.1</v>
      </c>
      <c r="F83" s="222">
        <f>'12ME Dec18 Weather Adj'!H176</f>
        <v>1863363.12</v>
      </c>
      <c r="G83" s="222">
        <f>'12ME Dec18 Weather Adj'!I176</f>
        <v>1750711.3499999999</v>
      </c>
      <c r="H83" s="222">
        <f>'12ME Dec18 Weather Adj'!J176</f>
        <v>1682576.31</v>
      </c>
      <c r="I83" s="222">
        <f>'12ME Dec18 Weather Adj'!K176</f>
        <v>1684575.62</v>
      </c>
      <c r="J83" s="222">
        <f>'12ME Dec18 Weather Adj'!L176</f>
        <v>1685124.68</v>
      </c>
      <c r="K83" s="222">
        <f>'12ME Dec18 Weather Adj'!M176</f>
        <v>1965727.8</v>
      </c>
      <c r="L83" s="222">
        <f>'12ME Dec18 Weather Adj'!N176</f>
        <v>2082837.5599999998</v>
      </c>
      <c r="M83" s="222">
        <f>'12ME Dec18 Weather Adj'!O176</f>
        <v>2203010.7199999997</v>
      </c>
      <c r="N83" s="196">
        <f>SUM(N80:N82)</f>
        <v>23055462.210000001</v>
      </c>
    </row>
    <row r="84" spans="1:14" x14ac:dyDescent="0.2">
      <c r="A84" s="130"/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</row>
    <row r="85" spans="1:14" x14ac:dyDescent="0.2">
      <c r="A85" s="130"/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</row>
    <row r="86" spans="1:14" x14ac:dyDescent="0.2">
      <c r="A86" s="130" t="s">
        <v>170</v>
      </c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</row>
    <row r="87" spans="1:14" x14ac:dyDescent="0.2">
      <c r="A87" s="130" t="s">
        <v>88</v>
      </c>
      <c r="B87" s="222">
        <f>'12ME Dec18 Cal Bill Freq'!B55</f>
        <v>1462114.96</v>
      </c>
      <c r="C87" s="222">
        <f>'12ME Dec18 Cal Bill Freq'!C55</f>
        <v>1504173.8</v>
      </c>
      <c r="D87" s="222">
        <f>'12ME Dec18 Cal Bill Freq'!D55</f>
        <v>1601952.22</v>
      </c>
      <c r="E87" s="222">
        <f>'12ME Dec18 Cal Bill Freq'!E55</f>
        <v>1597650.4</v>
      </c>
      <c r="F87" s="222">
        <f>'12ME Dec18 Cal Bill Freq'!F55</f>
        <v>1600042.06</v>
      </c>
      <c r="G87" s="222">
        <f>'12ME Dec18 Cal Bill Freq'!G55</f>
        <v>1608072.67</v>
      </c>
      <c r="H87" s="222">
        <f>'12ME Dec18 Cal Bill Freq'!H55</f>
        <v>1602012.46</v>
      </c>
      <c r="I87" s="222">
        <f>'12ME Dec18 Cal Bill Freq'!I55</f>
        <v>1590304.81</v>
      </c>
      <c r="J87" s="222">
        <f>'12ME Dec18 Cal Bill Freq'!J55</f>
        <v>1611003.43</v>
      </c>
      <c r="K87" s="222">
        <f>'12ME Dec18 Cal Bill Freq'!K55</f>
        <v>1645533.89</v>
      </c>
      <c r="L87" s="222">
        <f>'12ME Dec18 Cal Bill Freq'!L55</f>
        <v>1542536.25</v>
      </c>
      <c r="M87" s="222">
        <f>'12ME Dec18 Cal Bill Freq'!M55</f>
        <v>1428059.92</v>
      </c>
      <c r="N87" s="196">
        <f t="shared" ref="N87:N89" si="23">SUM(B87:M87)</f>
        <v>18793456.870000005</v>
      </c>
    </row>
    <row r="88" spans="1:14" x14ac:dyDescent="0.2">
      <c r="A88" s="130" t="s">
        <v>89</v>
      </c>
      <c r="B88" s="222">
        <f>'12ME Dec18 Cal Bill Freq'!B56</f>
        <v>1038998.88</v>
      </c>
      <c r="C88" s="222">
        <f>'12ME Dec18 Cal Bill Freq'!C56</f>
        <v>947370.73</v>
      </c>
      <c r="D88" s="222">
        <f>'12ME Dec18 Cal Bill Freq'!D56</f>
        <v>1098021.3700000001</v>
      </c>
      <c r="E88" s="222">
        <f>'12ME Dec18 Cal Bill Freq'!E56</f>
        <v>1061605.1299999999</v>
      </c>
      <c r="F88" s="222">
        <f>'12ME Dec18 Cal Bill Freq'!F56</f>
        <v>1159432.25</v>
      </c>
      <c r="G88" s="222">
        <f>'12ME Dec18 Cal Bill Freq'!G56</f>
        <v>1071304.6599999999</v>
      </c>
      <c r="H88" s="222">
        <f>'12ME Dec18 Cal Bill Freq'!H56</f>
        <v>1087910.81</v>
      </c>
      <c r="I88" s="222">
        <f>'12ME Dec18 Cal Bill Freq'!I56</f>
        <v>1044598.91</v>
      </c>
      <c r="J88" s="222">
        <f>'12ME Dec18 Cal Bill Freq'!J56</f>
        <v>1073274.48</v>
      </c>
      <c r="K88" s="222">
        <f>'12ME Dec18 Cal Bill Freq'!K56</f>
        <v>1208193.81</v>
      </c>
      <c r="L88" s="222">
        <f>'12ME Dec18 Cal Bill Freq'!L56</f>
        <v>909585.15</v>
      </c>
      <c r="M88" s="222">
        <f>'12ME Dec18 Cal Bill Freq'!M56</f>
        <v>874252.46</v>
      </c>
      <c r="N88" s="196">
        <f t="shared" si="23"/>
        <v>12574548.640000001</v>
      </c>
    </row>
    <row r="89" spans="1:14" x14ac:dyDescent="0.2">
      <c r="A89" s="130" t="s">
        <v>169</v>
      </c>
      <c r="B89" s="196">
        <f>B90-SUM(B87:B88)</f>
        <v>1962519.2800000003</v>
      </c>
      <c r="C89" s="196">
        <f t="shared" ref="C89:M89" si="24">C90-SUM(C87:C88)</f>
        <v>1665226.63</v>
      </c>
      <c r="D89" s="196">
        <f t="shared" si="24"/>
        <v>2171507.1799999997</v>
      </c>
      <c r="E89" s="196">
        <f t="shared" si="24"/>
        <v>1660681.2900000005</v>
      </c>
      <c r="F89" s="196">
        <f t="shared" si="24"/>
        <v>1497293.06</v>
      </c>
      <c r="G89" s="196">
        <f t="shared" si="24"/>
        <v>1554405.1799999997</v>
      </c>
      <c r="H89" s="196">
        <f t="shared" si="24"/>
        <v>1416122.7600000002</v>
      </c>
      <c r="I89" s="196">
        <f t="shared" si="24"/>
        <v>1609734.6099999999</v>
      </c>
      <c r="J89" s="196">
        <f t="shared" si="24"/>
        <v>1594235.1899999995</v>
      </c>
      <c r="K89" s="196">
        <f t="shared" si="24"/>
        <v>1961679.46</v>
      </c>
      <c r="L89" s="196">
        <f t="shared" si="24"/>
        <v>1701403.54</v>
      </c>
      <c r="M89" s="196">
        <f t="shared" si="24"/>
        <v>1613882.31</v>
      </c>
      <c r="N89" s="196">
        <f t="shared" si="23"/>
        <v>20408690.489999998</v>
      </c>
    </row>
    <row r="90" spans="1:14" x14ac:dyDescent="0.2">
      <c r="A90" s="130" t="s">
        <v>6</v>
      </c>
      <c r="B90" s="222">
        <f>'12ME Dec18 Weather Adj'!D195</f>
        <v>4463633.12</v>
      </c>
      <c r="C90" s="222">
        <f>'12ME Dec18 Weather Adj'!E195</f>
        <v>4116771.16</v>
      </c>
      <c r="D90" s="222">
        <f>'12ME Dec18 Weather Adj'!F195</f>
        <v>4871480.7699999996</v>
      </c>
      <c r="E90" s="222">
        <f>'12ME Dec18 Weather Adj'!G195</f>
        <v>4319936.82</v>
      </c>
      <c r="F90" s="222">
        <f>'12ME Dec18 Weather Adj'!H195</f>
        <v>4256767.37</v>
      </c>
      <c r="G90" s="222">
        <f>'12ME Dec18 Weather Adj'!I195</f>
        <v>4233782.51</v>
      </c>
      <c r="H90" s="222">
        <f>'12ME Dec18 Weather Adj'!J195</f>
        <v>4106046.0300000003</v>
      </c>
      <c r="I90" s="222">
        <f>'12ME Dec18 Weather Adj'!K195</f>
        <v>4244638.33</v>
      </c>
      <c r="J90" s="222">
        <f>'12ME Dec18 Weather Adj'!L195</f>
        <v>4278513.0999999996</v>
      </c>
      <c r="K90" s="222">
        <f>'12ME Dec18 Weather Adj'!M195</f>
        <v>4815407.16</v>
      </c>
      <c r="L90" s="222">
        <f>'12ME Dec18 Weather Adj'!N195</f>
        <v>4153524.94</v>
      </c>
      <c r="M90" s="222">
        <f>'12ME Dec18 Weather Adj'!O195</f>
        <v>3916194.69</v>
      </c>
      <c r="N90" s="196">
        <f>SUM(N87:N89)</f>
        <v>51776696</v>
      </c>
    </row>
    <row r="91" spans="1:14" x14ac:dyDescent="0.2">
      <c r="A91" s="130"/>
      <c r="B91" s="196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</row>
    <row r="92" spans="1:14" x14ac:dyDescent="0.2">
      <c r="A92" s="130"/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</row>
    <row r="93" spans="1:14" x14ac:dyDescent="0.2">
      <c r="A93" s="196" t="s">
        <v>171</v>
      </c>
      <c r="B93" s="196"/>
      <c r="C93" s="196"/>
      <c r="D93" s="196"/>
      <c r="E93" s="196"/>
      <c r="F93" s="196"/>
      <c r="G93" s="196"/>
      <c r="H93" s="196"/>
      <c r="I93" s="196"/>
      <c r="J93" s="196"/>
      <c r="K93" s="196"/>
      <c r="L93" s="196"/>
      <c r="M93" s="196"/>
    </row>
    <row r="94" spans="1:14" x14ac:dyDescent="0.2">
      <c r="A94" s="130" t="s">
        <v>94</v>
      </c>
      <c r="B94" s="222">
        <f>'12ME Dec18 Cal Bill Freq'!B74</f>
        <v>2000</v>
      </c>
      <c r="C94" s="222">
        <f>'12ME Dec18 Cal Bill Freq'!C74</f>
        <v>2000</v>
      </c>
      <c r="D94" s="222">
        <f>'12ME Dec18 Cal Bill Freq'!D74</f>
        <v>2000</v>
      </c>
      <c r="E94" s="222">
        <f>'12ME Dec18 Cal Bill Freq'!E74</f>
        <v>2000</v>
      </c>
      <c r="F94" s="222">
        <f>'12ME Dec18 Cal Bill Freq'!F74</f>
        <v>2000</v>
      </c>
      <c r="G94" s="222">
        <f>'12ME Dec18 Cal Bill Freq'!G74</f>
        <v>1930.91</v>
      </c>
      <c r="H94" s="222">
        <f>'12ME Dec18 Cal Bill Freq'!H74</f>
        <v>1405.28</v>
      </c>
      <c r="I94" s="222">
        <f>'12ME Dec18 Cal Bill Freq'!I74</f>
        <v>2000</v>
      </c>
      <c r="J94" s="222">
        <f>'12ME Dec18 Cal Bill Freq'!J74</f>
        <v>1675.55</v>
      </c>
      <c r="K94" s="222">
        <f>'12ME Dec18 Cal Bill Freq'!K74</f>
        <v>2000</v>
      </c>
      <c r="L94" s="222">
        <f>'12ME Dec18 Cal Bill Freq'!L74</f>
        <v>2000</v>
      </c>
      <c r="M94" s="222">
        <f>'12ME Dec18 Cal Bill Freq'!M74</f>
        <v>2000</v>
      </c>
      <c r="N94" s="196">
        <f t="shared" ref="N94:N95" si="25">SUM(B94:M94)</f>
        <v>23011.74</v>
      </c>
    </row>
    <row r="95" spans="1:14" x14ac:dyDescent="0.2">
      <c r="A95" s="130" t="s">
        <v>172</v>
      </c>
      <c r="B95" s="196">
        <f>B96-B94</f>
        <v>47343.94</v>
      </c>
      <c r="C95" s="196">
        <f t="shared" ref="C95:M95" si="26">C96-C94</f>
        <v>50603.87</v>
      </c>
      <c r="D95" s="196">
        <f t="shared" si="26"/>
        <v>38825.67</v>
      </c>
      <c r="E95" s="196">
        <f t="shared" si="26"/>
        <v>22785.5</v>
      </c>
      <c r="F95" s="196">
        <f t="shared" si="26"/>
        <v>16363.18</v>
      </c>
      <c r="G95" s="196">
        <f t="shared" si="26"/>
        <v>19011.68</v>
      </c>
      <c r="H95" s="196">
        <f t="shared" si="26"/>
        <v>14958.23</v>
      </c>
      <c r="I95" s="196">
        <f t="shared" si="26"/>
        <v>11568.14</v>
      </c>
      <c r="J95" s="196">
        <f t="shared" si="26"/>
        <v>17296.669999999998</v>
      </c>
      <c r="K95" s="196">
        <f t="shared" si="26"/>
        <v>31141.14</v>
      </c>
      <c r="L95" s="196">
        <f t="shared" si="26"/>
        <v>32143.08</v>
      </c>
      <c r="M95" s="196">
        <f t="shared" si="26"/>
        <v>26235.31</v>
      </c>
      <c r="N95" s="196">
        <f t="shared" si="25"/>
        <v>328276.40999999997</v>
      </c>
    </row>
    <row r="96" spans="1:14" x14ac:dyDescent="0.2">
      <c r="A96" s="130" t="s">
        <v>6</v>
      </c>
      <c r="B96" s="222">
        <f>'12ME Dec18 Weather Adj'!D196</f>
        <v>49343.94</v>
      </c>
      <c r="C96" s="222">
        <f>'12ME Dec18 Weather Adj'!E196</f>
        <v>52603.87</v>
      </c>
      <c r="D96" s="222">
        <f>'12ME Dec18 Weather Adj'!F196</f>
        <v>40825.67</v>
      </c>
      <c r="E96" s="222">
        <f>'12ME Dec18 Weather Adj'!G196</f>
        <v>24785.5</v>
      </c>
      <c r="F96" s="222">
        <f>'12ME Dec18 Weather Adj'!H196</f>
        <v>18363.18</v>
      </c>
      <c r="G96" s="222">
        <f>'12ME Dec18 Weather Adj'!I196</f>
        <v>20942.59</v>
      </c>
      <c r="H96" s="222">
        <f>'12ME Dec18 Weather Adj'!J196</f>
        <v>16363.51</v>
      </c>
      <c r="I96" s="222">
        <f>'12ME Dec18 Weather Adj'!K196</f>
        <v>13568.14</v>
      </c>
      <c r="J96" s="222">
        <f>'12ME Dec18 Weather Adj'!L196</f>
        <v>18972.219999999998</v>
      </c>
      <c r="K96" s="222">
        <f>'12ME Dec18 Weather Adj'!M196</f>
        <v>33141.14</v>
      </c>
      <c r="L96" s="222">
        <f>'12ME Dec18 Weather Adj'!N196</f>
        <v>34143.08</v>
      </c>
      <c r="M96" s="222">
        <f>'12ME Dec18 Weather Adj'!O196</f>
        <v>28235.31</v>
      </c>
      <c r="N96" s="196">
        <f>SUM(N94:N95)</f>
        <v>351288.14999999997</v>
      </c>
    </row>
    <row r="97" spans="1:14" x14ac:dyDescent="0.2">
      <c r="A97" s="130"/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</row>
    <row r="98" spans="1:14" x14ac:dyDescent="0.2">
      <c r="A98" s="130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</row>
    <row r="99" spans="1:14" x14ac:dyDescent="0.2">
      <c r="A99" s="130" t="s">
        <v>173</v>
      </c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</row>
    <row r="100" spans="1:14" x14ac:dyDescent="0.2">
      <c r="A100" s="130" t="s">
        <v>88</v>
      </c>
      <c r="B100" s="222">
        <f>'12ME Dec18 Cal Bill Freq'!B100</f>
        <v>75000</v>
      </c>
      <c r="C100" s="222">
        <f>'12ME Dec18 Cal Bill Freq'!C100</f>
        <v>75000</v>
      </c>
      <c r="D100" s="222">
        <f>'12ME Dec18 Cal Bill Freq'!D100</f>
        <v>75000</v>
      </c>
      <c r="E100" s="222">
        <f>'12ME Dec18 Cal Bill Freq'!E100</f>
        <v>75000</v>
      </c>
      <c r="F100" s="222">
        <f>'12ME Dec18 Cal Bill Freq'!F100</f>
        <v>75000</v>
      </c>
      <c r="G100" s="222">
        <f>'12ME Dec18 Cal Bill Freq'!G100</f>
        <v>75000</v>
      </c>
      <c r="H100" s="222">
        <f>'12ME Dec18 Cal Bill Freq'!H100</f>
        <v>75000</v>
      </c>
      <c r="I100" s="222">
        <f>'12ME Dec18 Cal Bill Freq'!I100</f>
        <v>75000</v>
      </c>
      <c r="J100" s="222">
        <f>'12ME Dec18 Cal Bill Freq'!J100</f>
        <v>75000</v>
      </c>
      <c r="K100" s="222">
        <f>'12ME Dec18 Cal Bill Freq'!K100</f>
        <v>75000</v>
      </c>
      <c r="L100" s="222">
        <f>'12ME Dec18 Cal Bill Freq'!L100</f>
        <v>75000</v>
      </c>
      <c r="M100" s="222">
        <f>'12ME Dec18 Cal Bill Freq'!M100</f>
        <v>75000</v>
      </c>
      <c r="N100" s="196">
        <f t="shared" ref="N100:N105" si="27">SUM(B100:M100)</f>
        <v>900000</v>
      </c>
    </row>
    <row r="101" spans="1:14" x14ac:dyDescent="0.2">
      <c r="A101" s="130" t="s">
        <v>89</v>
      </c>
      <c r="B101" s="222">
        <f>'12ME Dec18 Cal Bill Freq'!B101</f>
        <v>75000</v>
      </c>
      <c r="C101" s="222">
        <f>'12ME Dec18 Cal Bill Freq'!C101</f>
        <v>75000</v>
      </c>
      <c r="D101" s="222">
        <f>'12ME Dec18 Cal Bill Freq'!D101</f>
        <v>75000</v>
      </c>
      <c r="E101" s="222">
        <f>'12ME Dec18 Cal Bill Freq'!E101</f>
        <v>75000</v>
      </c>
      <c r="F101" s="222">
        <f>'12ME Dec18 Cal Bill Freq'!F101</f>
        <v>75000</v>
      </c>
      <c r="G101" s="222">
        <f>'12ME Dec18 Cal Bill Freq'!G101</f>
        <v>75000</v>
      </c>
      <c r="H101" s="222">
        <f>'12ME Dec18 Cal Bill Freq'!H101</f>
        <v>75000</v>
      </c>
      <c r="I101" s="222">
        <f>'12ME Dec18 Cal Bill Freq'!I101</f>
        <v>75000</v>
      </c>
      <c r="J101" s="222">
        <f>'12ME Dec18 Cal Bill Freq'!J101</f>
        <v>75000</v>
      </c>
      <c r="K101" s="222">
        <f>'12ME Dec18 Cal Bill Freq'!K101</f>
        <v>75000</v>
      </c>
      <c r="L101" s="222">
        <f>'12ME Dec18 Cal Bill Freq'!L101</f>
        <v>75000</v>
      </c>
      <c r="M101" s="222">
        <f>'12ME Dec18 Cal Bill Freq'!M101</f>
        <v>75000</v>
      </c>
      <c r="N101" s="196">
        <f t="shared" si="27"/>
        <v>900000</v>
      </c>
    </row>
    <row r="102" spans="1:14" x14ac:dyDescent="0.2">
      <c r="A102" s="130" t="s">
        <v>99</v>
      </c>
      <c r="B102" s="222">
        <f>'12ME Dec18 Cal Bill Freq'!B102</f>
        <v>150000</v>
      </c>
      <c r="C102" s="222">
        <f>'12ME Dec18 Cal Bill Freq'!C102</f>
        <v>150000</v>
      </c>
      <c r="D102" s="222">
        <f>'12ME Dec18 Cal Bill Freq'!D102</f>
        <v>150000</v>
      </c>
      <c r="E102" s="222">
        <f>'12ME Dec18 Cal Bill Freq'!E102</f>
        <v>150000</v>
      </c>
      <c r="F102" s="222">
        <f>'12ME Dec18 Cal Bill Freq'!F102</f>
        <v>150000</v>
      </c>
      <c r="G102" s="222">
        <f>'12ME Dec18 Cal Bill Freq'!G102</f>
        <v>150000</v>
      </c>
      <c r="H102" s="222">
        <f>'12ME Dec18 Cal Bill Freq'!H102</f>
        <v>134439.38</v>
      </c>
      <c r="I102" s="222">
        <f>'12ME Dec18 Cal Bill Freq'!I102</f>
        <v>150000</v>
      </c>
      <c r="J102" s="222">
        <f>'12ME Dec18 Cal Bill Freq'!J102</f>
        <v>150000</v>
      </c>
      <c r="K102" s="222">
        <f>'12ME Dec18 Cal Bill Freq'!K102</f>
        <v>150000</v>
      </c>
      <c r="L102" s="222">
        <f>'12ME Dec18 Cal Bill Freq'!L102</f>
        <v>150000</v>
      </c>
      <c r="M102" s="222">
        <f>'12ME Dec18 Cal Bill Freq'!M102</f>
        <v>150000</v>
      </c>
      <c r="N102" s="196">
        <f t="shared" si="27"/>
        <v>1784439.38</v>
      </c>
    </row>
    <row r="103" spans="1:14" x14ac:dyDescent="0.2">
      <c r="A103" s="130" t="s">
        <v>100</v>
      </c>
      <c r="B103" s="222">
        <f>'12ME Dec18 Cal Bill Freq'!B103</f>
        <v>300000</v>
      </c>
      <c r="C103" s="222">
        <f>'12ME Dec18 Cal Bill Freq'!C103</f>
        <v>285133.58</v>
      </c>
      <c r="D103" s="222">
        <f>'12ME Dec18 Cal Bill Freq'!D103</f>
        <v>300000</v>
      </c>
      <c r="E103" s="222">
        <f>'12ME Dec18 Cal Bill Freq'!E103</f>
        <v>298043.53000000003</v>
      </c>
      <c r="F103" s="222">
        <f>'12ME Dec18 Cal Bill Freq'!F103</f>
        <v>296265.65999999997</v>
      </c>
      <c r="G103" s="222">
        <f>'12ME Dec18 Cal Bill Freq'!G103</f>
        <v>273725.57</v>
      </c>
      <c r="H103" s="222">
        <f>'12ME Dec18 Cal Bill Freq'!H103</f>
        <v>200000</v>
      </c>
      <c r="I103" s="222">
        <f>'12ME Dec18 Cal Bill Freq'!I103</f>
        <v>245505.38</v>
      </c>
      <c r="J103" s="222">
        <f>'12ME Dec18 Cal Bill Freq'!J103</f>
        <v>262469.55</v>
      </c>
      <c r="K103" s="222">
        <f>'12ME Dec18 Cal Bill Freq'!K103</f>
        <v>299566.06</v>
      </c>
      <c r="L103" s="222">
        <f>'12ME Dec18 Cal Bill Freq'!L103</f>
        <v>298480</v>
      </c>
      <c r="M103" s="222">
        <f>'12ME Dec18 Cal Bill Freq'!M103</f>
        <v>296939.21999999997</v>
      </c>
      <c r="N103" s="196">
        <f t="shared" si="27"/>
        <v>3356128.55</v>
      </c>
    </row>
    <row r="104" spans="1:14" x14ac:dyDescent="0.2">
      <c r="A104" s="130" t="s">
        <v>101</v>
      </c>
      <c r="B104" s="222">
        <f>'12ME Dec18 Cal Bill Freq'!B104</f>
        <v>400382.23</v>
      </c>
      <c r="C104" s="222">
        <f>'12ME Dec18 Cal Bill Freq'!C104</f>
        <v>416073.24</v>
      </c>
      <c r="D104" s="222">
        <f>'12ME Dec18 Cal Bill Freq'!D104</f>
        <v>403591.12</v>
      </c>
      <c r="E104" s="222">
        <f>'12ME Dec18 Cal Bill Freq'!E104</f>
        <v>353892.31</v>
      </c>
      <c r="F104" s="222">
        <f>'12ME Dec18 Cal Bill Freq'!F104</f>
        <v>308957.49</v>
      </c>
      <c r="G104" s="222">
        <f>'12ME Dec18 Cal Bill Freq'!G104</f>
        <v>305164.2</v>
      </c>
      <c r="H104" s="222">
        <f>'12ME Dec18 Cal Bill Freq'!H104</f>
        <v>316718.03999999998</v>
      </c>
      <c r="I104" s="222">
        <f>'12ME Dec18 Cal Bill Freq'!I104</f>
        <v>333070.31</v>
      </c>
      <c r="J104" s="222">
        <f>'12ME Dec18 Cal Bill Freq'!J104</f>
        <v>304155.96000000002</v>
      </c>
      <c r="K104" s="222">
        <f>'12ME Dec18 Cal Bill Freq'!K104</f>
        <v>320324.31</v>
      </c>
      <c r="L104" s="222">
        <f>'12ME Dec18 Cal Bill Freq'!L104</f>
        <v>366069.63</v>
      </c>
      <c r="M104" s="222">
        <f>'12ME Dec18 Cal Bill Freq'!M104</f>
        <v>430873.36</v>
      </c>
      <c r="N104" s="196">
        <f t="shared" si="27"/>
        <v>4259272.2</v>
      </c>
    </row>
    <row r="105" spans="1:14" x14ac:dyDescent="0.2">
      <c r="A105" s="130" t="s">
        <v>174</v>
      </c>
      <c r="B105" s="196">
        <f>B106-SUM(B100:B104)</f>
        <v>1118934.6400000001</v>
      </c>
      <c r="C105" s="196">
        <f t="shared" ref="C105:M105" si="28">C106-SUM(C100:C104)</f>
        <v>869902.13000000012</v>
      </c>
      <c r="D105" s="196">
        <f t="shared" si="28"/>
        <v>856600.52999999991</v>
      </c>
      <c r="E105" s="196">
        <f t="shared" si="28"/>
        <v>685076.04</v>
      </c>
      <c r="F105" s="196">
        <f t="shared" si="28"/>
        <v>483052.69999999995</v>
      </c>
      <c r="G105" s="196">
        <f t="shared" si="28"/>
        <v>314098.17999999993</v>
      </c>
      <c r="H105" s="196">
        <f t="shared" si="28"/>
        <v>213370.09999999998</v>
      </c>
      <c r="I105" s="196">
        <f t="shared" si="28"/>
        <v>214868.37999999989</v>
      </c>
      <c r="J105" s="196">
        <f t="shared" si="28"/>
        <v>260456.11999999988</v>
      </c>
      <c r="K105" s="196">
        <f t="shared" si="28"/>
        <v>531934.87999999989</v>
      </c>
      <c r="L105" s="196">
        <f t="shared" si="28"/>
        <v>728135.16</v>
      </c>
      <c r="M105" s="196">
        <f t="shared" si="28"/>
        <v>997018.89</v>
      </c>
      <c r="N105" s="196">
        <f t="shared" si="27"/>
        <v>7273447.7499999991</v>
      </c>
    </row>
    <row r="106" spans="1:14" x14ac:dyDescent="0.2">
      <c r="A106" s="130" t="s">
        <v>6</v>
      </c>
      <c r="B106" s="222">
        <f>'12ME Dec18 Weather Adj'!D177</f>
        <v>2119316.87</v>
      </c>
      <c r="C106" s="222">
        <f>'12ME Dec18 Weather Adj'!E177</f>
        <v>1871108.9500000002</v>
      </c>
      <c r="D106" s="222">
        <f>'12ME Dec18 Weather Adj'!F177</f>
        <v>1860191.65</v>
      </c>
      <c r="E106" s="222">
        <f>'12ME Dec18 Weather Adj'!G177</f>
        <v>1637011.8800000001</v>
      </c>
      <c r="F106" s="222">
        <f>'12ME Dec18 Weather Adj'!H177</f>
        <v>1388275.8499999999</v>
      </c>
      <c r="G106" s="222">
        <f>'12ME Dec18 Weather Adj'!I177</f>
        <v>1192987.95</v>
      </c>
      <c r="H106" s="222">
        <f>'12ME Dec18 Weather Adj'!J177</f>
        <v>1014527.5199999999</v>
      </c>
      <c r="I106" s="222">
        <f>'12ME Dec18 Weather Adj'!K177</f>
        <v>1093444.0699999998</v>
      </c>
      <c r="J106" s="222">
        <f>'12ME Dec18 Weather Adj'!L177</f>
        <v>1127081.6299999999</v>
      </c>
      <c r="K106" s="222">
        <f>'12ME Dec18 Weather Adj'!M177</f>
        <v>1451825.25</v>
      </c>
      <c r="L106" s="222">
        <f>'12ME Dec18 Weather Adj'!N177</f>
        <v>1692684.79</v>
      </c>
      <c r="M106" s="222">
        <f>'12ME Dec18 Weather Adj'!O177</f>
        <v>2024831.47</v>
      </c>
      <c r="N106" s="196">
        <f>SUM(N100:N105)</f>
        <v>18473287.879999999</v>
      </c>
    </row>
    <row r="107" spans="1:14" x14ac:dyDescent="0.2">
      <c r="A107" s="130"/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</row>
    <row r="108" spans="1:14" x14ac:dyDescent="0.2">
      <c r="A108" s="130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</row>
    <row r="109" spans="1:14" x14ac:dyDescent="0.2">
      <c r="A109" s="130" t="s">
        <v>175</v>
      </c>
      <c r="B109" s="196"/>
      <c r="C109" s="196"/>
      <c r="D109" s="196"/>
      <c r="E109" s="196"/>
      <c r="F109" s="196"/>
      <c r="G109" s="196"/>
      <c r="H109" s="196"/>
      <c r="I109" s="196"/>
      <c r="J109" s="196"/>
      <c r="K109" s="196"/>
      <c r="L109" s="196"/>
      <c r="M109" s="196"/>
    </row>
    <row r="110" spans="1:14" x14ac:dyDescent="0.2">
      <c r="A110" s="130" t="s">
        <v>88</v>
      </c>
      <c r="B110" s="222">
        <f>'12ME Dec18 Cal Bill Freq'!B110</f>
        <v>175000</v>
      </c>
      <c r="C110" s="222">
        <f>'12ME Dec18 Cal Bill Freq'!C110</f>
        <v>175000</v>
      </c>
      <c r="D110" s="222">
        <f>'12ME Dec18 Cal Bill Freq'!D110</f>
        <v>175000</v>
      </c>
      <c r="E110" s="222">
        <f>'12ME Dec18 Cal Bill Freq'!E110</f>
        <v>175000</v>
      </c>
      <c r="F110" s="222">
        <f>'12ME Dec18 Cal Bill Freq'!F110</f>
        <v>175000</v>
      </c>
      <c r="G110" s="222">
        <f>'12ME Dec18 Cal Bill Freq'!G110</f>
        <v>175000</v>
      </c>
      <c r="H110" s="222">
        <f>'12ME Dec18 Cal Bill Freq'!H110</f>
        <v>175000</v>
      </c>
      <c r="I110" s="222">
        <f>'12ME Dec18 Cal Bill Freq'!I110</f>
        <v>175000</v>
      </c>
      <c r="J110" s="222">
        <f>'12ME Dec18 Cal Bill Freq'!J110</f>
        <v>175000</v>
      </c>
      <c r="K110" s="222">
        <f>'12ME Dec18 Cal Bill Freq'!K110</f>
        <v>175000</v>
      </c>
      <c r="L110" s="222">
        <f>'12ME Dec18 Cal Bill Freq'!L110</f>
        <v>175000</v>
      </c>
      <c r="M110" s="222">
        <f>'12ME Dec18 Cal Bill Freq'!M110</f>
        <v>175000</v>
      </c>
      <c r="N110" s="196">
        <f t="shared" ref="N110:N115" si="29">SUM(B110:M110)</f>
        <v>2100000</v>
      </c>
    </row>
    <row r="111" spans="1:14" x14ac:dyDescent="0.2">
      <c r="A111" s="130" t="s">
        <v>89</v>
      </c>
      <c r="B111" s="222">
        <f>'12ME Dec18 Cal Bill Freq'!B111</f>
        <v>175000</v>
      </c>
      <c r="C111" s="222">
        <f>'12ME Dec18 Cal Bill Freq'!C111</f>
        <v>175000</v>
      </c>
      <c r="D111" s="222">
        <f>'12ME Dec18 Cal Bill Freq'!D111</f>
        <v>175000</v>
      </c>
      <c r="E111" s="222">
        <f>'12ME Dec18 Cal Bill Freq'!E111</f>
        <v>175000</v>
      </c>
      <c r="F111" s="222">
        <f>'12ME Dec18 Cal Bill Freq'!F111</f>
        <v>175000</v>
      </c>
      <c r="G111" s="222">
        <f>'12ME Dec18 Cal Bill Freq'!G111</f>
        <v>175000</v>
      </c>
      <c r="H111" s="222">
        <f>'12ME Dec18 Cal Bill Freq'!H111</f>
        <v>175000</v>
      </c>
      <c r="I111" s="222">
        <f>'12ME Dec18 Cal Bill Freq'!I111</f>
        <v>175000</v>
      </c>
      <c r="J111" s="222">
        <f>'12ME Dec18 Cal Bill Freq'!J111</f>
        <v>175000</v>
      </c>
      <c r="K111" s="222">
        <f>'12ME Dec18 Cal Bill Freq'!K111</f>
        <v>175000</v>
      </c>
      <c r="L111" s="222">
        <f>'12ME Dec18 Cal Bill Freq'!L111</f>
        <v>175000</v>
      </c>
      <c r="M111" s="222">
        <f>'12ME Dec18 Cal Bill Freq'!M111</f>
        <v>175000</v>
      </c>
      <c r="N111" s="196">
        <f t="shared" si="29"/>
        <v>2100000</v>
      </c>
    </row>
    <row r="112" spans="1:14" x14ac:dyDescent="0.2">
      <c r="A112" s="130" t="s">
        <v>99</v>
      </c>
      <c r="B112" s="222">
        <f>'12ME Dec18 Cal Bill Freq'!B112</f>
        <v>350000</v>
      </c>
      <c r="C112" s="222">
        <f>'12ME Dec18 Cal Bill Freq'!C112</f>
        <v>350000</v>
      </c>
      <c r="D112" s="222">
        <f>'12ME Dec18 Cal Bill Freq'!D112</f>
        <v>350000</v>
      </c>
      <c r="E112" s="222">
        <f>'12ME Dec18 Cal Bill Freq'!E112</f>
        <v>350000</v>
      </c>
      <c r="F112" s="222">
        <f>'12ME Dec18 Cal Bill Freq'!F112</f>
        <v>350000</v>
      </c>
      <c r="G112" s="222">
        <f>'12ME Dec18 Cal Bill Freq'!G112</f>
        <v>350000</v>
      </c>
      <c r="H112" s="222">
        <f>'12ME Dec18 Cal Bill Freq'!H112</f>
        <v>350000</v>
      </c>
      <c r="I112" s="222">
        <f>'12ME Dec18 Cal Bill Freq'!I112</f>
        <v>350000</v>
      </c>
      <c r="J112" s="222">
        <f>'12ME Dec18 Cal Bill Freq'!J112</f>
        <v>350000</v>
      </c>
      <c r="K112" s="222">
        <f>'12ME Dec18 Cal Bill Freq'!K112</f>
        <v>349316.1</v>
      </c>
      <c r="L112" s="222">
        <f>'12ME Dec18 Cal Bill Freq'!L112</f>
        <v>350000</v>
      </c>
      <c r="M112" s="222">
        <f>'12ME Dec18 Cal Bill Freq'!M112</f>
        <v>350000</v>
      </c>
      <c r="N112" s="196">
        <f t="shared" si="29"/>
        <v>4199316.0999999996</v>
      </c>
    </row>
    <row r="113" spans="1:14" x14ac:dyDescent="0.2">
      <c r="A113" s="130" t="s">
        <v>100</v>
      </c>
      <c r="B113" s="222">
        <f>'12ME Dec18 Cal Bill Freq'!B113</f>
        <v>700000</v>
      </c>
      <c r="C113" s="222">
        <f>'12ME Dec18 Cal Bill Freq'!C113</f>
        <v>700000</v>
      </c>
      <c r="D113" s="222">
        <f>'12ME Dec18 Cal Bill Freq'!D113</f>
        <v>700000</v>
      </c>
      <c r="E113" s="222">
        <f>'12ME Dec18 Cal Bill Freq'!E113</f>
        <v>700000</v>
      </c>
      <c r="F113" s="222">
        <f>'12ME Dec18 Cal Bill Freq'!F113</f>
        <v>700000</v>
      </c>
      <c r="G113" s="222">
        <f>'12ME Dec18 Cal Bill Freq'!G113</f>
        <v>700000</v>
      </c>
      <c r="H113" s="222">
        <f>'12ME Dec18 Cal Bill Freq'!H113</f>
        <v>700000</v>
      </c>
      <c r="I113" s="222">
        <f>'12ME Dec18 Cal Bill Freq'!I113</f>
        <v>700000</v>
      </c>
      <c r="J113" s="222">
        <f>'12ME Dec18 Cal Bill Freq'!J113</f>
        <v>691062.3</v>
      </c>
      <c r="K113" s="222">
        <f>'12ME Dec18 Cal Bill Freq'!K113</f>
        <v>690322</v>
      </c>
      <c r="L113" s="222">
        <f>'12ME Dec18 Cal Bill Freq'!L113</f>
        <v>700000</v>
      </c>
      <c r="M113" s="222">
        <f>'12ME Dec18 Cal Bill Freq'!M113</f>
        <v>700000</v>
      </c>
      <c r="N113" s="196">
        <f t="shared" si="29"/>
        <v>8381384.2999999998</v>
      </c>
    </row>
    <row r="114" spans="1:14" x14ac:dyDescent="0.2">
      <c r="A114" s="130" t="s">
        <v>101</v>
      </c>
      <c r="B114" s="222">
        <f>'12ME Dec18 Cal Bill Freq'!B114</f>
        <v>1870856.82</v>
      </c>
      <c r="C114" s="222">
        <f>'12ME Dec18 Cal Bill Freq'!C114</f>
        <v>1835996.53</v>
      </c>
      <c r="D114" s="222">
        <f>'12ME Dec18 Cal Bill Freq'!D114</f>
        <v>1852529.04</v>
      </c>
      <c r="E114" s="222">
        <f>'12ME Dec18 Cal Bill Freq'!E114</f>
        <v>1849111.29</v>
      </c>
      <c r="F114" s="222">
        <f>'12ME Dec18 Cal Bill Freq'!F114</f>
        <v>1838962.32</v>
      </c>
      <c r="G114" s="222">
        <f>'12ME Dec18 Cal Bill Freq'!G114</f>
        <v>1829849.35</v>
      </c>
      <c r="H114" s="222">
        <f>'12ME Dec18 Cal Bill Freq'!H114</f>
        <v>1842102.79</v>
      </c>
      <c r="I114" s="222">
        <f>'12ME Dec18 Cal Bill Freq'!I114</f>
        <v>1829452.55</v>
      </c>
      <c r="J114" s="222">
        <f>'12ME Dec18 Cal Bill Freq'!J114</f>
        <v>1800000</v>
      </c>
      <c r="K114" s="222">
        <f>'12ME Dec18 Cal Bill Freq'!K114</f>
        <v>1798430.93</v>
      </c>
      <c r="L114" s="222">
        <f>'12ME Dec18 Cal Bill Freq'!L114</f>
        <v>1822543.82</v>
      </c>
      <c r="M114" s="222">
        <f>'12ME Dec18 Cal Bill Freq'!M114</f>
        <v>1824499.37</v>
      </c>
      <c r="N114" s="196">
        <f t="shared" si="29"/>
        <v>21994334.810000002</v>
      </c>
    </row>
    <row r="115" spans="1:14" x14ac:dyDescent="0.2">
      <c r="A115" s="130" t="s">
        <v>174</v>
      </c>
      <c r="B115" s="196">
        <f>B116-SUM(B110:B114)</f>
        <v>3046424.83</v>
      </c>
      <c r="C115" s="196">
        <f t="shared" ref="C115:M115" si="30">C116-SUM(C110:C114)</f>
        <v>3670249.91</v>
      </c>
      <c r="D115" s="196">
        <f t="shared" si="30"/>
        <v>4432642.47</v>
      </c>
      <c r="E115" s="196">
        <f t="shared" si="30"/>
        <v>3366516.3099999996</v>
      </c>
      <c r="F115" s="196">
        <f t="shared" si="30"/>
        <v>3714551.6899999995</v>
      </c>
      <c r="G115" s="196">
        <f t="shared" si="30"/>
        <v>3252523.85</v>
      </c>
      <c r="H115" s="196">
        <f t="shared" si="30"/>
        <v>4361843.04</v>
      </c>
      <c r="I115" s="196">
        <f t="shared" si="30"/>
        <v>4369914.9400000004</v>
      </c>
      <c r="J115" s="196">
        <f t="shared" si="30"/>
        <v>3366864.67</v>
      </c>
      <c r="K115" s="196">
        <f t="shared" si="30"/>
        <v>3360078.0300000003</v>
      </c>
      <c r="L115" s="196">
        <f t="shared" si="30"/>
        <v>2270404.7200000007</v>
      </c>
      <c r="M115" s="196">
        <f t="shared" si="30"/>
        <v>3766970.1800000006</v>
      </c>
      <c r="N115" s="196">
        <f t="shared" si="29"/>
        <v>42978984.640000001</v>
      </c>
    </row>
    <row r="116" spans="1:14" x14ac:dyDescent="0.2">
      <c r="A116" s="130" t="s">
        <v>6</v>
      </c>
      <c r="B116" s="222">
        <f>'12ME Dec18 Weather Adj'!D197</f>
        <v>6317281.6500000004</v>
      </c>
      <c r="C116" s="222">
        <f>'12ME Dec18 Weather Adj'!E197</f>
        <v>6906246.4400000004</v>
      </c>
      <c r="D116" s="222">
        <f>'12ME Dec18 Weather Adj'!F197</f>
        <v>7685171.5099999998</v>
      </c>
      <c r="E116" s="222">
        <f>'12ME Dec18 Weather Adj'!G197</f>
        <v>6615627.5999999996</v>
      </c>
      <c r="F116" s="222">
        <f>'12ME Dec18 Weather Adj'!H197</f>
        <v>6953514.0099999998</v>
      </c>
      <c r="G116" s="222">
        <f>'12ME Dec18 Weather Adj'!I197</f>
        <v>6482373.2000000002</v>
      </c>
      <c r="H116" s="222">
        <f>'12ME Dec18 Weather Adj'!J197</f>
        <v>7603945.8300000001</v>
      </c>
      <c r="I116" s="222">
        <f>'12ME Dec18 Weather Adj'!K197</f>
        <v>7599367.4900000002</v>
      </c>
      <c r="J116" s="222">
        <f>'12ME Dec18 Weather Adj'!L197</f>
        <v>6557926.9699999997</v>
      </c>
      <c r="K116" s="222">
        <f>'12ME Dec18 Weather Adj'!M197</f>
        <v>6548147.0600000005</v>
      </c>
      <c r="L116" s="222">
        <f>'12ME Dec18 Weather Adj'!N197</f>
        <v>5492948.540000001</v>
      </c>
      <c r="M116" s="222">
        <f>'12ME Dec18 Weather Adj'!O197</f>
        <v>6991469.5500000007</v>
      </c>
      <c r="N116" s="196">
        <f>SUM(N110:N115)</f>
        <v>81754019.849999994</v>
      </c>
    </row>
    <row r="118" spans="1:14" x14ac:dyDescent="0.2">
      <c r="A118" s="235" t="s">
        <v>6</v>
      </c>
      <c r="B118" s="196">
        <f>SUM(B9,B16,B23,B30,B36,B42,B52,B62,B69,B76,B83,B90,B96,B106,B116)</f>
        <v>31051920.809000008</v>
      </c>
      <c r="C118" s="196">
        <f t="shared" ref="C118:N118" si="31">SUM(C9,C16,C23,C30,C36,C42,C52,C62,C69,C76,C83,C90,C96,C106,C116)</f>
        <v>28736659.778000005</v>
      </c>
      <c r="D118" s="196">
        <f t="shared" si="31"/>
        <v>31002557.535999998</v>
      </c>
      <c r="E118" s="196">
        <f t="shared" si="31"/>
        <v>26234818.140999995</v>
      </c>
      <c r="F118" s="196">
        <f t="shared" si="31"/>
        <v>23625039.57</v>
      </c>
      <c r="G118" s="196">
        <f t="shared" si="31"/>
        <v>21449372.912999999</v>
      </c>
      <c r="H118" s="196">
        <f t="shared" si="31"/>
        <v>21136680.879999999</v>
      </c>
      <c r="I118" s="196">
        <f t="shared" si="31"/>
        <v>21508559.563000001</v>
      </c>
      <c r="J118" s="196">
        <f t="shared" si="31"/>
        <v>21446560.744999997</v>
      </c>
      <c r="K118" s="196">
        <f t="shared" si="31"/>
        <v>25391370.537000008</v>
      </c>
      <c r="L118" s="196">
        <f t="shared" si="31"/>
        <v>26763559.707999997</v>
      </c>
      <c r="M118" s="196">
        <f t="shared" si="31"/>
        <v>30600891.893999998</v>
      </c>
      <c r="N118" s="196">
        <f t="shared" si="31"/>
        <v>308947992.074</v>
      </c>
    </row>
    <row r="119" spans="1:14" x14ac:dyDescent="0.2">
      <c r="A119" s="235" t="s">
        <v>49</v>
      </c>
      <c r="B119" s="196">
        <f>B118-SUM('12ME Dec18 Weather Adj'!D224,'12ME Dec18 Weather Adj'!D227:D229,'12ME Dec18 Weather Adj'!D231:D234)</f>
        <v>0</v>
      </c>
      <c r="C119" s="196">
        <f>C118-SUM('12ME Dec18 Weather Adj'!E224,'12ME Dec18 Weather Adj'!E227:E229,'12ME Dec18 Weather Adj'!E231:E234)</f>
        <v>0</v>
      </c>
      <c r="D119" s="196">
        <f>D118-SUM('12ME Dec18 Weather Adj'!F224,'12ME Dec18 Weather Adj'!F227:F229,'12ME Dec18 Weather Adj'!F231:F234)</f>
        <v>0</v>
      </c>
      <c r="E119" s="196">
        <f>E118-SUM('12ME Dec18 Weather Adj'!G224,'12ME Dec18 Weather Adj'!G227:G229,'12ME Dec18 Weather Adj'!G231:G234)</f>
        <v>0</v>
      </c>
      <c r="F119" s="196">
        <f>F118-SUM('12ME Dec18 Weather Adj'!H224,'12ME Dec18 Weather Adj'!H227:H229,'12ME Dec18 Weather Adj'!H231:H234)</f>
        <v>0</v>
      </c>
      <c r="G119" s="196">
        <f>G118-SUM('12ME Dec18 Weather Adj'!I224,'12ME Dec18 Weather Adj'!I227:I229,'12ME Dec18 Weather Adj'!I231:I234)</f>
        <v>0</v>
      </c>
      <c r="H119" s="196">
        <f>H118-SUM('12ME Dec18 Weather Adj'!J224,'12ME Dec18 Weather Adj'!J227:J229,'12ME Dec18 Weather Adj'!J231:J234)</f>
        <v>0</v>
      </c>
      <c r="I119" s="196">
        <f>I118-SUM('12ME Dec18 Weather Adj'!K224,'12ME Dec18 Weather Adj'!K227:K229,'12ME Dec18 Weather Adj'!K231:K234)</f>
        <v>0</v>
      </c>
      <c r="J119" s="196">
        <f>J118-SUM('12ME Dec18 Weather Adj'!L224,'12ME Dec18 Weather Adj'!L227:L229,'12ME Dec18 Weather Adj'!L231:L234)</f>
        <v>0</v>
      </c>
      <c r="K119" s="196">
        <f>K118-SUM('12ME Dec18 Weather Adj'!M224,'12ME Dec18 Weather Adj'!M227:M229,'12ME Dec18 Weather Adj'!M231:M234)</f>
        <v>0</v>
      </c>
      <c r="L119" s="196">
        <f>L118-SUM('12ME Dec18 Weather Adj'!N224,'12ME Dec18 Weather Adj'!N227:N229,'12ME Dec18 Weather Adj'!N231:N234)</f>
        <v>0</v>
      </c>
      <c r="M119" s="196">
        <f>M118-SUM('12ME Dec18 Weather Adj'!O224,'12ME Dec18 Weather Adj'!O227:O229,'12ME Dec18 Weather Adj'!O231:O234)</f>
        <v>0</v>
      </c>
      <c r="N119" s="196">
        <f>N118-SUM('12ME Dec18 Weather Adj'!P224,'12ME Dec18 Weather Adj'!P227:P229,'12ME Dec18 Weather Adj'!P231:P234)</f>
        <v>0</v>
      </c>
    </row>
    <row r="120" spans="1:14" x14ac:dyDescent="0.2">
      <c r="B120" s="205"/>
    </row>
    <row r="121" spans="1:14" x14ac:dyDescent="0.2">
      <c r="B121" s="196"/>
    </row>
    <row r="123" spans="1:14" x14ac:dyDescent="0.2">
      <c r="A123" s="235" t="s">
        <v>185</v>
      </c>
    </row>
    <row r="125" spans="1:14" x14ac:dyDescent="0.2">
      <c r="A125" s="202" t="s">
        <v>162</v>
      </c>
      <c r="B125" s="373">
        <f t="shared" ref="B125:M125" si="32">B4</f>
        <v>43101</v>
      </c>
      <c r="C125" s="373">
        <f t="shared" si="32"/>
        <v>43132</v>
      </c>
      <c r="D125" s="373">
        <f t="shared" si="32"/>
        <v>43160</v>
      </c>
      <c r="E125" s="373">
        <f t="shared" si="32"/>
        <v>43191</v>
      </c>
      <c r="F125" s="373">
        <f t="shared" si="32"/>
        <v>43221</v>
      </c>
      <c r="G125" s="373">
        <f t="shared" si="32"/>
        <v>43252</v>
      </c>
      <c r="H125" s="373">
        <f t="shared" si="32"/>
        <v>43282</v>
      </c>
      <c r="I125" s="373">
        <f t="shared" si="32"/>
        <v>43313</v>
      </c>
      <c r="J125" s="373">
        <f t="shared" si="32"/>
        <v>43344</v>
      </c>
      <c r="K125" s="373">
        <f t="shared" si="32"/>
        <v>43374</v>
      </c>
      <c r="L125" s="373">
        <f t="shared" si="32"/>
        <v>43405</v>
      </c>
      <c r="M125" s="373">
        <f t="shared" si="32"/>
        <v>43435</v>
      </c>
      <c r="N125" s="363" t="s">
        <v>190</v>
      </c>
    </row>
    <row r="126" spans="1:14" x14ac:dyDescent="0.2">
      <c r="A126" s="133" t="s">
        <v>186</v>
      </c>
      <c r="N126" s="196"/>
    </row>
    <row r="127" spans="1:14" x14ac:dyDescent="0.2">
      <c r="A127" s="130" t="s">
        <v>177</v>
      </c>
      <c r="B127" s="196">
        <f t="shared" ref="B127:M127" si="33">B6+B13</f>
        <v>1223530.061</v>
      </c>
      <c r="C127" s="196">
        <f t="shared" si="33"/>
        <v>1124991.9350000001</v>
      </c>
      <c r="D127" s="196">
        <f t="shared" si="33"/>
        <v>1257997.4469999999</v>
      </c>
      <c r="E127" s="196">
        <f t="shared" si="33"/>
        <v>1217313.821</v>
      </c>
      <c r="F127" s="196">
        <f t="shared" si="33"/>
        <v>1142105.7660000001</v>
      </c>
      <c r="G127" s="196">
        <f t="shared" si="33"/>
        <v>1027226.534</v>
      </c>
      <c r="H127" s="196">
        <f t="shared" si="33"/>
        <v>925584.83499999996</v>
      </c>
      <c r="I127" s="196">
        <f t="shared" si="33"/>
        <v>909914.99899999995</v>
      </c>
      <c r="J127" s="196">
        <f t="shared" si="33"/>
        <v>1027821.9199999999</v>
      </c>
      <c r="K127" s="196">
        <f t="shared" si="33"/>
        <v>1199278.9030000002</v>
      </c>
      <c r="L127" s="196">
        <f t="shared" si="33"/>
        <v>1136608.7030000002</v>
      </c>
      <c r="M127" s="196">
        <f t="shared" si="33"/>
        <v>1195478.915</v>
      </c>
      <c r="N127" s="196">
        <f>SUM(B127:M127)</f>
        <v>13387853.839000002</v>
      </c>
    </row>
    <row r="128" spans="1:14" x14ac:dyDescent="0.2">
      <c r="A128" s="130" t="s">
        <v>165</v>
      </c>
      <c r="B128" s="196">
        <f t="shared" ref="B128:M128" si="34">B7+B14</f>
        <v>3554236.7339999997</v>
      </c>
      <c r="C128" s="196">
        <f t="shared" si="34"/>
        <v>3376959.6930000004</v>
      </c>
      <c r="D128" s="196">
        <f t="shared" si="34"/>
        <v>3412994.1689999998</v>
      </c>
      <c r="E128" s="196">
        <f t="shared" si="34"/>
        <v>2686600.4929999998</v>
      </c>
      <c r="F128" s="196">
        <f t="shared" si="34"/>
        <v>1855186.652</v>
      </c>
      <c r="G128" s="196">
        <f t="shared" si="34"/>
        <v>1556333.237</v>
      </c>
      <c r="H128" s="196">
        <f t="shared" si="34"/>
        <v>1230727.669</v>
      </c>
      <c r="I128" s="196">
        <f t="shared" si="34"/>
        <v>1280836.469</v>
      </c>
      <c r="J128" s="196">
        <f t="shared" si="34"/>
        <v>1609920.8360000001</v>
      </c>
      <c r="K128" s="196">
        <f t="shared" si="34"/>
        <v>2416807.5</v>
      </c>
      <c r="L128" s="196">
        <f t="shared" si="34"/>
        <v>3061382.8930000002</v>
      </c>
      <c r="M128" s="196">
        <f t="shared" si="34"/>
        <v>3530076.9920000001</v>
      </c>
      <c r="N128" s="196">
        <f>SUM(B128:M128)</f>
        <v>29572063.337000001</v>
      </c>
    </row>
    <row r="129" spans="1:14" x14ac:dyDescent="0.2">
      <c r="A129" s="130" t="s">
        <v>166</v>
      </c>
      <c r="B129" s="196">
        <f t="shared" ref="B129:M129" si="35">B8+B15</f>
        <v>3421488.0619999999</v>
      </c>
      <c r="C129" s="196">
        <f t="shared" si="35"/>
        <v>2372582.0450000004</v>
      </c>
      <c r="D129" s="196">
        <f t="shared" si="35"/>
        <v>2515718.7050000005</v>
      </c>
      <c r="E129" s="196">
        <f t="shared" si="35"/>
        <v>1844846.3620000002</v>
      </c>
      <c r="F129" s="196">
        <f t="shared" si="35"/>
        <v>1515079.0840000003</v>
      </c>
      <c r="G129" s="196">
        <f t="shared" si="35"/>
        <v>1000541.071</v>
      </c>
      <c r="H129" s="196">
        <f t="shared" si="35"/>
        <v>773015.20999999985</v>
      </c>
      <c r="I129" s="196">
        <f t="shared" si="35"/>
        <v>776539.43400000001</v>
      </c>
      <c r="J129" s="196">
        <f t="shared" si="35"/>
        <v>935820.68899999978</v>
      </c>
      <c r="K129" s="196">
        <f t="shared" si="35"/>
        <v>1470679.1070000003</v>
      </c>
      <c r="L129" s="196">
        <f t="shared" si="35"/>
        <v>2643158.4849999999</v>
      </c>
      <c r="M129" s="196">
        <f t="shared" si="35"/>
        <v>3268479.1280000005</v>
      </c>
      <c r="N129" s="196">
        <f>SUM(B129:M129)</f>
        <v>22537947.381999999</v>
      </c>
    </row>
    <row r="130" spans="1:14" x14ac:dyDescent="0.2">
      <c r="A130" s="130" t="s">
        <v>6</v>
      </c>
      <c r="B130" s="196">
        <f>SUM(B127:B129)</f>
        <v>8199254.8569999998</v>
      </c>
      <c r="C130" s="196">
        <f t="shared" ref="C130:N130" si="36">SUM(C127:C129)</f>
        <v>6874533.6730000004</v>
      </c>
      <c r="D130" s="196">
        <f t="shared" si="36"/>
        <v>7186710.3210000005</v>
      </c>
      <c r="E130" s="196">
        <f t="shared" si="36"/>
        <v>5748760.676</v>
      </c>
      <c r="F130" s="196">
        <f t="shared" si="36"/>
        <v>4512371.5020000003</v>
      </c>
      <c r="G130" s="196">
        <f t="shared" si="36"/>
        <v>3584100.8419999997</v>
      </c>
      <c r="H130" s="196">
        <f t="shared" si="36"/>
        <v>2929327.7139999997</v>
      </c>
      <c r="I130" s="196">
        <f t="shared" si="36"/>
        <v>2967290.9019999998</v>
      </c>
      <c r="J130" s="196">
        <f t="shared" si="36"/>
        <v>3573563.4449999998</v>
      </c>
      <c r="K130" s="196">
        <f t="shared" si="36"/>
        <v>5086765.51</v>
      </c>
      <c r="L130" s="196">
        <f t="shared" si="36"/>
        <v>6841150.0810000002</v>
      </c>
      <c r="M130" s="196">
        <f t="shared" si="36"/>
        <v>7994035.0350000001</v>
      </c>
      <c r="N130" s="196">
        <f t="shared" si="36"/>
        <v>65497864.557999998</v>
      </c>
    </row>
    <row r="131" spans="1:14" x14ac:dyDescent="0.2">
      <c r="A131" s="130"/>
      <c r="N131" s="196"/>
    </row>
    <row r="132" spans="1:14" x14ac:dyDescent="0.2">
      <c r="A132" s="130"/>
      <c r="N132" s="196"/>
    </row>
    <row r="133" spans="1:14" x14ac:dyDescent="0.2">
      <c r="A133" s="235" t="s">
        <v>187</v>
      </c>
      <c r="N133" s="196"/>
    </row>
    <row r="134" spans="1:14" x14ac:dyDescent="0.2">
      <c r="A134" s="130" t="s">
        <v>88</v>
      </c>
      <c r="B134" s="196">
        <f t="shared" ref="B134:M134" si="37">B20+B27</f>
        <v>719890.61199999996</v>
      </c>
      <c r="C134" s="196">
        <f t="shared" si="37"/>
        <v>692842.14</v>
      </c>
      <c r="D134" s="196">
        <f t="shared" si="37"/>
        <v>727976.48900000006</v>
      </c>
      <c r="E134" s="196">
        <f t="shared" si="37"/>
        <v>690550.60700000008</v>
      </c>
      <c r="F134" s="196">
        <f t="shared" si="37"/>
        <v>626700.098</v>
      </c>
      <c r="G134" s="196">
        <f t="shared" si="37"/>
        <v>556210.46700000006</v>
      </c>
      <c r="H134" s="196">
        <f t="shared" si="37"/>
        <v>531251.80299999996</v>
      </c>
      <c r="I134" s="196">
        <f t="shared" si="37"/>
        <v>513174.25199999998</v>
      </c>
      <c r="J134" s="196">
        <f t="shared" si="37"/>
        <v>553845.97</v>
      </c>
      <c r="K134" s="196">
        <f t="shared" si="37"/>
        <v>640373.66799999995</v>
      </c>
      <c r="L134" s="196">
        <f t="shared" si="37"/>
        <v>669903.52500000002</v>
      </c>
      <c r="M134" s="196">
        <f t="shared" si="37"/>
        <v>694902.04200000002</v>
      </c>
      <c r="N134" s="196">
        <f>SUM(B134:M134)</f>
        <v>7617621.6730000013</v>
      </c>
    </row>
    <row r="135" spans="1:14" x14ac:dyDescent="0.2">
      <c r="A135" s="130" t="s">
        <v>89</v>
      </c>
      <c r="B135" s="196">
        <f t="shared" ref="B135:M135" si="38">B21+B28</f>
        <v>500903.495</v>
      </c>
      <c r="C135" s="196">
        <f t="shared" si="38"/>
        <v>436696.24900000001</v>
      </c>
      <c r="D135" s="196">
        <f t="shared" si="38"/>
        <v>451199.37699999998</v>
      </c>
      <c r="E135" s="196">
        <f t="shared" si="38"/>
        <v>342953.239</v>
      </c>
      <c r="F135" s="196">
        <f t="shared" si="38"/>
        <v>286850.00899999996</v>
      </c>
      <c r="G135" s="196">
        <f t="shared" si="38"/>
        <v>242885.50099999999</v>
      </c>
      <c r="H135" s="196">
        <f t="shared" si="38"/>
        <v>192509.584</v>
      </c>
      <c r="I135" s="196">
        <f t="shared" si="38"/>
        <v>217423.701</v>
      </c>
      <c r="J135" s="196">
        <f t="shared" si="38"/>
        <v>248840.15400000001</v>
      </c>
      <c r="K135" s="196">
        <f t="shared" si="38"/>
        <v>314168.38500000001</v>
      </c>
      <c r="L135" s="196">
        <f t="shared" si="38"/>
        <v>358301.68599999999</v>
      </c>
      <c r="M135" s="196">
        <f t="shared" si="38"/>
        <v>428550.44299999997</v>
      </c>
      <c r="N135" s="196">
        <f>SUM(B135:M135)</f>
        <v>4021281.8229999999</v>
      </c>
    </row>
    <row r="136" spans="1:14" x14ac:dyDescent="0.2">
      <c r="A136" s="130" t="s">
        <v>169</v>
      </c>
      <c r="B136" s="196">
        <f t="shared" ref="B136:M136" si="39">B22+B29</f>
        <v>712814.16200000001</v>
      </c>
      <c r="C136" s="196">
        <f t="shared" si="39"/>
        <v>550985.64500000014</v>
      </c>
      <c r="D136" s="196">
        <f t="shared" si="39"/>
        <v>610211.88099999982</v>
      </c>
      <c r="E136" s="196">
        <f t="shared" si="39"/>
        <v>366948.06699999992</v>
      </c>
      <c r="F136" s="196">
        <f t="shared" si="39"/>
        <v>133398.27900000001</v>
      </c>
      <c r="G136" s="196">
        <f t="shared" si="39"/>
        <v>47470.895000000019</v>
      </c>
      <c r="H136" s="196">
        <f t="shared" si="39"/>
        <v>27513.770000000019</v>
      </c>
      <c r="I136" s="196">
        <f t="shared" si="39"/>
        <v>87994.886999999988</v>
      </c>
      <c r="J136" s="196">
        <f t="shared" si="39"/>
        <v>148801.91399999999</v>
      </c>
      <c r="K136" s="196">
        <f t="shared" si="39"/>
        <v>292087.82400000002</v>
      </c>
      <c r="L136" s="196">
        <f t="shared" si="39"/>
        <v>498038.83500000008</v>
      </c>
      <c r="M136" s="196">
        <f t="shared" si="39"/>
        <v>672828.89899999986</v>
      </c>
      <c r="N136" s="196">
        <f>SUM(B136:M136)</f>
        <v>4149095.0579999997</v>
      </c>
    </row>
    <row r="137" spans="1:14" x14ac:dyDescent="0.2">
      <c r="A137" s="130" t="s">
        <v>6</v>
      </c>
      <c r="B137" s="196">
        <f>SUM(B134:B136)</f>
        <v>1933608.2689999999</v>
      </c>
      <c r="C137" s="196">
        <f t="shared" ref="C137:N137" si="40">SUM(C134:C136)</f>
        <v>1680524.034</v>
      </c>
      <c r="D137" s="196">
        <f t="shared" si="40"/>
        <v>1789387.7469999997</v>
      </c>
      <c r="E137" s="196">
        <f t="shared" si="40"/>
        <v>1400451.9130000002</v>
      </c>
      <c r="F137" s="196">
        <f t="shared" si="40"/>
        <v>1046948.3859999999</v>
      </c>
      <c r="G137" s="196">
        <f t="shared" si="40"/>
        <v>846566.86300000013</v>
      </c>
      <c r="H137" s="196">
        <f t="shared" si="40"/>
        <v>751275.15700000001</v>
      </c>
      <c r="I137" s="196">
        <f t="shared" si="40"/>
        <v>818592.84</v>
      </c>
      <c r="J137" s="196">
        <f t="shared" si="40"/>
        <v>951488.03799999994</v>
      </c>
      <c r="K137" s="196">
        <f t="shared" si="40"/>
        <v>1246629.8769999999</v>
      </c>
      <c r="L137" s="196">
        <f t="shared" si="40"/>
        <v>1526244.0460000001</v>
      </c>
      <c r="M137" s="196">
        <f t="shared" si="40"/>
        <v>1796281.3839999996</v>
      </c>
      <c r="N137" s="196">
        <f t="shared" si="40"/>
        <v>15787998.554000001</v>
      </c>
    </row>
    <row r="138" spans="1:14" x14ac:dyDescent="0.2">
      <c r="A138" s="130"/>
      <c r="N138" s="196"/>
    </row>
    <row r="139" spans="1:14" x14ac:dyDescent="0.2">
      <c r="A139" s="130"/>
      <c r="N139" s="196"/>
    </row>
    <row r="140" spans="1:14" x14ac:dyDescent="0.2">
      <c r="A140" s="130" t="s">
        <v>188</v>
      </c>
      <c r="N140" s="196"/>
    </row>
    <row r="141" spans="1:14" x14ac:dyDescent="0.2">
      <c r="A141" s="130" t="s">
        <v>94</v>
      </c>
      <c r="B141" s="196">
        <f t="shared" ref="B141:M141" si="41">B34+B40</f>
        <v>214075.91</v>
      </c>
      <c r="C141" s="196">
        <f t="shared" si="41"/>
        <v>197196.86900000001</v>
      </c>
      <c r="D141" s="196">
        <f t="shared" si="41"/>
        <v>221515.51699999999</v>
      </c>
      <c r="E141" s="196">
        <f t="shared" si="41"/>
        <v>208347.55799999999</v>
      </c>
      <c r="F141" s="196">
        <f t="shared" si="41"/>
        <v>166351.859</v>
      </c>
      <c r="G141" s="196">
        <f t="shared" si="41"/>
        <v>126351.497</v>
      </c>
      <c r="H141" s="196">
        <f t="shared" si="41"/>
        <v>88771.553</v>
      </c>
      <c r="I141" s="196">
        <f t="shared" si="41"/>
        <v>90408.67300000001</v>
      </c>
      <c r="J141" s="196">
        <f t="shared" si="41"/>
        <v>139413.00600000002</v>
      </c>
      <c r="K141" s="196">
        <f t="shared" si="41"/>
        <v>198054.66800000001</v>
      </c>
      <c r="L141" s="196">
        <f t="shared" si="41"/>
        <v>196430.67299999998</v>
      </c>
      <c r="M141" s="196">
        <f t="shared" si="41"/>
        <v>207333.484</v>
      </c>
      <c r="N141" s="196">
        <f>SUM(B141:M141)</f>
        <v>2054251.267</v>
      </c>
    </row>
    <row r="142" spans="1:14" x14ac:dyDescent="0.2">
      <c r="A142" s="130" t="s">
        <v>172</v>
      </c>
      <c r="B142" s="196">
        <f t="shared" ref="B142:M142" si="42">B35+B41</f>
        <v>1062351.7660000001</v>
      </c>
      <c r="C142" s="196">
        <f t="shared" si="42"/>
        <v>871265.40000000014</v>
      </c>
      <c r="D142" s="196">
        <f t="shared" si="42"/>
        <v>905680.85399999993</v>
      </c>
      <c r="E142" s="196">
        <f t="shared" si="42"/>
        <v>656379.93799999997</v>
      </c>
      <c r="F142" s="196">
        <f t="shared" si="42"/>
        <v>318186.84099999996</v>
      </c>
      <c r="G142" s="196">
        <f t="shared" si="42"/>
        <v>195426.64599999998</v>
      </c>
      <c r="H142" s="196">
        <f t="shared" si="42"/>
        <v>131190.74600000001</v>
      </c>
      <c r="I142" s="196">
        <f t="shared" si="42"/>
        <v>124596.58700000001</v>
      </c>
      <c r="J142" s="196">
        <f t="shared" si="42"/>
        <v>223431.38200000001</v>
      </c>
      <c r="K142" s="196">
        <f t="shared" si="42"/>
        <v>504342.10999999993</v>
      </c>
      <c r="L142" s="196">
        <f t="shared" si="42"/>
        <v>752330.12600000005</v>
      </c>
      <c r="M142" s="196">
        <f t="shared" si="42"/>
        <v>953203.12999999989</v>
      </c>
      <c r="N142" s="196">
        <f>SUM(B142:M142)</f>
        <v>6698385.5260000005</v>
      </c>
    </row>
    <row r="143" spans="1:14" x14ac:dyDescent="0.2">
      <c r="A143" s="130" t="s">
        <v>6</v>
      </c>
      <c r="B143" s="196">
        <f>SUM(B141:B142)</f>
        <v>1276427.676</v>
      </c>
      <c r="C143" s="196">
        <f t="shared" ref="C143:N143" si="43">SUM(C141:C142)</f>
        <v>1068462.2690000001</v>
      </c>
      <c r="D143" s="196">
        <f t="shared" si="43"/>
        <v>1127196.3709999998</v>
      </c>
      <c r="E143" s="196">
        <f t="shared" si="43"/>
        <v>864727.49599999993</v>
      </c>
      <c r="F143" s="196">
        <f t="shared" si="43"/>
        <v>484538.69999999995</v>
      </c>
      <c r="G143" s="196">
        <f t="shared" si="43"/>
        <v>321778.14299999998</v>
      </c>
      <c r="H143" s="196">
        <f t="shared" si="43"/>
        <v>219962.299</v>
      </c>
      <c r="I143" s="196">
        <f t="shared" si="43"/>
        <v>215005.26</v>
      </c>
      <c r="J143" s="196">
        <f t="shared" si="43"/>
        <v>362844.38800000004</v>
      </c>
      <c r="K143" s="196">
        <f t="shared" si="43"/>
        <v>702396.77799999993</v>
      </c>
      <c r="L143" s="196">
        <f t="shared" si="43"/>
        <v>948760.799</v>
      </c>
      <c r="M143" s="196">
        <f t="shared" si="43"/>
        <v>1160536.6139999998</v>
      </c>
      <c r="N143" s="196">
        <f t="shared" si="43"/>
        <v>8752636.7930000015</v>
      </c>
    </row>
    <row r="144" spans="1:14" x14ac:dyDescent="0.2">
      <c r="A144" s="130"/>
      <c r="N144" s="196"/>
    </row>
    <row r="145" spans="1:14" x14ac:dyDescent="0.2">
      <c r="A145" s="130"/>
      <c r="N145" s="196"/>
    </row>
    <row r="146" spans="1:14" x14ac:dyDescent="0.2">
      <c r="A146" s="235" t="s">
        <v>189</v>
      </c>
      <c r="N146" s="196"/>
    </row>
    <row r="147" spans="1:14" x14ac:dyDescent="0.2">
      <c r="A147" s="130" t="s">
        <v>88</v>
      </c>
      <c r="B147" s="196">
        <f t="shared" ref="B147:M147" si="44">B46+B56</f>
        <v>126044.556</v>
      </c>
      <c r="C147" s="196">
        <f t="shared" si="44"/>
        <v>121455.628</v>
      </c>
      <c r="D147" s="196">
        <f t="shared" si="44"/>
        <v>125000</v>
      </c>
      <c r="E147" s="196">
        <f t="shared" si="44"/>
        <v>124138</v>
      </c>
      <c r="F147" s="196">
        <f t="shared" si="44"/>
        <v>127528.666</v>
      </c>
      <c r="G147" s="196">
        <f t="shared" si="44"/>
        <v>121720.43</v>
      </c>
      <c r="H147" s="196">
        <f t="shared" si="44"/>
        <v>127474.97199999999</v>
      </c>
      <c r="I147" s="196">
        <f t="shared" si="44"/>
        <v>127471.266</v>
      </c>
      <c r="J147" s="196">
        <f t="shared" si="44"/>
        <v>123229.166</v>
      </c>
      <c r="K147" s="196">
        <f t="shared" si="44"/>
        <v>126023.5</v>
      </c>
      <c r="L147" s="196">
        <f t="shared" si="44"/>
        <v>125747.334</v>
      </c>
      <c r="M147" s="196">
        <f t="shared" si="44"/>
        <v>124791.666</v>
      </c>
      <c r="N147" s="196">
        <f>SUM(B147:M147)</f>
        <v>1500625.1839999999</v>
      </c>
    </row>
    <row r="148" spans="1:14" x14ac:dyDescent="0.2">
      <c r="A148" s="130" t="s">
        <v>89</v>
      </c>
      <c r="B148" s="196">
        <f t="shared" ref="B148:M148" si="45">B47+B57</f>
        <v>126044.005</v>
      </c>
      <c r="C148" s="196">
        <f t="shared" si="45"/>
        <v>121455.628</v>
      </c>
      <c r="D148" s="196">
        <f t="shared" si="45"/>
        <v>125000</v>
      </c>
      <c r="E148" s="196">
        <f t="shared" si="45"/>
        <v>124138</v>
      </c>
      <c r="F148" s="196">
        <f t="shared" si="45"/>
        <v>127528.666</v>
      </c>
      <c r="G148" s="196">
        <f t="shared" si="45"/>
        <v>112863.99</v>
      </c>
      <c r="H148" s="196">
        <f t="shared" si="45"/>
        <v>116478.465</v>
      </c>
      <c r="I148" s="196">
        <f t="shared" si="45"/>
        <v>117538.98299999999</v>
      </c>
      <c r="J148" s="196">
        <f t="shared" si="45"/>
        <v>123229.166</v>
      </c>
      <c r="K148" s="196">
        <f t="shared" si="45"/>
        <v>126023.5</v>
      </c>
      <c r="L148" s="196">
        <f t="shared" si="45"/>
        <v>125747.334</v>
      </c>
      <c r="M148" s="196">
        <f t="shared" si="45"/>
        <v>124791.666</v>
      </c>
      <c r="N148" s="196">
        <f>SUM(B148:M148)</f>
        <v>1470839.4029999999</v>
      </c>
    </row>
    <row r="149" spans="1:14" x14ac:dyDescent="0.2">
      <c r="A149" s="130" t="s">
        <v>99</v>
      </c>
      <c r="B149" s="196">
        <f t="shared" ref="B149:M149" si="46">B48+B58</f>
        <v>252089.111</v>
      </c>
      <c r="C149" s="196">
        <f t="shared" si="46"/>
        <v>242911.25599999999</v>
      </c>
      <c r="D149" s="196">
        <f t="shared" si="46"/>
        <v>250000</v>
      </c>
      <c r="E149" s="196">
        <f t="shared" si="46"/>
        <v>248276</v>
      </c>
      <c r="F149" s="196">
        <f t="shared" si="46"/>
        <v>197462.139</v>
      </c>
      <c r="G149" s="196">
        <f t="shared" si="46"/>
        <v>175211.476</v>
      </c>
      <c r="H149" s="196">
        <f t="shared" si="46"/>
        <v>162170.50099999999</v>
      </c>
      <c r="I149" s="196">
        <f t="shared" si="46"/>
        <v>143109.87599999999</v>
      </c>
      <c r="J149" s="196">
        <f t="shared" si="46"/>
        <v>179104.89199999999</v>
      </c>
      <c r="K149" s="196">
        <f t="shared" si="46"/>
        <v>252047</v>
      </c>
      <c r="L149" s="196">
        <f t="shared" si="46"/>
        <v>251494.666</v>
      </c>
      <c r="M149" s="196">
        <f t="shared" si="46"/>
        <v>249583.334</v>
      </c>
      <c r="N149" s="196">
        <f>SUM(B149:M149)</f>
        <v>2603460.2510000002</v>
      </c>
    </row>
    <row r="150" spans="1:14" x14ac:dyDescent="0.2">
      <c r="A150" s="130" t="s">
        <v>100</v>
      </c>
      <c r="B150" s="196">
        <f t="shared" ref="B150:M150" si="47">B49+B59</f>
        <v>394483.83799999999</v>
      </c>
      <c r="C150" s="196">
        <f t="shared" si="47"/>
        <v>439683.32199999999</v>
      </c>
      <c r="D150" s="196">
        <f t="shared" si="47"/>
        <v>443482.08899999998</v>
      </c>
      <c r="E150" s="196">
        <f t="shared" si="47"/>
        <v>318372.07799999998</v>
      </c>
      <c r="F150" s="196">
        <f t="shared" si="47"/>
        <v>167686.50099999999</v>
      </c>
      <c r="G150" s="196">
        <f t="shared" si="47"/>
        <v>115520.219</v>
      </c>
      <c r="H150" s="196">
        <f t="shared" si="47"/>
        <v>101089.102</v>
      </c>
      <c r="I150" s="196">
        <f t="shared" si="47"/>
        <v>105912.84600000001</v>
      </c>
      <c r="J150" s="196">
        <f t="shared" si="47"/>
        <v>137262.06</v>
      </c>
      <c r="K150" s="196">
        <f t="shared" si="47"/>
        <v>241102.802</v>
      </c>
      <c r="L150" s="196">
        <f t="shared" si="47"/>
        <v>336367.91100000002</v>
      </c>
      <c r="M150" s="196">
        <f t="shared" si="47"/>
        <v>396153.761</v>
      </c>
      <c r="N150" s="196">
        <f>SUM(B150:M150)</f>
        <v>3197116.5289999996</v>
      </c>
    </row>
    <row r="151" spans="1:14" x14ac:dyDescent="0.2">
      <c r="A151" s="130" t="s">
        <v>101</v>
      </c>
      <c r="B151" s="196">
        <f t="shared" ref="B151:M151" si="48">B50+B60</f>
        <v>336549.57699999999</v>
      </c>
      <c r="C151" s="196">
        <f t="shared" si="48"/>
        <v>311044.71799999999</v>
      </c>
      <c r="D151" s="196">
        <f t="shared" si="48"/>
        <v>310532.62800000003</v>
      </c>
      <c r="E151" s="196">
        <f t="shared" si="48"/>
        <v>310431.10800000001</v>
      </c>
      <c r="F151" s="196">
        <f t="shared" si="48"/>
        <v>300000</v>
      </c>
      <c r="G151" s="196">
        <f t="shared" si="48"/>
        <v>300000</v>
      </c>
      <c r="H151" s="196">
        <f t="shared" si="48"/>
        <v>300000</v>
      </c>
      <c r="I151" s="196">
        <f t="shared" si="48"/>
        <v>300000</v>
      </c>
      <c r="J151" s="196">
        <f t="shared" si="48"/>
        <v>300000</v>
      </c>
      <c r="K151" s="196">
        <f t="shared" si="48"/>
        <v>300000</v>
      </c>
      <c r="L151" s="196">
        <f t="shared" si="48"/>
        <v>323394.09700000001</v>
      </c>
      <c r="M151" s="196">
        <f t="shared" si="48"/>
        <v>347184.614</v>
      </c>
      <c r="N151" s="196">
        <f>SUM(B151:M151)</f>
        <v>3739136.7420000001</v>
      </c>
    </row>
    <row r="152" spans="1:14" x14ac:dyDescent="0.2">
      <c r="A152" s="130" t="s">
        <v>174</v>
      </c>
      <c r="B152" s="196">
        <f t="shared" ref="B152:M152" si="49">B51+B61</f>
        <v>1346884.32</v>
      </c>
      <c r="C152" s="196">
        <f t="shared" si="49"/>
        <v>1217319.21</v>
      </c>
      <c r="D152" s="196">
        <f t="shared" si="49"/>
        <v>1178005.6599999999</v>
      </c>
      <c r="E152" s="196">
        <f t="shared" si="49"/>
        <v>949314.73</v>
      </c>
      <c r="F152" s="196">
        <f t="shared" si="49"/>
        <v>565504.23</v>
      </c>
      <c r="G152" s="196">
        <f t="shared" si="49"/>
        <v>605234.98</v>
      </c>
      <c r="H152" s="196">
        <f t="shared" si="49"/>
        <v>473068.27</v>
      </c>
      <c r="I152" s="196">
        <f t="shared" si="49"/>
        <v>480992.35</v>
      </c>
      <c r="J152" s="196">
        <f t="shared" si="49"/>
        <v>509890.64999999991</v>
      </c>
      <c r="K152" s="196">
        <f t="shared" si="49"/>
        <v>711653.09</v>
      </c>
      <c r="L152" s="196">
        <f t="shared" si="49"/>
        <v>989687.91999999993</v>
      </c>
      <c r="M152" s="196">
        <f t="shared" si="49"/>
        <v>1342990.14</v>
      </c>
      <c r="N152" s="196">
        <f t="shared" ref="N152" si="50">SUM(B152:M152)</f>
        <v>10370545.550000001</v>
      </c>
    </row>
    <row r="153" spans="1:14" x14ac:dyDescent="0.2">
      <c r="A153" s="130" t="s">
        <v>6</v>
      </c>
      <c r="B153" s="196">
        <f>SUM(B147:B152)</f>
        <v>2582095.4070000001</v>
      </c>
      <c r="C153" s="196">
        <f t="shared" ref="C153:N153" si="51">SUM(C147:C152)</f>
        <v>2453869.7620000001</v>
      </c>
      <c r="D153" s="196">
        <f t="shared" si="51"/>
        <v>2432020.3769999999</v>
      </c>
      <c r="E153" s="196">
        <f t="shared" si="51"/>
        <v>2074669.916</v>
      </c>
      <c r="F153" s="196">
        <f t="shared" si="51"/>
        <v>1485710.202</v>
      </c>
      <c r="G153" s="196">
        <f t="shared" si="51"/>
        <v>1430551.095</v>
      </c>
      <c r="H153" s="196">
        <f t="shared" si="51"/>
        <v>1280281.31</v>
      </c>
      <c r="I153" s="196">
        <f t="shared" si="51"/>
        <v>1275025.321</v>
      </c>
      <c r="J153" s="196">
        <f t="shared" si="51"/>
        <v>1372715.9339999999</v>
      </c>
      <c r="K153" s="196">
        <f t="shared" si="51"/>
        <v>1756849.892</v>
      </c>
      <c r="L153" s="196">
        <f t="shared" si="51"/>
        <v>2152439.2620000001</v>
      </c>
      <c r="M153" s="196">
        <f t="shared" si="51"/>
        <v>2585495.1809999999</v>
      </c>
      <c r="N153" s="196">
        <f t="shared" si="51"/>
        <v>22881723.659000002</v>
      </c>
    </row>
    <row r="154" spans="1:14" x14ac:dyDescent="0.2">
      <c r="A154" s="130"/>
    </row>
    <row r="155" spans="1:14" x14ac:dyDescent="0.2">
      <c r="A155" s="130"/>
      <c r="N155" s="196"/>
    </row>
    <row r="156" spans="1:14" x14ac:dyDescent="0.2">
      <c r="A156" s="130" t="s">
        <v>35</v>
      </c>
      <c r="N156" s="196"/>
    </row>
    <row r="157" spans="1:14" x14ac:dyDescent="0.2">
      <c r="A157" s="130" t="s">
        <v>164</v>
      </c>
      <c r="B157" s="196">
        <f t="shared" ref="B157:M157" si="52">B66+B73</f>
        <v>92790</v>
      </c>
      <c r="C157" s="196">
        <f t="shared" si="52"/>
        <v>94380</v>
      </c>
      <c r="D157" s="196">
        <f t="shared" si="52"/>
        <v>94500</v>
      </c>
      <c r="E157" s="196">
        <f t="shared" si="52"/>
        <v>94500</v>
      </c>
      <c r="F157" s="196">
        <f t="shared" si="52"/>
        <v>91841.99</v>
      </c>
      <c r="G157" s="196">
        <f t="shared" si="52"/>
        <v>94379.11</v>
      </c>
      <c r="H157" s="196">
        <f t="shared" si="52"/>
        <v>93658.62</v>
      </c>
      <c r="I157" s="196">
        <f t="shared" si="52"/>
        <v>93956.930000000008</v>
      </c>
      <c r="J157" s="196">
        <f t="shared" si="52"/>
        <v>94689.709999999992</v>
      </c>
      <c r="K157" s="196">
        <f t="shared" si="52"/>
        <v>96080.6</v>
      </c>
      <c r="L157" s="196">
        <f t="shared" si="52"/>
        <v>94500</v>
      </c>
      <c r="M157" s="196">
        <f t="shared" si="52"/>
        <v>94500</v>
      </c>
      <c r="N157" s="196">
        <f>SUM(B157:M157)</f>
        <v>1129776.96</v>
      </c>
    </row>
    <row r="158" spans="1:14" x14ac:dyDescent="0.2">
      <c r="A158" s="130" t="s">
        <v>165</v>
      </c>
      <c r="B158" s="196">
        <f t="shared" ref="B158:M158" si="53">B67+B74</f>
        <v>384305.32</v>
      </c>
      <c r="C158" s="196">
        <f t="shared" si="53"/>
        <v>389247.94</v>
      </c>
      <c r="D158" s="196">
        <f t="shared" si="53"/>
        <v>384967.23</v>
      </c>
      <c r="E158" s="196">
        <f t="shared" si="53"/>
        <v>364273.51999999996</v>
      </c>
      <c r="F158" s="196">
        <f t="shared" si="53"/>
        <v>328701.23</v>
      </c>
      <c r="G158" s="196">
        <f t="shared" si="53"/>
        <v>326734.64</v>
      </c>
      <c r="H158" s="196">
        <f t="shared" si="53"/>
        <v>314286.61</v>
      </c>
      <c r="I158" s="196">
        <f t="shared" si="53"/>
        <v>315659.51</v>
      </c>
      <c r="J158" s="196">
        <f t="shared" si="53"/>
        <v>325063.38</v>
      </c>
      <c r="K158" s="196">
        <f t="shared" si="53"/>
        <v>365792.24</v>
      </c>
      <c r="L158" s="196">
        <f t="shared" si="53"/>
        <v>376315.68999999994</v>
      </c>
      <c r="M158" s="196">
        <f t="shared" si="53"/>
        <v>398732.03</v>
      </c>
      <c r="N158" s="196">
        <f>SUM(B158:M158)</f>
        <v>4274079.34</v>
      </c>
    </row>
    <row r="159" spans="1:14" x14ac:dyDescent="0.2">
      <c r="A159" s="130" t="s">
        <v>166</v>
      </c>
      <c r="B159" s="196">
        <f t="shared" ref="B159:M159" si="54">B68+B75</f>
        <v>1419878.78</v>
      </c>
      <c r="C159" s="196">
        <f t="shared" si="54"/>
        <v>1264121.23</v>
      </c>
      <c r="D159" s="196">
        <f t="shared" si="54"/>
        <v>1424292.3099999998</v>
      </c>
      <c r="E159" s="196">
        <f t="shared" si="54"/>
        <v>1237126.72</v>
      </c>
      <c r="F159" s="196">
        <f t="shared" si="54"/>
        <v>1194644.03</v>
      </c>
      <c r="G159" s="196">
        <f t="shared" si="54"/>
        <v>1164464.6200000001</v>
      </c>
      <c r="H159" s="196">
        <f t="shared" si="54"/>
        <v>1124429.97</v>
      </c>
      <c r="I159" s="196">
        <f t="shared" si="54"/>
        <v>1187435.1499999999</v>
      </c>
      <c r="J159" s="196">
        <f t="shared" si="54"/>
        <v>1098577.25</v>
      </c>
      <c r="K159" s="196">
        <f t="shared" si="54"/>
        <v>1322607.23</v>
      </c>
      <c r="L159" s="196">
        <f t="shared" si="54"/>
        <v>1368010.92</v>
      </c>
      <c r="M159" s="196">
        <f t="shared" si="54"/>
        <v>1407569.9100000001</v>
      </c>
      <c r="N159" s="196">
        <f>SUM(B159:M159)</f>
        <v>15213158.120000001</v>
      </c>
    </row>
    <row r="160" spans="1:14" x14ac:dyDescent="0.2">
      <c r="A160" s="130" t="s">
        <v>6</v>
      </c>
      <c r="B160" s="196">
        <f>SUM(B157:B159)</f>
        <v>1896974.1</v>
      </c>
      <c r="C160" s="196">
        <f t="shared" ref="C160:N160" si="55">SUM(C157:C159)</f>
        <v>1747749.17</v>
      </c>
      <c r="D160" s="196">
        <f t="shared" si="55"/>
        <v>1903759.5399999998</v>
      </c>
      <c r="E160" s="196">
        <f t="shared" si="55"/>
        <v>1695900.24</v>
      </c>
      <c r="F160" s="196">
        <f t="shared" si="55"/>
        <v>1615187.25</v>
      </c>
      <c r="G160" s="196">
        <f t="shared" si="55"/>
        <v>1585578.37</v>
      </c>
      <c r="H160" s="196">
        <f t="shared" si="55"/>
        <v>1532375.2</v>
      </c>
      <c r="I160" s="196">
        <f t="shared" si="55"/>
        <v>1597051.5899999999</v>
      </c>
      <c r="J160" s="196">
        <f t="shared" si="55"/>
        <v>1518330.3399999999</v>
      </c>
      <c r="K160" s="196">
        <f t="shared" si="55"/>
        <v>1784480.0699999998</v>
      </c>
      <c r="L160" s="196">
        <f t="shared" si="55"/>
        <v>1838826.6099999999</v>
      </c>
      <c r="M160" s="196">
        <f t="shared" si="55"/>
        <v>1900801.9400000002</v>
      </c>
      <c r="N160" s="196">
        <f t="shared" si="55"/>
        <v>20617014.420000002</v>
      </c>
    </row>
    <row r="161" spans="1:14" x14ac:dyDescent="0.2">
      <c r="A161" s="196"/>
      <c r="N161" s="196"/>
    </row>
    <row r="162" spans="1:14" x14ac:dyDescent="0.2">
      <c r="A162" s="130"/>
      <c r="N162" s="196"/>
    </row>
    <row r="163" spans="1:14" x14ac:dyDescent="0.2">
      <c r="A163" s="130" t="s">
        <v>37</v>
      </c>
      <c r="N163" s="196"/>
    </row>
    <row r="164" spans="1:14" x14ac:dyDescent="0.2">
      <c r="A164" s="130" t="s">
        <v>88</v>
      </c>
      <c r="B164" s="196">
        <f t="shared" ref="B164:M164" si="56">B80+B87</f>
        <v>2257763.54</v>
      </c>
      <c r="C164" s="196">
        <f t="shared" si="56"/>
        <v>2273689.6000000001</v>
      </c>
      <c r="D164" s="196">
        <f t="shared" si="56"/>
        <v>2390713.04</v>
      </c>
      <c r="E164" s="196">
        <f t="shared" si="56"/>
        <v>2373528.6799999997</v>
      </c>
      <c r="F164" s="196">
        <f t="shared" si="56"/>
        <v>2379584.1800000002</v>
      </c>
      <c r="G164" s="196">
        <f t="shared" si="56"/>
        <v>2390162.7599999998</v>
      </c>
      <c r="H164" s="196">
        <f t="shared" si="56"/>
        <v>2370436.04</v>
      </c>
      <c r="I164" s="196">
        <f t="shared" si="56"/>
        <v>2353491.5300000003</v>
      </c>
      <c r="J164" s="196">
        <f t="shared" si="56"/>
        <v>2375603.5299999998</v>
      </c>
      <c r="K164" s="196">
        <f t="shared" si="56"/>
        <v>2430621.15</v>
      </c>
      <c r="L164" s="196">
        <f t="shared" si="56"/>
        <v>2322812.96</v>
      </c>
      <c r="M164" s="196">
        <f t="shared" si="56"/>
        <v>2204656.67</v>
      </c>
      <c r="N164" s="196">
        <f>SUM(B164:M164)</f>
        <v>28123063.68</v>
      </c>
    </row>
    <row r="165" spans="1:14" x14ac:dyDescent="0.2">
      <c r="A165" s="130" t="s">
        <v>89</v>
      </c>
      <c r="B165" s="196">
        <f t="shared" ref="B165:M165" si="57">B81+B88</f>
        <v>1581926.17</v>
      </c>
      <c r="C165" s="196">
        <f t="shared" si="57"/>
        <v>1469267.01</v>
      </c>
      <c r="D165" s="196">
        <f t="shared" si="57"/>
        <v>1651151.94</v>
      </c>
      <c r="E165" s="196">
        <f t="shared" si="57"/>
        <v>1564145.3699999999</v>
      </c>
      <c r="F165" s="196">
        <f t="shared" si="57"/>
        <v>1648965.45</v>
      </c>
      <c r="G165" s="196">
        <f t="shared" si="57"/>
        <v>1566657.23</v>
      </c>
      <c r="H165" s="196">
        <f t="shared" si="57"/>
        <v>1559548.22</v>
      </c>
      <c r="I165" s="196">
        <f t="shared" si="57"/>
        <v>1525780.9100000001</v>
      </c>
      <c r="J165" s="196">
        <f t="shared" si="57"/>
        <v>1552273.58</v>
      </c>
      <c r="K165" s="196">
        <f t="shared" si="57"/>
        <v>1729043.58</v>
      </c>
      <c r="L165" s="196">
        <f t="shared" si="57"/>
        <v>1449584.3</v>
      </c>
      <c r="M165" s="196">
        <f t="shared" si="57"/>
        <v>1433928.96</v>
      </c>
      <c r="N165" s="196">
        <f>SUM(B165:M165)</f>
        <v>18732272.720000003</v>
      </c>
    </row>
    <row r="166" spans="1:14" x14ac:dyDescent="0.2">
      <c r="A166" s="130" t="s">
        <v>169</v>
      </c>
      <c r="B166" s="196">
        <f t="shared" ref="B166:M166" si="58">B82+B89</f>
        <v>2837928.33</v>
      </c>
      <c r="C166" s="196">
        <f t="shared" si="58"/>
        <v>2338605</v>
      </c>
      <c r="D166" s="196">
        <f t="shared" si="58"/>
        <v>2935429.37</v>
      </c>
      <c r="E166" s="196">
        <f t="shared" si="58"/>
        <v>2235208.8700000006</v>
      </c>
      <c r="F166" s="196">
        <f t="shared" si="58"/>
        <v>2091580.86</v>
      </c>
      <c r="G166" s="196">
        <f t="shared" si="58"/>
        <v>2027673.8699999996</v>
      </c>
      <c r="H166" s="196">
        <f t="shared" si="58"/>
        <v>1858638.0800000003</v>
      </c>
      <c r="I166" s="196">
        <f t="shared" si="58"/>
        <v>2049941.51</v>
      </c>
      <c r="J166" s="196">
        <f t="shared" si="58"/>
        <v>2035760.6699999995</v>
      </c>
      <c r="K166" s="196">
        <f t="shared" si="58"/>
        <v>2621470.23</v>
      </c>
      <c r="L166" s="196">
        <f t="shared" si="58"/>
        <v>2463965.2400000002</v>
      </c>
      <c r="M166" s="196">
        <f t="shared" si="58"/>
        <v>2480619.7799999998</v>
      </c>
      <c r="N166" s="196">
        <f>SUM(B166:M166)</f>
        <v>27976821.810000002</v>
      </c>
    </row>
    <row r="167" spans="1:14" x14ac:dyDescent="0.2">
      <c r="A167" s="130" t="s">
        <v>6</v>
      </c>
      <c r="B167" s="196">
        <f>SUM(B164:B166)</f>
        <v>6677618.04</v>
      </c>
      <c r="C167" s="196">
        <f t="shared" ref="C167:N167" si="59">SUM(C164:C166)</f>
        <v>6081561.6100000003</v>
      </c>
      <c r="D167" s="196">
        <f t="shared" si="59"/>
        <v>6977294.3499999996</v>
      </c>
      <c r="E167" s="196">
        <f t="shared" si="59"/>
        <v>6172882.9199999999</v>
      </c>
      <c r="F167" s="196">
        <f t="shared" si="59"/>
        <v>6120130.4900000002</v>
      </c>
      <c r="G167" s="196">
        <f t="shared" si="59"/>
        <v>5984493.8599999994</v>
      </c>
      <c r="H167" s="196">
        <f t="shared" si="59"/>
        <v>5788622.3399999999</v>
      </c>
      <c r="I167" s="196">
        <f t="shared" si="59"/>
        <v>5929213.9500000002</v>
      </c>
      <c r="J167" s="196">
        <f t="shared" si="59"/>
        <v>5963637.7799999993</v>
      </c>
      <c r="K167" s="196">
        <f t="shared" si="59"/>
        <v>6781134.96</v>
      </c>
      <c r="L167" s="196">
        <f t="shared" si="59"/>
        <v>6236362.5</v>
      </c>
      <c r="M167" s="196">
        <f t="shared" si="59"/>
        <v>6119205.4100000001</v>
      </c>
      <c r="N167" s="196">
        <f t="shared" si="59"/>
        <v>74832158.210000008</v>
      </c>
    </row>
    <row r="168" spans="1:14" x14ac:dyDescent="0.2">
      <c r="A168" s="130"/>
      <c r="N168" s="196"/>
    </row>
    <row r="169" spans="1:14" x14ac:dyDescent="0.2">
      <c r="A169" s="130"/>
      <c r="N169" s="196"/>
    </row>
    <row r="170" spans="1:14" x14ac:dyDescent="0.2">
      <c r="A170" s="196" t="s">
        <v>39</v>
      </c>
      <c r="N170" s="196"/>
    </row>
    <row r="171" spans="1:14" x14ac:dyDescent="0.2">
      <c r="A171" s="130" t="s">
        <v>94</v>
      </c>
      <c r="B171" s="196">
        <f t="shared" ref="B171:M171" si="60">B94</f>
        <v>2000</v>
      </c>
      <c r="C171" s="196">
        <f t="shared" si="60"/>
        <v>2000</v>
      </c>
      <c r="D171" s="196">
        <f t="shared" si="60"/>
        <v>2000</v>
      </c>
      <c r="E171" s="196">
        <f t="shared" si="60"/>
        <v>2000</v>
      </c>
      <c r="F171" s="196">
        <f t="shared" si="60"/>
        <v>2000</v>
      </c>
      <c r="G171" s="196">
        <f t="shared" si="60"/>
        <v>1930.91</v>
      </c>
      <c r="H171" s="196">
        <f t="shared" si="60"/>
        <v>1405.28</v>
      </c>
      <c r="I171" s="196">
        <f t="shared" si="60"/>
        <v>2000</v>
      </c>
      <c r="J171" s="196">
        <f t="shared" si="60"/>
        <v>1675.55</v>
      </c>
      <c r="K171" s="196">
        <f t="shared" si="60"/>
        <v>2000</v>
      </c>
      <c r="L171" s="196">
        <f t="shared" si="60"/>
        <v>2000</v>
      </c>
      <c r="M171" s="196">
        <f t="shared" si="60"/>
        <v>2000</v>
      </c>
      <c r="N171" s="196">
        <f>SUM(B171:M171)</f>
        <v>23011.74</v>
      </c>
    </row>
    <row r="172" spans="1:14" x14ac:dyDescent="0.2">
      <c r="A172" s="130" t="s">
        <v>172</v>
      </c>
      <c r="B172" s="196">
        <f t="shared" ref="B172:M172" si="61">B95</f>
        <v>47343.94</v>
      </c>
      <c r="C172" s="196">
        <f t="shared" si="61"/>
        <v>50603.87</v>
      </c>
      <c r="D172" s="196">
        <f t="shared" si="61"/>
        <v>38825.67</v>
      </c>
      <c r="E172" s="196">
        <f t="shared" si="61"/>
        <v>22785.5</v>
      </c>
      <c r="F172" s="196">
        <f t="shared" si="61"/>
        <v>16363.18</v>
      </c>
      <c r="G172" s="196">
        <f t="shared" si="61"/>
        <v>19011.68</v>
      </c>
      <c r="H172" s="196">
        <f t="shared" si="61"/>
        <v>14958.23</v>
      </c>
      <c r="I172" s="196">
        <f t="shared" si="61"/>
        <v>11568.14</v>
      </c>
      <c r="J172" s="196">
        <f t="shared" si="61"/>
        <v>17296.669999999998</v>
      </c>
      <c r="K172" s="196">
        <f t="shared" si="61"/>
        <v>31141.14</v>
      </c>
      <c r="L172" s="196">
        <f t="shared" si="61"/>
        <v>32143.08</v>
      </c>
      <c r="M172" s="196">
        <f t="shared" si="61"/>
        <v>26235.31</v>
      </c>
      <c r="N172" s="196">
        <f>SUM(B172:M172)</f>
        <v>328276.40999999997</v>
      </c>
    </row>
    <row r="173" spans="1:14" x14ac:dyDescent="0.2">
      <c r="A173" s="130" t="s">
        <v>6</v>
      </c>
      <c r="B173" s="196">
        <f>SUM(B171:B172)</f>
        <v>49343.94</v>
      </c>
      <c r="C173" s="196">
        <f t="shared" ref="C173:N173" si="62">SUM(C171:C172)</f>
        <v>52603.87</v>
      </c>
      <c r="D173" s="196">
        <f t="shared" si="62"/>
        <v>40825.67</v>
      </c>
      <c r="E173" s="196">
        <f t="shared" si="62"/>
        <v>24785.5</v>
      </c>
      <c r="F173" s="196">
        <f t="shared" si="62"/>
        <v>18363.18</v>
      </c>
      <c r="G173" s="196">
        <f t="shared" si="62"/>
        <v>20942.59</v>
      </c>
      <c r="H173" s="196">
        <f t="shared" si="62"/>
        <v>16363.51</v>
      </c>
      <c r="I173" s="196">
        <f t="shared" si="62"/>
        <v>13568.14</v>
      </c>
      <c r="J173" s="196">
        <f t="shared" si="62"/>
        <v>18972.219999999998</v>
      </c>
      <c r="K173" s="196">
        <f t="shared" si="62"/>
        <v>33141.14</v>
      </c>
      <c r="L173" s="196">
        <f t="shared" si="62"/>
        <v>34143.08</v>
      </c>
      <c r="M173" s="196">
        <f t="shared" si="62"/>
        <v>28235.31</v>
      </c>
      <c r="N173" s="196">
        <f t="shared" si="62"/>
        <v>351288.14999999997</v>
      </c>
    </row>
    <row r="174" spans="1:14" x14ac:dyDescent="0.2">
      <c r="A174" s="130"/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</row>
    <row r="175" spans="1:14" x14ac:dyDescent="0.2">
      <c r="A175" s="130"/>
      <c r="N175" s="196"/>
    </row>
    <row r="176" spans="1:14" x14ac:dyDescent="0.2">
      <c r="A176" s="130" t="s">
        <v>41</v>
      </c>
      <c r="N176" s="196"/>
    </row>
    <row r="177" spans="1:14" x14ac:dyDescent="0.2">
      <c r="A177" s="130" t="s">
        <v>88</v>
      </c>
      <c r="B177" s="196">
        <f t="shared" ref="B177:M177" si="63">B100+B110</f>
        <v>250000</v>
      </c>
      <c r="C177" s="196">
        <f t="shared" si="63"/>
        <v>250000</v>
      </c>
      <c r="D177" s="196">
        <f t="shared" si="63"/>
        <v>250000</v>
      </c>
      <c r="E177" s="196">
        <f t="shared" si="63"/>
        <v>250000</v>
      </c>
      <c r="F177" s="196">
        <f t="shared" si="63"/>
        <v>250000</v>
      </c>
      <c r="G177" s="196">
        <f t="shared" si="63"/>
        <v>250000</v>
      </c>
      <c r="H177" s="196">
        <f t="shared" si="63"/>
        <v>250000</v>
      </c>
      <c r="I177" s="196">
        <f t="shared" si="63"/>
        <v>250000</v>
      </c>
      <c r="J177" s="196">
        <f t="shared" si="63"/>
        <v>250000</v>
      </c>
      <c r="K177" s="196">
        <f t="shared" si="63"/>
        <v>250000</v>
      </c>
      <c r="L177" s="196">
        <f t="shared" si="63"/>
        <v>250000</v>
      </c>
      <c r="M177" s="196">
        <f t="shared" si="63"/>
        <v>250000</v>
      </c>
      <c r="N177" s="196">
        <f t="shared" ref="N177:N182" si="64">SUM(B177:M177)</f>
        <v>3000000</v>
      </c>
    </row>
    <row r="178" spans="1:14" x14ac:dyDescent="0.2">
      <c r="A178" s="130" t="s">
        <v>89</v>
      </c>
      <c r="B178" s="196">
        <f t="shared" ref="B178:M178" si="65">B101+B111</f>
        <v>250000</v>
      </c>
      <c r="C178" s="196">
        <f t="shared" si="65"/>
        <v>250000</v>
      </c>
      <c r="D178" s="196">
        <f t="shared" si="65"/>
        <v>250000</v>
      </c>
      <c r="E178" s="196">
        <f t="shared" si="65"/>
        <v>250000</v>
      </c>
      <c r="F178" s="196">
        <f t="shared" si="65"/>
        <v>250000</v>
      </c>
      <c r="G178" s="196">
        <f t="shared" si="65"/>
        <v>250000</v>
      </c>
      <c r="H178" s="196">
        <f t="shared" si="65"/>
        <v>250000</v>
      </c>
      <c r="I178" s="196">
        <f t="shared" si="65"/>
        <v>250000</v>
      </c>
      <c r="J178" s="196">
        <f t="shared" si="65"/>
        <v>250000</v>
      </c>
      <c r="K178" s="196">
        <f t="shared" si="65"/>
        <v>250000</v>
      </c>
      <c r="L178" s="196">
        <f t="shared" si="65"/>
        <v>250000</v>
      </c>
      <c r="M178" s="196">
        <f t="shared" si="65"/>
        <v>250000</v>
      </c>
      <c r="N178" s="196">
        <f t="shared" si="64"/>
        <v>3000000</v>
      </c>
    </row>
    <row r="179" spans="1:14" x14ac:dyDescent="0.2">
      <c r="A179" s="130" t="s">
        <v>99</v>
      </c>
      <c r="B179" s="196">
        <f t="shared" ref="B179:M179" si="66">B102+B112</f>
        <v>500000</v>
      </c>
      <c r="C179" s="196">
        <f t="shared" si="66"/>
        <v>500000</v>
      </c>
      <c r="D179" s="196">
        <f t="shared" si="66"/>
        <v>500000</v>
      </c>
      <c r="E179" s="196">
        <f t="shared" si="66"/>
        <v>500000</v>
      </c>
      <c r="F179" s="196">
        <f t="shared" si="66"/>
        <v>500000</v>
      </c>
      <c r="G179" s="196">
        <f t="shared" si="66"/>
        <v>500000</v>
      </c>
      <c r="H179" s="196">
        <f t="shared" si="66"/>
        <v>484439.38</v>
      </c>
      <c r="I179" s="196">
        <f t="shared" si="66"/>
        <v>500000</v>
      </c>
      <c r="J179" s="196">
        <f t="shared" si="66"/>
        <v>500000</v>
      </c>
      <c r="K179" s="196">
        <f t="shared" si="66"/>
        <v>499316.1</v>
      </c>
      <c r="L179" s="196">
        <f t="shared" si="66"/>
        <v>500000</v>
      </c>
      <c r="M179" s="196">
        <f t="shared" si="66"/>
        <v>500000</v>
      </c>
      <c r="N179" s="196">
        <f t="shared" si="64"/>
        <v>5983755.4799999995</v>
      </c>
    </row>
    <row r="180" spans="1:14" x14ac:dyDescent="0.2">
      <c r="A180" s="130" t="s">
        <v>100</v>
      </c>
      <c r="B180" s="196">
        <f t="shared" ref="B180:M180" si="67">B103+B113</f>
        <v>1000000</v>
      </c>
      <c r="C180" s="196">
        <f t="shared" si="67"/>
        <v>985133.58000000007</v>
      </c>
      <c r="D180" s="196">
        <f t="shared" si="67"/>
        <v>1000000</v>
      </c>
      <c r="E180" s="196">
        <f t="shared" si="67"/>
        <v>998043.53</v>
      </c>
      <c r="F180" s="196">
        <f t="shared" si="67"/>
        <v>996265.65999999992</v>
      </c>
      <c r="G180" s="196">
        <f t="shared" si="67"/>
        <v>973725.57000000007</v>
      </c>
      <c r="H180" s="196">
        <f t="shared" si="67"/>
        <v>900000</v>
      </c>
      <c r="I180" s="196">
        <f t="shared" si="67"/>
        <v>945505.38</v>
      </c>
      <c r="J180" s="196">
        <f t="shared" si="67"/>
        <v>953531.85000000009</v>
      </c>
      <c r="K180" s="196">
        <f t="shared" si="67"/>
        <v>989888.06</v>
      </c>
      <c r="L180" s="196">
        <f t="shared" si="67"/>
        <v>998480</v>
      </c>
      <c r="M180" s="196">
        <f t="shared" si="67"/>
        <v>996939.22</v>
      </c>
      <c r="N180" s="196">
        <f t="shared" si="64"/>
        <v>11737512.850000001</v>
      </c>
    </row>
    <row r="181" spans="1:14" x14ac:dyDescent="0.2">
      <c r="A181" s="130" t="s">
        <v>101</v>
      </c>
      <c r="B181" s="196">
        <f t="shared" ref="B181:M181" si="68">B104+B114</f>
        <v>2271239.0499999998</v>
      </c>
      <c r="C181" s="196">
        <f t="shared" si="68"/>
        <v>2252069.77</v>
      </c>
      <c r="D181" s="196">
        <f t="shared" si="68"/>
        <v>2256120.16</v>
      </c>
      <c r="E181" s="196">
        <f t="shared" si="68"/>
        <v>2203003.6</v>
      </c>
      <c r="F181" s="196">
        <f t="shared" si="68"/>
        <v>2147919.81</v>
      </c>
      <c r="G181" s="196">
        <f t="shared" si="68"/>
        <v>2135013.5500000003</v>
      </c>
      <c r="H181" s="196">
        <f t="shared" si="68"/>
        <v>2158820.83</v>
      </c>
      <c r="I181" s="196">
        <f t="shared" si="68"/>
        <v>2162522.86</v>
      </c>
      <c r="J181" s="196">
        <f t="shared" si="68"/>
        <v>2104155.96</v>
      </c>
      <c r="K181" s="196">
        <f t="shared" si="68"/>
        <v>2118755.2399999998</v>
      </c>
      <c r="L181" s="196">
        <f t="shared" si="68"/>
        <v>2188613.4500000002</v>
      </c>
      <c r="M181" s="196">
        <f t="shared" si="68"/>
        <v>2255372.73</v>
      </c>
      <c r="N181" s="196">
        <f t="shared" si="64"/>
        <v>26253607.010000002</v>
      </c>
    </row>
    <row r="182" spans="1:14" x14ac:dyDescent="0.2">
      <c r="A182" s="130" t="s">
        <v>174</v>
      </c>
      <c r="B182" s="196">
        <f t="shared" ref="B182:M182" si="69">B105+B115</f>
        <v>4165359.47</v>
      </c>
      <c r="C182" s="196">
        <f t="shared" si="69"/>
        <v>4540152.04</v>
      </c>
      <c r="D182" s="196">
        <f t="shared" si="69"/>
        <v>5289243</v>
      </c>
      <c r="E182" s="196">
        <f t="shared" si="69"/>
        <v>4051592.3499999996</v>
      </c>
      <c r="F182" s="196">
        <f t="shared" si="69"/>
        <v>4197604.3899999997</v>
      </c>
      <c r="G182" s="196">
        <f t="shared" si="69"/>
        <v>3566622.0300000003</v>
      </c>
      <c r="H182" s="196">
        <f t="shared" si="69"/>
        <v>4575213.1399999997</v>
      </c>
      <c r="I182" s="196">
        <f t="shared" si="69"/>
        <v>4584783.32</v>
      </c>
      <c r="J182" s="196">
        <f t="shared" si="69"/>
        <v>3627320.79</v>
      </c>
      <c r="K182" s="196">
        <f t="shared" si="69"/>
        <v>3892012.91</v>
      </c>
      <c r="L182" s="196">
        <f t="shared" si="69"/>
        <v>2998539.8800000008</v>
      </c>
      <c r="M182" s="196">
        <f t="shared" si="69"/>
        <v>4763989.07</v>
      </c>
      <c r="N182" s="196">
        <f t="shared" si="64"/>
        <v>50252432.390000001</v>
      </c>
    </row>
    <row r="183" spans="1:14" x14ac:dyDescent="0.2">
      <c r="A183" s="130" t="s">
        <v>6</v>
      </c>
      <c r="B183" s="196">
        <f>SUM(B177:B182)</f>
        <v>8436598.5199999996</v>
      </c>
      <c r="C183" s="196">
        <f t="shared" ref="C183:N183" si="70">SUM(C177:C182)</f>
        <v>8777355.3900000006</v>
      </c>
      <c r="D183" s="196">
        <f t="shared" si="70"/>
        <v>9545363.1600000001</v>
      </c>
      <c r="E183" s="196">
        <f t="shared" si="70"/>
        <v>8252639.4799999995</v>
      </c>
      <c r="F183" s="196">
        <f t="shared" si="70"/>
        <v>8341789.8599999994</v>
      </c>
      <c r="G183" s="196">
        <f t="shared" si="70"/>
        <v>7675361.1500000004</v>
      </c>
      <c r="H183" s="196">
        <f t="shared" si="70"/>
        <v>8618473.3499999996</v>
      </c>
      <c r="I183" s="196">
        <f t="shared" si="70"/>
        <v>8692811.5600000005</v>
      </c>
      <c r="J183" s="196">
        <f t="shared" si="70"/>
        <v>7685008.5999999996</v>
      </c>
      <c r="K183" s="196">
        <f t="shared" si="70"/>
        <v>7999972.3100000005</v>
      </c>
      <c r="L183" s="196">
        <f t="shared" si="70"/>
        <v>7185633.330000001</v>
      </c>
      <c r="M183" s="196">
        <f t="shared" si="70"/>
        <v>9016301.0199999996</v>
      </c>
      <c r="N183" s="196">
        <f t="shared" si="70"/>
        <v>100227307.73</v>
      </c>
    </row>
    <row r="184" spans="1:14" x14ac:dyDescent="0.2">
      <c r="N184" s="196"/>
    </row>
    <row r="185" spans="1:14" x14ac:dyDescent="0.2">
      <c r="A185" s="235" t="s">
        <v>6</v>
      </c>
      <c r="B185" s="196">
        <f t="shared" ref="B185:N185" si="71">SUM(B130,B137,B143,B153,B160,B167,B173,B183)</f>
        <v>31051920.809</v>
      </c>
      <c r="C185" s="196">
        <f t="shared" si="71"/>
        <v>28736659.778000001</v>
      </c>
      <c r="D185" s="196">
        <f t="shared" si="71"/>
        <v>31002557.536000002</v>
      </c>
      <c r="E185" s="196">
        <f t="shared" si="71"/>
        <v>26234818.140999999</v>
      </c>
      <c r="F185" s="196">
        <f t="shared" si="71"/>
        <v>23625039.57</v>
      </c>
      <c r="G185" s="196">
        <f t="shared" si="71"/>
        <v>21449372.913000003</v>
      </c>
      <c r="H185" s="196">
        <f t="shared" si="71"/>
        <v>21136680.879999999</v>
      </c>
      <c r="I185" s="196">
        <f t="shared" si="71"/>
        <v>21508559.563000001</v>
      </c>
      <c r="J185" s="196">
        <f t="shared" si="71"/>
        <v>21446560.744999997</v>
      </c>
      <c r="K185" s="196">
        <f t="shared" si="71"/>
        <v>25391370.537</v>
      </c>
      <c r="L185" s="196">
        <f t="shared" si="71"/>
        <v>26763559.708000001</v>
      </c>
      <c r="M185" s="196">
        <f t="shared" si="71"/>
        <v>30600891.893999998</v>
      </c>
      <c r="N185" s="196">
        <f t="shared" si="71"/>
        <v>308947992.074</v>
      </c>
    </row>
    <row r="186" spans="1:14" x14ac:dyDescent="0.2">
      <c r="A186" s="130" t="s">
        <v>49</v>
      </c>
      <c r="B186" s="196">
        <f t="shared" ref="B186:N186" si="72">B185-B118</f>
        <v>0</v>
      </c>
      <c r="C186" s="196">
        <f t="shared" si="72"/>
        <v>0</v>
      </c>
      <c r="D186" s="196">
        <f t="shared" si="72"/>
        <v>0</v>
      </c>
      <c r="E186" s="196">
        <f t="shared" si="72"/>
        <v>0</v>
      </c>
      <c r="F186" s="196">
        <f t="shared" si="72"/>
        <v>0</v>
      </c>
      <c r="G186" s="196">
        <f t="shared" si="72"/>
        <v>0</v>
      </c>
      <c r="H186" s="196">
        <f t="shared" si="72"/>
        <v>0</v>
      </c>
      <c r="I186" s="196">
        <f t="shared" si="72"/>
        <v>0</v>
      </c>
      <c r="J186" s="196">
        <f t="shared" si="72"/>
        <v>0</v>
      </c>
      <c r="K186" s="196">
        <f t="shared" si="72"/>
        <v>0</v>
      </c>
      <c r="L186" s="196">
        <f t="shared" si="72"/>
        <v>0</v>
      </c>
      <c r="M186" s="196">
        <f t="shared" si="72"/>
        <v>0</v>
      </c>
      <c r="N186" s="196">
        <f t="shared" si="72"/>
        <v>0</v>
      </c>
    </row>
  </sheetData>
  <printOptions horizontalCentered="1"/>
  <pageMargins left="0.25" right="0.25" top="1" bottom="1" header="0.5" footer="0.5"/>
  <pageSetup scale="67" orientation="landscape" horizontalDpi="300" verticalDpi="300" r:id="rId1"/>
  <headerFooter alignWithMargins="0">
    <oddHeader xml:space="preserve">&amp;C
</oddHeader>
    <oddFooter>&amp;L&amp;F 
&amp;A&amp;C&amp;P&amp;R&amp;D</oddFooter>
  </headerFooter>
  <rowBreaks count="3" manualBreakCount="3">
    <brk id="54" max="13" man="1"/>
    <brk id="106" max="13" man="1"/>
    <brk id="173" max="1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6"/>
  <sheetViews>
    <sheetView zoomScaleNormal="100" workbookViewId="0">
      <selection activeCell="Q10" sqref="Q10"/>
    </sheetView>
  </sheetViews>
  <sheetFormatPr defaultRowHeight="12.75" x14ac:dyDescent="0.2"/>
  <cols>
    <col min="1" max="1" width="25.7109375" style="203" customWidth="1"/>
    <col min="2" max="13" width="12.85546875" style="203" customWidth="1"/>
    <col min="14" max="14" width="14.140625" style="203" customWidth="1"/>
    <col min="15" max="15" width="1.5703125" style="203" customWidth="1"/>
    <col min="16" max="16" width="11.28515625" style="203" bestFit="1" customWidth="1"/>
    <col min="17" max="16384" width="9.140625" style="203"/>
  </cols>
  <sheetData>
    <row r="1" spans="1:14" s="235" customFormat="1" x14ac:dyDescent="0.2">
      <c r="A1" s="235" t="s">
        <v>0</v>
      </c>
    </row>
    <row r="2" spans="1:14" x14ac:dyDescent="0.2">
      <c r="A2" s="203" t="s">
        <v>409</v>
      </c>
    </row>
    <row r="3" spans="1:14" x14ac:dyDescent="0.2">
      <c r="N3" s="219"/>
    </row>
    <row r="4" spans="1:14" x14ac:dyDescent="0.2">
      <c r="A4" s="220" t="s">
        <v>162</v>
      </c>
      <c r="B4" s="223">
        <v>43101</v>
      </c>
      <c r="C4" s="223">
        <f>EDATE(B4,1)</f>
        <v>43132</v>
      </c>
      <c r="D4" s="223">
        <f t="shared" ref="D4:M4" si="0">EDATE(C4,1)</f>
        <v>43160</v>
      </c>
      <c r="E4" s="223">
        <f t="shared" si="0"/>
        <v>43191</v>
      </c>
      <c r="F4" s="223">
        <f t="shared" si="0"/>
        <v>43221</v>
      </c>
      <c r="G4" s="223">
        <f t="shared" si="0"/>
        <v>43252</v>
      </c>
      <c r="H4" s="223">
        <f t="shared" si="0"/>
        <v>43282</v>
      </c>
      <c r="I4" s="223">
        <f t="shared" si="0"/>
        <v>43313</v>
      </c>
      <c r="J4" s="223">
        <f t="shared" si="0"/>
        <v>43344</v>
      </c>
      <c r="K4" s="223">
        <f t="shared" si="0"/>
        <v>43374</v>
      </c>
      <c r="L4" s="223">
        <f t="shared" si="0"/>
        <v>43405</v>
      </c>
      <c r="M4" s="223">
        <f t="shared" si="0"/>
        <v>43435</v>
      </c>
      <c r="N4" s="204" t="s">
        <v>190</v>
      </c>
    </row>
    <row r="5" spans="1:14" ht="15" x14ac:dyDescent="0.25">
      <c r="A5" s="133" t="s">
        <v>176</v>
      </c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96"/>
    </row>
    <row r="6" spans="1:14" x14ac:dyDescent="0.2">
      <c r="A6" s="130" t="s">
        <v>177</v>
      </c>
      <c r="B6" s="221">
        <v>1157860.787</v>
      </c>
      <c r="C6" s="221">
        <v>1062897.169</v>
      </c>
      <c r="D6" s="221">
        <v>1190628.3959999999</v>
      </c>
      <c r="E6" s="221">
        <v>1151419.365</v>
      </c>
      <c r="F6" s="221">
        <v>1077430.378</v>
      </c>
      <c r="G6" s="221">
        <v>966074.72600000002</v>
      </c>
      <c r="H6" s="221">
        <v>863644.65399999998</v>
      </c>
      <c r="I6" s="221">
        <v>850144.36899999995</v>
      </c>
      <c r="J6" s="221">
        <v>967051.33</v>
      </c>
      <c r="K6" s="221">
        <v>1134151.9990000001</v>
      </c>
      <c r="L6" s="221">
        <v>1072971.0560000001</v>
      </c>
      <c r="M6" s="221">
        <v>1130552.78</v>
      </c>
      <c r="N6" s="196">
        <f t="shared" ref="N6:N9" si="1">SUM(B6:M6)</f>
        <v>12624827.009</v>
      </c>
    </row>
    <row r="7" spans="1:14" x14ac:dyDescent="0.2">
      <c r="A7" s="130" t="s">
        <v>165</v>
      </c>
      <c r="B7" s="221">
        <v>3303141.4559999998</v>
      </c>
      <c r="C7" s="221">
        <v>3137631.9730000002</v>
      </c>
      <c r="D7" s="221">
        <v>3158410.909</v>
      </c>
      <c r="E7" s="221">
        <v>2445868.233</v>
      </c>
      <c r="F7" s="221">
        <v>1638537.1980000001</v>
      </c>
      <c r="G7" s="221">
        <v>1355732.45</v>
      </c>
      <c r="H7" s="221">
        <v>1033411.358</v>
      </c>
      <c r="I7" s="221">
        <v>1082181.5919999999</v>
      </c>
      <c r="J7" s="221">
        <v>1409827.925</v>
      </c>
      <c r="K7" s="221">
        <v>2190772.8220000002</v>
      </c>
      <c r="L7" s="221">
        <v>2820768.46</v>
      </c>
      <c r="M7" s="221">
        <v>3282874.6510000001</v>
      </c>
      <c r="N7" s="196">
        <f t="shared" si="1"/>
        <v>26859159.027000003</v>
      </c>
    </row>
    <row r="8" spans="1:14" x14ac:dyDescent="0.2">
      <c r="A8" s="130" t="s">
        <v>166</v>
      </c>
      <c r="B8" s="221">
        <v>2121983.693</v>
      </c>
      <c r="C8" s="221">
        <v>2176446.5079999999</v>
      </c>
      <c r="D8" s="221">
        <v>1889447.389</v>
      </c>
      <c r="E8" s="221">
        <v>1194403.0179999999</v>
      </c>
      <c r="F8" s="221">
        <v>615595.46200000006</v>
      </c>
      <c r="G8" s="221">
        <v>466811.96600000001</v>
      </c>
      <c r="H8" s="221">
        <v>394033.57299999997</v>
      </c>
      <c r="I8" s="221">
        <v>390338.848</v>
      </c>
      <c r="J8" s="221">
        <v>484936.92499999999</v>
      </c>
      <c r="K8" s="221">
        <v>870886.9</v>
      </c>
      <c r="L8" s="221">
        <v>1493659.642</v>
      </c>
      <c r="M8" s="221">
        <v>2065922.378</v>
      </c>
      <c r="N8" s="196">
        <f t="shared" si="1"/>
        <v>14164466.302000003</v>
      </c>
    </row>
    <row r="9" spans="1:14" s="196" customFormat="1" ht="15" x14ac:dyDescent="0.25">
      <c r="A9" s="130" t="s">
        <v>6</v>
      </c>
      <c r="B9" s="153">
        <f t="shared" ref="B9:M9" si="2">SUM(B6:B8)</f>
        <v>6582985.9359999998</v>
      </c>
      <c r="C9" s="153">
        <f t="shared" si="2"/>
        <v>6376975.6500000004</v>
      </c>
      <c r="D9" s="153">
        <f t="shared" si="2"/>
        <v>6238486.6940000001</v>
      </c>
      <c r="E9" s="153">
        <f t="shared" si="2"/>
        <v>4791690.6160000004</v>
      </c>
      <c r="F9" s="153">
        <f t="shared" si="2"/>
        <v>3331563.0380000006</v>
      </c>
      <c r="G9" s="153">
        <f t="shared" si="2"/>
        <v>2788619.142</v>
      </c>
      <c r="H9" s="153">
        <f t="shared" si="2"/>
        <v>2291089.585</v>
      </c>
      <c r="I9" s="153">
        <f t="shared" si="2"/>
        <v>2322664.8089999999</v>
      </c>
      <c r="J9" s="153">
        <f t="shared" si="2"/>
        <v>2861816.1799999997</v>
      </c>
      <c r="K9" s="153">
        <f t="shared" si="2"/>
        <v>4195811.7210000008</v>
      </c>
      <c r="L9" s="153">
        <f t="shared" si="2"/>
        <v>5387399.1579999998</v>
      </c>
      <c r="M9" s="153">
        <f t="shared" si="2"/>
        <v>6479349.8090000004</v>
      </c>
      <c r="N9" s="196">
        <f t="shared" si="1"/>
        <v>53648452.338</v>
      </c>
    </row>
    <row r="10" spans="1:14" ht="15" x14ac:dyDescent="0.25">
      <c r="A10" s="130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96"/>
    </row>
    <row r="11" spans="1:14" ht="15" x14ac:dyDescent="0.25">
      <c r="A11" s="130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96"/>
    </row>
    <row r="12" spans="1:14" ht="15" x14ac:dyDescent="0.25">
      <c r="A12" s="133" t="s">
        <v>178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96"/>
    </row>
    <row r="13" spans="1:14" x14ac:dyDescent="0.2">
      <c r="A13" s="130" t="s">
        <v>177</v>
      </c>
      <c r="B13" s="221">
        <v>65669.274000000005</v>
      </c>
      <c r="C13" s="221">
        <v>62094.766000000003</v>
      </c>
      <c r="D13" s="221">
        <v>67369.051000000007</v>
      </c>
      <c r="E13" s="221">
        <v>65894.456000000006</v>
      </c>
      <c r="F13" s="221">
        <v>64675.387999999999</v>
      </c>
      <c r="G13" s="221">
        <v>61151.807999999997</v>
      </c>
      <c r="H13" s="221">
        <v>61940.180999999997</v>
      </c>
      <c r="I13" s="221">
        <v>59770.63</v>
      </c>
      <c r="J13" s="221">
        <v>60770.59</v>
      </c>
      <c r="K13" s="221">
        <v>65126.904000000002</v>
      </c>
      <c r="L13" s="221">
        <v>63637.646999999997</v>
      </c>
      <c r="M13" s="221">
        <v>64926.135000000002</v>
      </c>
      <c r="N13" s="196">
        <f t="shared" ref="N13:N16" si="3">SUM(B13:M13)</f>
        <v>763026.83</v>
      </c>
    </row>
    <row r="14" spans="1:14" x14ac:dyDescent="0.2">
      <c r="A14" s="130" t="s">
        <v>165</v>
      </c>
      <c r="B14" s="221">
        <v>251095.27799999999</v>
      </c>
      <c r="C14" s="221">
        <v>239327.72</v>
      </c>
      <c r="D14" s="221">
        <v>254583.26</v>
      </c>
      <c r="E14" s="221">
        <v>240732.26</v>
      </c>
      <c r="F14" s="221">
        <v>216649.454</v>
      </c>
      <c r="G14" s="221">
        <v>200600.78700000001</v>
      </c>
      <c r="H14" s="221">
        <v>197316.31099999999</v>
      </c>
      <c r="I14" s="221">
        <v>198654.87700000001</v>
      </c>
      <c r="J14" s="221">
        <v>200092.91099999999</v>
      </c>
      <c r="K14" s="221">
        <v>226034.67800000001</v>
      </c>
      <c r="L14" s="221">
        <v>240614.43299999999</v>
      </c>
      <c r="M14" s="221">
        <v>247202.34099999999</v>
      </c>
      <c r="N14" s="196">
        <f t="shared" si="3"/>
        <v>2712904.3100000005</v>
      </c>
    </row>
    <row r="15" spans="1:14" x14ac:dyDescent="0.2">
      <c r="A15" s="130" t="s">
        <v>166</v>
      </c>
      <c r="B15" s="221">
        <v>629671.36899999995</v>
      </c>
      <c r="C15" s="221">
        <v>599655.53700000001</v>
      </c>
      <c r="D15" s="221">
        <v>597302.31599999999</v>
      </c>
      <c r="E15" s="221">
        <v>504819.34399999998</v>
      </c>
      <c r="F15" s="221">
        <v>418798.62199999997</v>
      </c>
      <c r="G15" s="221">
        <v>409142.10499999998</v>
      </c>
      <c r="H15" s="221">
        <v>378981.63699999999</v>
      </c>
      <c r="I15" s="221">
        <v>386200.58600000001</v>
      </c>
      <c r="J15" s="221">
        <v>401768.76400000002</v>
      </c>
      <c r="K15" s="221">
        <v>504019.20699999999</v>
      </c>
      <c r="L15" s="221">
        <v>572506.84299999999</v>
      </c>
      <c r="M15" s="221">
        <v>586000.75</v>
      </c>
      <c r="N15" s="196">
        <f t="shared" si="3"/>
        <v>5988867.080000001</v>
      </c>
    </row>
    <row r="16" spans="1:14" s="196" customFormat="1" ht="15" x14ac:dyDescent="0.25">
      <c r="A16" s="130" t="s">
        <v>6</v>
      </c>
      <c r="B16" s="153">
        <f t="shared" ref="B16:M16" si="4">SUM(B13:B15)</f>
        <v>946435.92099999997</v>
      </c>
      <c r="C16" s="153">
        <f t="shared" si="4"/>
        <v>901078.02300000004</v>
      </c>
      <c r="D16" s="153">
        <f t="shared" si="4"/>
        <v>919254.62699999998</v>
      </c>
      <c r="E16" s="153">
        <f t="shared" si="4"/>
        <v>811446.06</v>
      </c>
      <c r="F16" s="153">
        <f t="shared" si="4"/>
        <v>700123.46399999992</v>
      </c>
      <c r="G16" s="153">
        <f t="shared" si="4"/>
        <v>670894.69999999995</v>
      </c>
      <c r="H16" s="153">
        <f t="shared" si="4"/>
        <v>638238.12899999996</v>
      </c>
      <c r="I16" s="153">
        <f t="shared" si="4"/>
        <v>644626.09299999999</v>
      </c>
      <c r="J16" s="153">
        <f t="shared" si="4"/>
        <v>662632.26500000001</v>
      </c>
      <c r="K16" s="153">
        <f t="shared" si="4"/>
        <v>795180.78899999999</v>
      </c>
      <c r="L16" s="153">
        <f t="shared" si="4"/>
        <v>876758.92299999995</v>
      </c>
      <c r="M16" s="153">
        <f t="shared" si="4"/>
        <v>898129.22600000002</v>
      </c>
      <c r="N16" s="196">
        <f t="shared" si="3"/>
        <v>9464798.2199999988</v>
      </c>
    </row>
    <row r="17" spans="1:16" ht="15" x14ac:dyDescent="0.25">
      <c r="A17" s="130"/>
      <c r="B17" s="153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96"/>
    </row>
    <row r="18" spans="1:16" ht="15" x14ac:dyDescent="0.25">
      <c r="A18" s="130"/>
      <c r="B18" s="153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96"/>
    </row>
    <row r="19" spans="1:16" x14ac:dyDescent="0.2">
      <c r="A19" s="130" t="s">
        <v>163</v>
      </c>
      <c r="B19" s="196"/>
      <c r="C19" s="196"/>
      <c r="D19" s="196"/>
      <c r="E19" s="196"/>
      <c r="F19" s="196"/>
      <c r="G19" s="196"/>
      <c r="H19" s="196"/>
      <c r="I19" s="196"/>
      <c r="J19" s="196"/>
      <c r="K19" s="196"/>
      <c r="L19" s="196"/>
      <c r="M19" s="196"/>
      <c r="N19" s="196"/>
      <c r="P19" s="196"/>
    </row>
    <row r="20" spans="1:16" x14ac:dyDescent="0.2">
      <c r="A20" s="130" t="s">
        <v>164</v>
      </c>
      <c r="B20" s="221">
        <v>69360</v>
      </c>
      <c r="C20" s="221">
        <v>70980</v>
      </c>
      <c r="D20" s="221">
        <v>71100</v>
      </c>
      <c r="E20" s="221">
        <v>72000</v>
      </c>
      <c r="F20" s="221">
        <v>71141.990000000005</v>
      </c>
      <c r="G20" s="221">
        <v>73679.11</v>
      </c>
      <c r="H20" s="221">
        <v>73057.41</v>
      </c>
      <c r="I20" s="221">
        <v>73251.44</v>
      </c>
      <c r="J20" s="221">
        <v>73935.649999999994</v>
      </c>
      <c r="K20" s="221">
        <v>74550.95</v>
      </c>
      <c r="L20" s="221">
        <v>73800</v>
      </c>
      <c r="M20" s="221">
        <v>73800</v>
      </c>
      <c r="N20" s="196">
        <f>SUM(B20:M20)</f>
        <v>870656.54999999993</v>
      </c>
      <c r="P20" s="196"/>
    </row>
    <row r="21" spans="1:16" x14ac:dyDescent="0.2">
      <c r="A21" s="130" t="s">
        <v>165</v>
      </c>
      <c r="B21" s="221">
        <v>278423.61</v>
      </c>
      <c r="C21" s="221">
        <v>284808.07</v>
      </c>
      <c r="D21" s="221">
        <v>280728.15999999997</v>
      </c>
      <c r="E21" s="221">
        <v>264094.78999999998</v>
      </c>
      <c r="F21" s="221">
        <v>236993.8</v>
      </c>
      <c r="G21" s="221">
        <v>237154.84</v>
      </c>
      <c r="H21" s="221">
        <v>224856.92</v>
      </c>
      <c r="I21" s="221">
        <v>224420.98</v>
      </c>
      <c r="J21" s="221">
        <v>234124.08</v>
      </c>
      <c r="K21" s="221">
        <v>272736.33</v>
      </c>
      <c r="L21" s="221">
        <v>284495.09999999998</v>
      </c>
      <c r="M21" s="221">
        <v>305615.93</v>
      </c>
      <c r="N21" s="196">
        <f t="shared" ref="N21:N23" si="5">SUM(B21:M21)</f>
        <v>3128452.6100000003</v>
      </c>
      <c r="P21" s="196"/>
    </row>
    <row r="22" spans="1:16" x14ac:dyDescent="0.2">
      <c r="A22" s="130" t="s">
        <v>166</v>
      </c>
      <c r="B22" s="221">
        <v>908188.78</v>
      </c>
      <c r="C22" s="221">
        <v>863702.94</v>
      </c>
      <c r="D22" s="221">
        <v>897547.7</v>
      </c>
      <c r="E22" s="221">
        <v>785225.14</v>
      </c>
      <c r="F22" s="221">
        <v>748017.06</v>
      </c>
      <c r="G22" s="221">
        <v>755805.3</v>
      </c>
      <c r="H22" s="221">
        <v>736219.81</v>
      </c>
      <c r="I22" s="221">
        <v>774383.43</v>
      </c>
      <c r="J22" s="221">
        <v>716071.68</v>
      </c>
      <c r="K22" s="221">
        <v>867341.19</v>
      </c>
      <c r="L22" s="221">
        <v>904592.15</v>
      </c>
      <c r="M22" s="221">
        <v>1013464.58</v>
      </c>
      <c r="N22" s="196">
        <f t="shared" si="5"/>
        <v>9970559.7599999998</v>
      </c>
      <c r="P22" s="196"/>
    </row>
    <row r="23" spans="1:16" ht="15" x14ac:dyDescent="0.25">
      <c r="A23" s="130" t="s">
        <v>6</v>
      </c>
      <c r="B23" s="153">
        <f t="shared" ref="B23:M23" si="6">SUM(B20:B22)</f>
        <v>1255972.3900000001</v>
      </c>
      <c r="C23" s="153">
        <f t="shared" si="6"/>
        <v>1219491.01</v>
      </c>
      <c r="D23" s="153">
        <f t="shared" si="6"/>
        <v>1249375.8599999999</v>
      </c>
      <c r="E23" s="153">
        <f t="shared" si="6"/>
        <v>1121319.93</v>
      </c>
      <c r="F23" s="153">
        <f t="shared" si="6"/>
        <v>1056152.8500000001</v>
      </c>
      <c r="G23" s="153">
        <f t="shared" si="6"/>
        <v>1066639.25</v>
      </c>
      <c r="H23" s="153">
        <f t="shared" si="6"/>
        <v>1034134.1400000001</v>
      </c>
      <c r="I23" s="153">
        <f t="shared" si="6"/>
        <v>1072055.8500000001</v>
      </c>
      <c r="J23" s="153">
        <f t="shared" si="6"/>
        <v>1024131.41</v>
      </c>
      <c r="K23" s="153">
        <f t="shared" si="6"/>
        <v>1214628.47</v>
      </c>
      <c r="L23" s="153">
        <f t="shared" si="6"/>
        <v>1262887.25</v>
      </c>
      <c r="M23" s="153">
        <f t="shared" si="6"/>
        <v>1392880.51</v>
      </c>
      <c r="N23" s="196">
        <f t="shared" si="5"/>
        <v>13969668.920000002</v>
      </c>
      <c r="P23" s="196"/>
    </row>
    <row r="24" spans="1:16" ht="15" x14ac:dyDescent="0.25">
      <c r="A24" s="196"/>
      <c r="B24" s="153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96"/>
      <c r="P24" s="196"/>
    </row>
    <row r="25" spans="1:16" ht="15" x14ac:dyDescent="0.25">
      <c r="A25" s="130"/>
      <c r="B25" s="153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96"/>
      <c r="P25" s="196"/>
    </row>
    <row r="26" spans="1:16" ht="15" x14ac:dyDescent="0.25">
      <c r="A26" s="130" t="s">
        <v>167</v>
      </c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96"/>
      <c r="P26" s="196"/>
    </row>
    <row r="27" spans="1:16" x14ac:dyDescent="0.2">
      <c r="A27" s="130" t="s">
        <v>164</v>
      </c>
      <c r="B27" s="221">
        <v>23430</v>
      </c>
      <c r="C27" s="221">
        <v>23400</v>
      </c>
      <c r="D27" s="221">
        <v>23400</v>
      </c>
      <c r="E27" s="221">
        <v>22500</v>
      </c>
      <c r="F27" s="221">
        <v>20700</v>
      </c>
      <c r="G27" s="221">
        <v>20700</v>
      </c>
      <c r="H27" s="221">
        <v>20601.21</v>
      </c>
      <c r="I27" s="221">
        <v>20705.490000000002</v>
      </c>
      <c r="J27" s="221">
        <v>20754.060000000001</v>
      </c>
      <c r="K27" s="221">
        <v>21529.65</v>
      </c>
      <c r="L27" s="221">
        <v>20700</v>
      </c>
      <c r="M27" s="221">
        <v>20700</v>
      </c>
      <c r="N27" s="196">
        <f>SUM(B27:M27)</f>
        <v>259120.40999999997</v>
      </c>
      <c r="P27" s="196"/>
    </row>
    <row r="28" spans="1:16" x14ac:dyDescent="0.2">
      <c r="A28" s="130" t="s">
        <v>165</v>
      </c>
      <c r="B28" s="221">
        <v>105881.71</v>
      </c>
      <c r="C28" s="221">
        <v>104439.87</v>
      </c>
      <c r="D28" s="221">
        <v>104239.07</v>
      </c>
      <c r="E28" s="221">
        <v>100178.73</v>
      </c>
      <c r="F28" s="221">
        <v>91707.43</v>
      </c>
      <c r="G28" s="221">
        <v>89579.8</v>
      </c>
      <c r="H28" s="221">
        <v>89429.69</v>
      </c>
      <c r="I28" s="221">
        <v>91238.53</v>
      </c>
      <c r="J28" s="221">
        <v>90939.3</v>
      </c>
      <c r="K28" s="221">
        <v>93055.91</v>
      </c>
      <c r="L28" s="221">
        <v>91820.59</v>
      </c>
      <c r="M28" s="221">
        <v>93116.1</v>
      </c>
      <c r="N28" s="196">
        <f t="shared" ref="N28:N30" si="7">SUM(B28:M28)</f>
        <v>1145626.7300000002</v>
      </c>
      <c r="P28" s="196"/>
    </row>
    <row r="29" spans="1:16" x14ac:dyDescent="0.2">
      <c r="A29" s="130" t="s">
        <v>166</v>
      </c>
      <c r="B29" s="221">
        <v>457730</v>
      </c>
      <c r="C29" s="221">
        <v>432223.29</v>
      </c>
      <c r="D29" s="221">
        <v>525652.61</v>
      </c>
      <c r="E29" s="221">
        <v>439380.58</v>
      </c>
      <c r="F29" s="221">
        <v>420642.97</v>
      </c>
      <c r="G29" s="221">
        <v>408659.32</v>
      </c>
      <c r="H29" s="221">
        <v>388210.16</v>
      </c>
      <c r="I29" s="221">
        <v>413051.72</v>
      </c>
      <c r="J29" s="221">
        <v>382505.57</v>
      </c>
      <c r="K29" s="221">
        <v>448687.04</v>
      </c>
      <c r="L29" s="221">
        <v>410837.77</v>
      </c>
      <c r="M29" s="221">
        <v>356819.33</v>
      </c>
      <c r="N29" s="196">
        <f t="shared" si="7"/>
        <v>5084400.3599999994</v>
      </c>
      <c r="P29" s="196"/>
    </row>
    <row r="30" spans="1:16" ht="15" x14ac:dyDescent="0.25">
      <c r="A30" s="130" t="s">
        <v>6</v>
      </c>
      <c r="B30" s="153">
        <f t="shared" ref="B30:M30" si="8">SUM(B27:B29)</f>
        <v>587041.71</v>
      </c>
      <c r="C30" s="153">
        <f t="shared" si="8"/>
        <v>560063.15999999992</v>
      </c>
      <c r="D30" s="153">
        <f t="shared" si="8"/>
        <v>653291.67999999993</v>
      </c>
      <c r="E30" s="153">
        <f t="shared" si="8"/>
        <v>562059.31000000006</v>
      </c>
      <c r="F30" s="153">
        <f t="shared" si="8"/>
        <v>533050.39999999991</v>
      </c>
      <c r="G30" s="153">
        <f t="shared" si="8"/>
        <v>518939.12</v>
      </c>
      <c r="H30" s="153">
        <f t="shared" si="8"/>
        <v>498241.05999999994</v>
      </c>
      <c r="I30" s="153">
        <f t="shared" si="8"/>
        <v>524995.74</v>
      </c>
      <c r="J30" s="153">
        <f t="shared" si="8"/>
        <v>494198.93</v>
      </c>
      <c r="K30" s="153">
        <f t="shared" si="8"/>
        <v>563272.6</v>
      </c>
      <c r="L30" s="153">
        <f t="shared" si="8"/>
        <v>523358.36</v>
      </c>
      <c r="M30" s="153">
        <f t="shared" si="8"/>
        <v>470635.43000000005</v>
      </c>
      <c r="N30" s="196">
        <f t="shared" si="7"/>
        <v>6489147.4999999991</v>
      </c>
      <c r="P30" s="196"/>
    </row>
    <row r="31" spans="1:16" ht="15" x14ac:dyDescent="0.25">
      <c r="A31" s="130"/>
      <c r="B31" s="153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96"/>
      <c r="P31" s="196"/>
    </row>
    <row r="32" spans="1:16" x14ac:dyDescent="0.2">
      <c r="P32" s="196"/>
    </row>
    <row r="33" spans="1:16" ht="15" x14ac:dyDescent="0.25">
      <c r="A33" s="203" t="s">
        <v>179</v>
      </c>
      <c r="B33" s="153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96"/>
      <c r="P33" s="196"/>
    </row>
    <row r="34" spans="1:16" x14ac:dyDescent="0.2">
      <c r="A34" s="130" t="s">
        <v>88</v>
      </c>
      <c r="B34" s="221">
        <v>619196.05900000001</v>
      </c>
      <c r="C34" s="221">
        <v>596871.32700000005</v>
      </c>
      <c r="D34" s="221">
        <v>628194.80700000003</v>
      </c>
      <c r="E34" s="221">
        <v>590443.04700000002</v>
      </c>
      <c r="F34" s="221">
        <v>535177.755</v>
      </c>
      <c r="G34" s="221">
        <v>468885.17200000002</v>
      </c>
      <c r="H34" s="221">
        <v>443831.57</v>
      </c>
      <c r="I34" s="221">
        <v>428218.26799999998</v>
      </c>
      <c r="J34" s="221">
        <v>466664.57299999997</v>
      </c>
      <c r="K34" s="221">
        <v>542784.20499999996</v>
      </c>
      <c r="L34" s="221">
        <v>569972.35800000001</v>
      </c>
      <c r="M34" s="221">
        <v>596222.05000000005</v>
      </c>
      <c r="N34" s="196">
        <f t="shared" ref="N34:N37" si="9">SUM(B34:M34)</f>
        <v>6486461.1909999996</v>
      </c>
      <c r="P34" s="196"/>
    </row>
    <row r="35" spans="1:16" x14ac:dyDescent="0.2">
      <c r="A35" s="130" t="s">
        <v>89</v>
      </c>
      <c r="B35" s="221">
        <v>453670.63400000002</v>
      </c>
      <c r="C35" s="221">
        <v>395277.45</v>
      </c>
      <c r="D35" s="221">
        <v>414001.36099999998</v>
      </c>
      <c r="E35" s="221">
        <v>295900.73800000001</v>
      </c>
      <c r="F35" s="221">
        <v>251734.97399999999</v>
      </c>
      <c r="G35" s="221">
        <v>216769.435</v>
      </c>
      <c r="H35" s="221">
        <v>175131.28700000001</v>
      </c>
      <c r="I35" s="221">
        <v>190024.038</v>
      </c>
      <c r="J35" s="221">
        <v>225308.853</v>
      </c>
      <c r="K35" s="221">
        <v>283762.011</v>
      </c>
      <c r="L35" s="221">
        <v>326194.69799999997</v>
      </c>
      <c r="M35" s="221">
        <v>385924.52899999998</v>
      </c>
      <c r="N35" s="196">
        <f t="shared" si="9"/>
        <v>3613700.0080000004</v>
      </c>
      <c r="P35" s="196"/>
    </row>
    <row r="36" spans="1:16" x14ac:dyDescent="0.2">
      <c r="A36" s="130" t="s">
        <v>169</v>
      </c>
      <c r="B36" s="221">
        <v>637649.24600000004</v>
      </c>
      <c r="C36" s="221">
        <v>587587.76100000006</v>
      </c>
      <c r="D36" s="221">
        <v>600062.96799999999</v>
      </c>
      <c r="E36" s="221">
        <v>357311.35100000002</v>
      </c>
      <c r="F36" s="221">
        <v>133322.15700000001</v>
      </c>
      <c r="G36" s="221">
        <v>47470.894999999997</v>
      </c>
      <c r="H36" s="221">
        <v>27513.77</v>
      </c>
      <c r="I36" s="221">
        <v>87994.887000000002</v>
      </c>
      <c r="J36" s="221">
        <v>148801.91399999999</v>
      </c>
      <c r="K36" s="221">
        <v>285070.82400000002</v>
      </c>
      <c r="L36" s="221">
        <v>483484.84499999997</v>
      </c>
      <c r="M36" s="221">
        <v>666072.97699999996</v>
      </c>
      <c r="N36" s="196">
        <f t="shared" si="9"/>
        <v>4062343.5950000007</v>
      </c>
      <c r="P36" s="196"/>
    </row>
    <row r="37" spans="1:16" ht="15" x14ac:dyDescent="0.25">
      <c r="A37" s="130" t="s">
        <v>6</v>
      </c>
      <c r="B37" s="153">
        <f t="shared" ref="B37:M37" si="10">SUM(B34:B36)</f>
        <v>1710515.939</v>
      </c>
      <c r="C37" s="153">
        <f t="shared" si="10"/>
        <v>1579736.5380000002</v>
      </c>
      <c r="D37" s="153">
        <f t="shared" si="10"/>
        <v>1642259.1359999999</v>
      </c>
      <c r="E37" s="153">
        <f t="shared" si="10"/>
        <v>1243655.1359999999</v>
      </c>
      <c r="F37" s="153">
        <f t="shared" si="10"/>
        <v>920234.88600000006</v>
      </c>
      <c r="G37" s="153">
        <f t="shared" si="10"/>
        <v>733125.50200000009</v>
      </c>
      <c r="H37" s="153">
        <f t="shared" si="10"/>
        <v>646476.62700000009</v>
      </c>
      <c r="I37" s="153">
        <f t="shared" si="10"/>
        <v>706237.19299999997</v>
      </c>
      <c r="J37" s="153">
        <f t="shared" si="10"/>
        <v>840775.34</v>
      </c>
      <c r="K37" s="153">
        <f t="shared" si="10"/>
        <v>1111617.04</v>
      </c>
      <c r="L37" s="153">
        <f t="shared" si="10"/>
        <v>1379651.9010000001</v>
      </c>
      <c r="M37" s="153">
        <f t="shared" si="10"/>
        <v>1648219.5559999999</v>
      </c>
      <c r="N37" s="196">
        <f t="shared" si="9"/>
        <v>14162504.794000002</v>
      </c>
      <c r="P37" s="196"/>
    </row>
    <row r="38" spans="1:16" ht="15" x14ac:dyDescent="0.25">
      <c r="A38" s="130"/>
      <c r="B38" s="153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96"/>
      <c r="P38" s="196"/>
    </row>
    <row r="39" spans="1:16" ht="15" x14ac:dyDescent="0.25">
      <c r="A39" s="130"/>
      <c r="B39" s="153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96"/>
      <c r="P39" s="196"/>
    </row>
    <row r="40" spans="1:16" ht="15" x14ac:dyDescent="0.25">
      <c r="A40" s="203" t="s">
        <v>180</v>
      </c>
      <c r="B40" s="153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96"/>
      <c r="P40" s="196"/>
    </row>
    <row r="41" spans="1:16" x14ac:dyDescent="0.2">
      <c r="A41" s="130" t="s">
        <v>88</v>
      </c>
      <c r="B41" s="221">
        <v>100694.553</v>
      </c>
      <c r="C41" s="221">
        <v>95970.812999999995</v>
      </c>
      <c r="D41" s="221">
        <v>99781.682000000001</v>
      </c>
      <c r="E41" s="221">
        <v>100107.56</v>
      </c>
      <c r="F41" s="221">
        <v>91522.342999999993</v>
      </c>
      <c r="G41" s="221">
        <v>87325.294999999998</v>
      </c>
      <c r="H41" s="221">
        <v>87420.232999999993</v>
      </c>
      <c r="I41" s="221">
        <v>84955.983999999997</v>
      </c>
      <c r="J41" s="221">
        <v>87181.396999999997</v>
      </c>
      <c r="K41" s="221">
        <v>97589.463000000003</v>
      </c>
      <c r="L41" s="221">
        <v>99931.167000000001</v>
      </c>
      <c r="M41" s="221">
        <v>98679.991999999998</v>
      </c>
      <c r="N41" s="196">
        <f t="shared" ref="N41:N44" si="11">SUM(B41:M41)</f>
        <v>1131160.4820000001</v>
      </c>
      <c r="P41" s="196"/>
    </row>
    <row r="42" spans="1:16" x14ac:dyDescent="0.2">
      <c r="A42" s="130" t="s">
        <v>89</v>
      </c>
      <c r="B42" s="221">
        <v>47232.860999999997</v>
      </c>
      <c r="C42" s="221">
        <v>41418.798999999999</v>
      </c>
      <c r="D42" s="221">
        <v>37198.016000000003</v>
      </c>
      <c r="E42" s="221">
        <v>47052.500999999997</v>
      </c>
      <c r="F42" s="221">
        <v>35115.035000000003</v>
      </c>
      <c r="G42" s="221">
        <v>26116.065999999999</v>
      </c>
      <c r="H42" s="221">
        <v>17378.296999999999</v>
      </c>
      <c r="I42" s="221">
        <v>27399.663</v>
      </c>
      <c r="J42" s="221">
        <v>23531.300999999999</v>
      </c>
      <c r="K42" s="221">
        <v>30406.374</v>
      </c>
      <c r="L42" s="221">
        <v>32106.988000000001</v>
      </c>
      <c r="M42" s="221">
        <v>42625.913999999997</v>
      </c>
      <c r="N42" s="196">
        <f t="shared" si="11"/>
        <v>407581.815</v>
      </c>
      <c r="P42" s="196"/>
    </row>
    <row r="43" spans="1:16" x14ac:dyDescent="0.2">
      <c r="A43" s="130" t="s">
        <v>169</v>
      </c>
      <c r="B43" s="221">
        <v>4855.9160000000002</v>
      </c>
      <c r="C43" s="221">
        <v>6754.884</v>
      </c>
      <c r="D43" s="221">
        <v>8416.9130000000005</v>
      </c>
      <c r="E43" s="221">
        <v>2528.7159999999999</v>
      </c>
      <c r="F43" s="221">
        <v>76.122</v>
      </c>
      <c r="G43" s="221">
        <v>0</v>
      </c>
      <c r="H43" s="221">
        <v>0</v>
      </c>
      <c r="I43" s="221">
        <v>0</v>
      </c>
      <c r="J43" s="221">
        <v>0</v>
      </c>
      <c r="K43" s="221">
        <v>0</v>
      </c>
      <c r="L43" s="221">
        <v>718.99</v>
      </c>
      <c r="M43" s="221">
        <v>6755.9219999999996</v>
      </c>
      <c r="N43" s="196">
        <f t="shared" si="11"/>
        <v>30107.463</v>
      </c>
      <c r="P43" s="196"/>
    </row>
    <row r="44" spans="1:16" ht="15" x14ac:dyDescent="0.25">
      <c r="A44" s="130" t="s">
        <v>6</v>
      </c>
      <c r="B44" s="153">
        <f t="shared" ref="B44:M44" si="12">SUM(B41:B43)</f>
        <v>152783.32999999999</v>
      </c>
      <c r="C44" s="153">
        <f t="shared" si="12"/>
        <v>144144.49599999998</v>
      </c>
      <c r="D44" s="153">
        <f t="shared" si="12"/>
        <v>145396.611</v>
      </c>
      <c r="E44" s="153">
        <f t="shared" si="12"/>
        <v>149688.77699999997</v>
      </c>
      <c r="F44" s="153">
        <f t="shared" si="12"/>
        <v>126713.5</v>
      </c>
      <c r="G44" s="153">
        <f t="shared" si="12"/>
        <v>113441.361</v>
      </c>
      <c r="H44" s="153">
        <f t="shared" si="12"/>
        <v>104798.53</v>
      </c>
      <c r="I44" s="153">
        <f t="shared" si="12"/>
        <v>112355.647</v>
      </c>
      <c r="J44" s="153">
        <f t="shared" si="12"/>
        <v>110712.698</v>
      </c>
      <c r="K44" s="153">
        <f t="shared" si="12"/>
        <v>127995.837</v>
      </c>
      <c r="L44" s="153">
        <f t="shared" si="12"/>
        <v>132757.14499999999</v>
      </c>
      <c r="M44" s="153">
        <f t="shared" si="12"/>
        <v>148061.82799999998</v>
      </c>
      <c r="N44" s="196">
        <f t="shared" si="11"/>
        <v>1568849.7600000002</v>
      </c>
      <c r="P44" s="196"/>
    </row>
    <row r="45" spans="1:16" ht="15" x14ac:dyDescent="0.25">
      <c r="A45" s="130"/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96"/>
      <c r="P45" s="196"/>
    </row>
    <row r="46" spans="1:16" x14ac:dyDescent="0.2">
      <c r="P46" s="196"/>
    </row>
    <row r="47" spans="1:16" ht="15" x14ac:dyDescent="0.25">
      <c r="A47" s="130" t="s">
        <v>168</v>
      </c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96"/>
      <c r="P47" s="196"/>
    </row>
    <row r="48" spans="1:16" x14ac:dyDescent="0.2">
      <c r="A48" s="130" t="s">
        <v>88</v>
      </c>
      <c r="B48" s="221">
        <v>795648.58</v>
      </c>
      <c r="C48" s="221">
        <v>769515.8</v>
      </c>
      <c r="D48" s="221">
        <v>788760.82</v>
      </c>
      <c r="E48" s="221">
        <v>775878.28</v>
      </c>
      <c r="F48" s="221">
        <v>779542.12</v>
      </c>
      <c r="G48" s="221">
        <v>782090.09</v>
      </c>
      <c r="H48" s="221">
        <v>768423.58</v>
      </c>
      <c r="I48" s="221">
        <v>763186.72</v>
      </c>
      <c r="J48" s="221">
        <v>764600.1</v>
      </c>
      <c r="K48" s="221">
        <v>785087.26</v>
      </c>
      <c r="L48" s="221">
        <v>780276.71</v>
      </c>
      <c r="M48" s="221">
        <v>776596.75</v>
      </c>
      <c r="N48" s="196">
        <f t="shared" ref="N48:N51" si="13">SUM(B48:M48)</f>
        <v>9329606.8099999987</v>
      </c>
      <c r="P48" s="196"/>
    </row>
    <row r="49" spans="1:16" x14ac:dyDescent="0.2">
      <c r="A49" s="130" t="s">
        <v>89</v>
      </c>
      <c r="B49" s="221">
        <v>542927.29</v>
      </c>
      <c r="C49" s="221">
        <v>521896.28</v>
      </c>
      <c r="D49" s="221">
        <v>553130.56999999995</v>
      </c>
      <c r="E49" s="221">
        <v>502540.24</v>
      </c>
      <c r="F49" s="221">
        <v>489533.2</v>
      </c>
      <c r="G49" s="221">
        <v>495352.57</v>
      </c>
      <c r="H49" s="221">
        <v>471637.41</v>
      </c>
      <c r="I49" s="221">
        <v>481182</v>
      </c>
      <c r="J49" s="221">
        <v>478999.1</v>
      </c>
      <c r="K49" s="221">
        <v>520849.77</v>
      </c>
      <c r="L49" s="221">
        <v>539999.15</v>
      </c>
      <c r="M49" s="221">
        <v>559676.5</v>
      </c>
      <c r="N49" s="196">
        <f t="shared" si="13"/>
        <v>6157724.0800000001</v>
      </c>
      <c r="P49" s="196"/>
    </row>
    <row r="50" spans="1:16" x14ac:dyDescent="0.2">
      <c r="A50" s="130" t="s">
        <v>169</v>
      </c>
      <c r="B50" s="221">
        <v>779636.05</v>
      </c>
      <c r="C50" s="221">
        <v>713877.37</v>
      </c>
      <c r="D50" s="221">
        <v>762309.19</v>
      </c>
      <c r="E50" s="221">
        <v>553623.57999999996</v>
      </c>
      <c r="F50" s="221">
        <v>531957.80000000005</v>
      </c>
      <c r="G50" s="221">
        <v>454731.69</v>
      </c>
      <c r="H50" s="221">
        <v>442515.32</v>
      </c>
      <c r="I50" s="221">
        <v>440206.9</v>
      </c>
      <c r="J50" s="221">
        <v>441525.48</v>
      </c>
      <c r="K50" s="221">
        <v>649561.77</v>
      </c>
      <c r="L50" s="221">
        <v>677205.7</v>
      </c>
      <c r="M50" s="221">
        <v>803836.47</v>
      </c>
      <c r="N50" s="196">
        <f t="shared" si="13"/>
        <v>7250987.3200000003</v>
      </c>
      <c r="P50" s="196"/>
    </row>
    <row r="51" spans="1:16" ht="15" x14ac:dyDescent="0.25">
      <c r="A51" s="130" t="s">
        <v>6</v>
      </c>
      <c r="B51" s="153">
        <f t="shared" ref="B51:M51" si="14">SUM(B48:B50)</f>
        <v>2118211.92</v>
      </c>
      <c r="C51" s="153">
        <f t="shared" si="14"/>
        <v>2005289.4500000002</v>
      </c>
      <c r="D51" s="153">
        <f t="shared" si="14"/>
        <v>2104200.58</v>
      </c>
      <c r="E51" s="153">
        <f t="shared" si="14"/>
        <v>1832042.1</v>
      </c>
      <c r="F51" s="153">
        <f t="shared" si="14"/>
        <v>1801033.12</v>
      </c>
      <c r="G51" s="153">
        <f t="shared" si="14"/>
        <v>1732174.3499999999</v>
      </c>
      <c r="H51" s="153">
        <f t="shared" si="14"/>
        <v>1682576.31</v>
      </c>
      <c r="I51" s="153">
        <f t="shared" si="14"/>
        <v>1684575.62</v>
      </c>
      <c r="J51" s="153">
        <f t="shared" si="14"/>
        <v>1685124.68</v>
      </c>
      <c r="K51" s="153">
        <f t="shared" si="14"/>
        <v>1955498.8</v>
      </c>
      <c r="L51" s="153">
        <f t="shared" si="14"/>
        <v>1997481.5599999998</v>
      </c>
      <c r="M51" s="153">
        <f t="shared" si="14"/>
        <v>2140109.7199999997</v>
      </c>
      <c r="N51" s="196">
        <f t="shared" si="13"/>
        <v>22738318.210000001</v>
      </c>
      <c r="P51" s="196"/>
    </row>
    <row r="52" spans="1:16" ht="15" x14ac:dyDescent="0.25">
      <c r="A52" s="130"/>
      <c r="B52" s="153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96"/>
      <c r="P52" s="196"/>
    </row>
    <row r="53" spans="1:16" ht="15" x14ac:dyDescent="0.25">
      <c r="A53" s="130"/>
      <c r="B53" s="153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96"/>
      <c r="P53" s="196"/>
    </row>
    <row r="54" spans="1:16" ht="15" x14ac:dyDescent="0.25">
      <c r="A54" s="130" t="s">
        <v>170</v>
      </c>
      <c r="B54" s="153"/>
      <c r="C54" s="153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96"/>
      <c r="P54" s="196"/>
    </row>
    <row r="55" spans="1:16" x14ac:dyDescent="0.2">
      <c r="A55" s="130" t="s">
        <v>88</v>
      </c>
      <c r="B55" s="221">
        <v>1462114.96</v>
      </c>
      <c r="C55" s="221">
        <v>1504173.8</v>
      </c>
      <c r="D55" s="221">
        <v>1601952.22</v>
      </c>
      <c r="E55" s="221">
        <v>1597650.4</v>
      </c>
      <c r="F55" s="221">
        <v>1600042.06</v>
      </c>
      <c r="G55" s="221">
        <v>1608072.67</v>
      </c>
      <c r="H55" s="221">
        <v>1602012.46</v>
      </c>
      <c r="I55" s="221">
        <v>1590304.81</v>
      </c>
      <c r="J55" s="221">
        <v>1611003.43</v>
      </c>
      <c r="K55" s="221">
        <v>1645533.89</v>
      </c>
      <c r="L55" s="221">
        <v>1542536.25</v>
      </c>
      <c r="M55" s="221">
        <v>1428059.92</v>
      </c>
      <c r="N55" s="196">
        <f t="shared" ref="N55:N58" si="15">SUM(B55:M55)</f>
        <v>18793456.870000005</v>
      </c>
      <c r="P55" s="196"/>
    </row>
    <row r="56" spans="1:16" x14ac:dyDescent="0.2">
      <c r="A56" s="130" t="s">
        <v>89</v>
      </c>
      <c r="B56" s="221">
        <v>1038998.88</v>
      </c>
      <c r="C56" s="221">
        <v>947370.73</v>
      </c>
      <c r="D56" s="221">
        <v>1098021.3700000001</v>
      </c>
      <c r="E56" s="221">
        <v>1061605.1299999999</v>
      </c>
      <c r="F56" s="221">
        <v>1159432.25</v>
      </c>
      <c r="G56" s="221">
        <v>1071304.6599999999</v>
      </c>
      <c r="H56" s="221">
        <v>1087910.81</v>
      </c>
      <c r="I56" s="221">
        <v>1044598.91</v>
      </c>
      <c r="J56" s="221">
        <v>1073274.48</v>
      </c>
      <c r="K56" s="221">
        <v>1208193.81</v>
      </c>
      <c r="L56" s="221">
        <v>909585.15</v>
      </c>
      <c r="M56" s="221">
        <v>874252.46</v>
      </c>
      <c r="N56" s="196">
        <f t="shared" si="15"/>
        <v>12574548.640000001</v>
      </c>
      <c r="P56" s="196"/>
    </row>
    <row r="57" spans="1:16" x14ac:dyDescent="0.2">
      <c r="A57" s="130" t="s">
        <v>169</v>
      </c>
      <c r="B57" s="221">
        <v>1962519.28</v>
      </c>
      <c r="C57" s="221">
        <v>1665226.63</v>
      </c>
      <c r="D57" s="221">
        <v>2171507.1800000002</v>
      </c>
      <c r="E57" s="221">
        <v>1660681.29</v>
      </c>
      <c r="F57" s="221">
        <v>1497293.06</v>
      </c>
      <c r="G57" s="221">
        <v>1554405.18</v>
      </c>
      <c r="H57" s="221">
        <v>1416122.76</v>
      </c>
      <c r="I57" s="221">
        <v>1609734.61</v>
      </c>
      <c r="J57" s="221">
        <v>1594235.19</v>
      </c>
      <c r="K57" s="221">
        <v>1961679.46</v>
      </c>
      <c r="L57" s="221">
        <v>1701403.54</v>
      </c>
      <c r="M57" s="221">
        <v>1613882.31</v>
      </c>
      <c r="N57" s="196">
        <f t="shared" si="15"/>
        <v>20408690.489999995</v>
      </c>
      <c r="P57" s="196"/>
    </row>
    <row r="58" spans="1:16" s="196" customFormat="1" ht="15" x14ac:dyDescent="0.25">
      <c r="A58" s="130" t="s">
        <v>6</v>
      </c>
      <c r="B58" s="153">
        <f t="shared" ref="B58:M58" si="16">SUM(B55:B57)</f>
        <v>4463633.12</v>
      </c>
      <c r="C58" s="153">
        <f t="shared" si="16"/>
        <v>4116771.16</v>
      </c>
      <c r="D58" s="153">
        <f t="shared" si="16"/>
        <v>4871480.7699999996</v>
      </c>
      <c r="E58" s="153">
        <f t="shared" si="16"/>
        <v>4319936.82</v>
      </c>
      <c r="F58" s="153">
        <f t="shared" si="16"/>
        <v>4256767.37</v>
      </c>
      <c r="G58" s="153">
        <f t="shared" si="16"/>
        <v>4233782.51</v>
      </c>
      <c r="H58" s="153">
        <f t="shared" si="16"/>
        <v>4106046.0300000003</v>
      </c>
      <c r="I58" s="153">
        <f t="shared" si="16"/>
        <v>4244638.33</v>
      </c>
      <c r="J58" s="153">
        <f t="shared" si="16"/>
        <v>4278513.0999999996</v>
      </c>
      <c r="K58" s="153">
        <f t="shared" si="16"/>
        <v>4815407.16</v>
      </c>
      <c r="L58" s="153">
        <f t="shared" si="16"/>
        <v>4153524.94</v>
      </c>
      <c r="M58" s="153">
        <f t="shared" si="16"/>
        <v>3916194.69</v>
      </c>
      <c r="N58" s="196">
        <f t="shared" si="15"/>
        <v>51776696</v>
      </c>
    </row>
    <row r="59" spans="1:16" ht="15" x14ac:dyDescent="0.25">
      <c r="A59" s="130"/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96"/>
      <c r="P59" s="196"/>
    </row>
    <row r="60" spans="1:16" x14ac:dyDescent="0.2">
      <c r="A60" s="130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P60" s="196"/>
    </row>
    <row r="61" spans="1:16" ht="15" x14ac:dyDescent="0.25">
      <c r="A61" s="130" t="s">
        <v>181</v>
      </c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96"/>
      <c r="P61" s="196"/>
    </row>
    <row r="62" spans="1:16" x14ac:dyDescent="0.2">
      <c r="A62" s="130" t="s">
        <v>94</v>
      </c>
      <c r="B62" s="221">
        <v>210017.342</v>
      </c>
      <c r="C62" s="221">
        <v>192508.152</v>
      </c>
      <c r="D62" s="221">
        <v>216360.37599999999</v>
      </c>
      <c r="E62" s="221">
        <v>203132.302</v>
      </c>
      <c r="F62" s="221">
        <v>162482.503</v>
      </c>
      <c r="G62" s="221">
        <v>123157.363</v>
      </c>
      <c r="H62" s="221">
        <v>86435.752999999997</v>
      </c>
      <c r="I62" s="221">
        <v>87632.289000000004</v>
      </c>
      <c r="J62" s="221">
        <v>136355.29800000001</v>
      </c>
      <c r="K62" s="221">
        <v>193894.08100000001</v>
      </c>
      <c r="L62" s="221">
        <v>191672.98499999999</v>
      </c>
      <c r="M62" s="221">
        <v>203239.495</v>
      </c>
      <c r="N62" s="196">
        <f t="shared" ref="N62:N64" si="17">SUM(B62:M62)</f>
        <v>2006887.9390000002</v>
      </c>
      <c r="P62" s="196"/>
    </row>
    <row r="63" spans="1:16" x14ac:dyDescent="0.2">
      <c r="A63" s="130" t="s">
        <v>172</v>
      </c>
      <c r="B63" s="221">
        <v>976726.06700000004</v>
      </c>
      <c r="C63" s="221">
        <v>904237.80599999998</v>
      </c>
      <c r="D63" s="221">
        <v>891983.53799999994</v>
      </c>
      <c r="E63" s="221">
        <v>632220.26699999999</v>
      </c>
      <c r="F63" s="221">
        <v>310924.28100000002</v>
      </c>
      <c r="G63" s="221">
        <v>190049.43100000001</v>
      </c>
      <c r="H63" s="221">
        <v>127068.16</v>
      </c>
      <c r="I63" s="221">
        <v>119660.742</v>
      </c>
      <c r="J63" s="221">
        <v>210281.18799999999</v>
      </c>
      <c r="K63" s="221">
        <v>475734.109</v>
      </c>
      <c r="L63" s="221">
        <v>719969.94900000002</v>
      </c>
      <c r="M63" s="221">
        <v>937012.48699999996</v>
      </c>
      <c r="N63" s="196">
        <f t="shared" si="17"/>
        <v>6495868.0250000004</v>
      </c>
      <c r="P63" s="196"/>
    </row>
    <row r="64" spans="1:16" ht="15" x14ac:dyDescent="0.25">
      <c r="A64" s="130" t="s">
        <v>6</v>
      </c>
      <c r="B64" s="153">
        <f t="shared" ref="B64:M64" si="18">SUM(B62:B63)</f>
        <v>1186743.409</v>
      </c>
      <c r="C64" s="153">
        <f t="shared" si="18"/>
        <v>1096745.9580000001</v>
      </c>
      <c r="D64" s="153">
        <f t="shared" si="18"/>
        <v>1108343.9139999999</v>
      </c>
      <c r="E64" s="153">
        <f t="shared" si="18"/>
        <v>835352.56900000002</v>
      </c>
      <c r="F64" s="153">
        <f t="shared" si="18"/>
        <v>473406.78399999999</v>
      </c>
      <c r="G64" s="153">
        <f t="shared" si="18"/>
        <v>313206.79399999999</v>
      </c>
      <c r="H64" s="153">
        <f t="shared" si="18"/>
        <v>213503.913</v>
      </c>
      <c r="I64" s="153">
        <f t="shared" si="18"/>
        <v>207293.03100000002</v>
      </c>
      <c r="J64" s="153">
        <f t="shared" si="18"/>
        <v>346636.48600000003</v>
      </c>
      <c r="K64" s="153">
        <f t="shared" si="18"/>
        <v>669628.18999999994</v>
      </c>
      <c r="L64" s="153">
        <f t="shared" si="18"/>
        <v>911642.93400000001</v>
      </c>
      <c r="M64" s="153">
        <f t="shared" si="18"/>
        <v>1140251.9819999998</v>
      </c>
      <c r="N64" s="196">
        <f t="shared" si="17"/>
        <v>8502755.9639999978</v>
      </c>
      <c r="P64" s="196"/>
    </row>
    <row r="65" spans="1:16" s="196" customFormat="1" ht="15" x14ac:dyDescent="0.25">
      <c r="A65" s="130"/>
      <c r="B65" s="153"/>
      <c r="C65" s="153"/>
      <c r="D65" s="153"/>
      <c r="E65" s="153"/>
      <c r="F65" s="153"/>
      <c r="G65" s="153"/>
      <c r="H65" s="153"/>
      <c r="I65" s="153"/>
      <c r="J65" s="153"/>
      <c r="K65" s="153"/>
      <c r="L65" s="153"/>
      <c r="M65" s="153"/>
    </row>
    <row r="66" spans="1:16" ht="15" x14ac:dyDescent="0.25">
      <c r="A66" s="130"/>
      <c r="B66" s="153"/>
      <c r="C66" s="153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96"/>
      <c r="P66" s="196"/>
    </row>
    <row r="67" spans="1:16" ht="15" x14ac:dyDescent="0.25">
      <c r="A67" s="196" t="s">
        <v>182</v>
      </c>
      <c r="B67" s="153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96"/>
      <c r="P67" s="196"/>
    </row>
    <row r="68" spans="1:16" x14ac:dyDescent="0.2">
      <c r="A68" s="130" t="s">
        <v>94</v>
      </c>
      <c r="B68" s="221">
        <v>4058.5680000000002</v>
      </c>
      <c r="C68" s="221">
        <v>4688.7169999999996</v>
      </c>
      <c r="D68" s="221">
        <v>5155.1409999999996</v>
      </c>
      <c r="E68" s="221">
        <v>5215.2560000000003</v>
      </c>
      <c r="F68" s="221">
        <v>3869.3560000000002</v>
      </c>
      <c r="G68" s="221">
        <v>3194.134</v>
      </c>
      <c r="H68" s="221">
        <v>2335.8000000000002</v>
      </c>
      <c r="I68" s="221">
        <v>2776.384</v>
      </c>
      <c r="J68" s="221">
        <v>3057.7080000000001</v>
      </c>
      <c r="K68" s="221">
        <v>4160.5870000000004</v>
      </c>
      <c r="L68" s="221">
        <v>4757.6880000000001</v>
      </c>
      <c r="M68" s="221">
        <v>4093.989</v>
      </c>
      <c r="N68" s="196">
        <f t="shared" ref="N68:N70" si="19">SUM(B68:M68)</f>
        <v>47363.328000000001</v>
      </c>
      <c r="P68" s="196"/>
    </row>
    <row r="69" spans="1:16" x14ac:dyDescent="0.2">
      <c r="A69" s="130" t="s">
        <v>172</v>
      </c>
      <c r="B69" s="221">
        <v>13643.699000000001</v>
      </c>
      <c r="C69" s="221">
        <v>14034.593999999999</v>
      </c>
      <c r="D69" s="221">
        <v>11875.316000000001</v>
      </c>
      <c r="E69" s="221">
        <v>16755.670999999998</v>
      </c>
      <c r="F69" s="221">
        <v>7262.56</v>
      </c>
      <c r="G69" s="221">
        <v>5377.2150000000001</v>
      </c>
      <c r="H69" s="221">
        <v>4122.5860000000002</v>
      </c>
      <c r="I69" s="221">
        <v>4935.8450000000003</v>
      </c>
      <c r="J69" s="221">
        <v>13150.194</v>
      </c>
      <c r="K69" s="221">
        <v>20148.001</v>
      </c>
      <c r="L69" s="221">
        <v>16598.177</v>
      </c>
      <c r="M69" s="221">
        <v>16190.643</v>
      </c>
      <c r="N69" s="196">
        <f t="shared" si="19"/>
        <v>144094.50099999999</v>
      </c>
      <c r="P69" s="196"/>
    </row>
    <row r="70" spans="1:16" ht="15" x14ac:dyDescent="0.25">
      <c r="A70" s="130" t="s">
        <v>6</v>
      </c>
      <c r="B70" s="153">
        <f t="shared" ref="B70:M70" si="20">SUM(B68:B69)</f>
        <v>17702.267</v>
      </c>
      <c r="C70" s="153">
        <f t="shared" si="20"/>
        <v>18723.310999999998</v>
      </c>
      <c r="D70" s="153">
        <f t="shared" si="20"/>
        <v>17030.457000000002</v>
      </c>
      <c r="E70" s="153">
        <f t="shared" si="20"/>
        <v>21970.927</v>
      </c>
      <c r="F70" s="153">
        <f t="shared" si="20"/>
        <v>11131.916000000001</v>
      </c>
      <c r="G70" s="153">
        <f t="shared" si="20"/>
        <v>8571.3490000000002</v>
      </c>
      <c r="H70" s="153">
        <f t="shared" si="20"/>
        <v>6458.3860000000004</v>
      </c>
      <c r="I70" s="153">
        <f t="shared" si="20"/>
        <v>7712.2290000000003</v>
      </c>
      <c r="J70" s="153">
        <f t="shared" si="20"/>
        <v>16207.902</v>
      </c>
      <c r="K70" s="153">
        <f t="shared" si="20"/>
        <v>24308.588</v>
      </c>
      <c r="L70" s="153">
        <f t="shared" si="20"/>
        <v>21355.864999999998</v>
      </c>
      <c r="M70" s="153">
        <f t="shared" si="20"/>
        <v>20284.632000000001</v>
      </c>
      <c r="N70" s="196">
        <f t="shared" si="19"/>
        <v>191457.829</v>
      </c>
      <c r="P70" s="196"/>
    </row>
    <row r="71" spans="1:16" ht="15" x14ac:dyDescent="0.25">
      <c r="A71" s="130"/>
      <c r="B71" s="153"/>
      <c r="C71" s="153"/>
      <c r="D71" s="153"/>
      <c r="E71" s="153"/>
      <c r="F71" s="153"/>
      <c r="G71" s="153"/>
      <c r="H71" s="153"/>
      <c r="I71" s="153"/>
      <c r="J71" s="153"/>
      <c r="K71" s="153"/>
      <c r="L71" s="153"/>
      <c r="M71" s="153"/>
      <c r="N71" s="196"/>
      <c r="P71" s="196"/>
    </row>
    <row r="72" spans="1:16" s="196" customFormat="1" x14ac:dyDescent="0.2"/>
    <row r="73" spans="1:16" ht="15" x14ac:dyDescent="0.25">
      <c r="A73" s="196" t="s">
        <v>171</v>
      </c>
      <c r="B73" s="153"/>
      <c r="C73" s="153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96"/>
      <c r="P73" s="196"/>
    </row>
    <row r="74" spans="1:16" x14ac:dyDescent="0.2">
      <c r="A74" s="130" t="s">
        <v>94</v>
      </c>
      <c r="B74" s="221">
        <v>2000</v>
      </c>
      <c r="C74" s="221">
        <v>2000</v>
      </c>
      <c r="D74" s="221">
        <v>2000</v>
      </c>
      <c r="E74" s="221">
        <v>2000</v>
      </c>
      <c r="F74" s="221">
        <v>2000</v>
      </c>
      <c r="G74" s="221">
        <v>1930.91</v>
      </c>
      <c r="H74" s="221">
        <v>1405.28</v>
      </c>
      <c r="I74" s="221">
        <v>2000</v>
      </c>
      <c r="J74" s="221">
        <v>1675.55</v>
      </c>
      <c r="K74" s="221">
        <v>2000</v>
      </c>
      <c r="L74" s="221">
        <v>2000</v>
      </c>
      <c r="M74" s="221">
        <v>2000</v>
      </c>
      <c r="N74" s="196">
        <f t="shared" ref="N74:N76" si="21">SUM(B74:M74)</f>
        <v>23011.74</v>
      </c>
      <c r="P74" s="196"/>
    </row>
    <row r="75" spans="1:16" x14ac:dyDescent="0.2">
      <c r="A75" s="130" t="s">
        <v>172</v>
      </c>
      <c r="B75" s="221">
        <v>47343.94</v>
      </c>
      <c r="C75" s="221">
        <v>50603.87</v>
      </c>
      <c r="D75" s="221">
        <v>38825.67</v>
      </c>
      <c r="E75" s="221">
        <v>22785.5</v>
      </c>
      <c r="F75" s="221">
        <v>16363.18</v>
      </c>
      <c r="G75" s="221">
        <v>19011.68</v>
      </c>
      <c r="H75" s="221">
        <v>14958.23</v>
      </c>
      <c r="I75" s="221">
        <v>11568.14</v>
      </c>
      <c r="J75" s="221">
        <v>17296.669999999998</v>
      </c>
      <c r="K75" s="221">
        <v>31141.14</v>
      </c>
      <c r="L75" s="221">
        <v>32143.08</v>
      </c>
      <c r="M75" s="221">
        <v>26235.31</v>
      </c>
      <c r="N75" s="196">
        <f t="shared" si="21"/>
        <v>328276.40999999997</v>
      </c>
      <c r="P75" s="196"/>
    </row>
    <row r="76" spans="1:16" ht="15" x14ac:dyDescent="0.25">
      <c r="A76" s="130" t="s">
        <v>6</v>
      </c>
      <c r="B76" s="153">
        <f t="shared" ref="B76:M76" si="22">SUM(B74:B75)</f>
        <v>49343.94</v>
      </c>
      <c r="C76" s="153">
        <f t="shared" si="22"/>
        <v>52603.87</v>
      </c>
      <c r="D76" s="153">
        <f t="shared" si="22"/>
        <v>40825.67</v>
      </c>
      <c r="E76" s="153">
        <f t="shared" si="22"/>
        <v>24785.5</v>
      </c>
      <c r="F76" s="153">
        <f t="shared" si="22"/>
        <v>18363.18</v>
      </c>
      <c r="G76" s="153">
        <f t="shared" si="22"/>
        <v>20942.59</v>
      </c>
      <c r="H76" s="153">
        <f t="shared" si="22"/>
        <v>16363.51</v>
      </c>
      <c r="I76" s="153">
        <f t="shared" si="22"/>
        <v>13568.14</v>
      </c>
      <c r="J76" s="153">
        <f t="shared" si="22"/>
        <v>18972.219999999998</v>
      </c>
      <c r="K76" s="153">
        <f t="shared" si="22"/>
        <v>33141.14</v>
      </c>
      <c r="L76" s="153">
        <f t="shared" si="22"/>
        <v>34143.08</v>
      </c>
      <c r="M76" s="153">
        <f t="shared" si="22"/>
        <v>28235.31</v>
      </c>
      <c r="N76" s="196">
        <f t="shared" si="21"/>
        <v>351288.14999999997</v>
      </c>
      <c r="P76" s="196"/>
    </row>
    <row r="77" spans="1:16" ht="15" x14ac:dyDescent="0.25">
      <c r="A77" s="130"/>
      <c r="B77" s="153"/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96"/>
    </row>
    <row r="78" spans="1:16" x14ac:dyDescent="0.2">
      <c r="P78" s="196"/>
    </row>
    <row r="79" spans="1:16" ht="15" x14ac:dyDescent="0.25">
      <c r="A79" s="203" t="s">
        <v>183</v>
      </c>
      <c r="B79" s="153"/>
      <c r="C79" s="153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96"/>
      <c r="P79" s="196"/>
    </row>
    <row r="80" spans="1:16" x14ac:dyDescent="0.2">
      <c r="A80" s="130" t="s">
        <v>88</v>
      </c>
      <c r="B80" s="221">
        <v>126044.556</v>
      </c>
      <c r="C80" s="221">
        <v>121455.628</v>
      </c>
      <c r="D80" s="221">
        <v>125000</v>
      </c>
      <c r="E80" s="221">
        <v>124138</v>
      </c>
      <c r="F80" s="221">
        <v>127528.666</v>
      </c>
      <c r="G80" s="221">
        <v>121720.43</v>
      </c>
      <c r="H80" s="221">
        <v>127474.97199999999</v>
      </c>
      <c r="I80" s="221">
        <v>127471.266</v>
      </c>
      <c r="J80" s="221">
        <v>123229.166</v>
      </c>
      <c r="K80" s="221">
        <v>126023.5</v>
      </c>
      <c r="L80" s="221">
        <v>125747.334</v>
      </c>
      <c r="M80" s="221">
        <v>124791.666</v>
      </c>
      <c r="N80" s="196">
        <f t="shared" ref="N80:N86" si="23">SUM(B80:M80)</f>
        <v>1500625.1839999999</v>
      </c>
      <c r="P80" s="196"/>
    </row>
    <row r="81" spans="1:16" x14ac:dyDescent="0.2">
      <c r="A81" s="130" t="s">
        <v>89</v>
      </c>
      <c r="B81" s="221">
        <v>126044.005</v>
      </c>
      <c r="C81" s="221">
        <v>121455.628</v>
      </c>
      <c r="D81" s="221">
        <v>125000</v>
      </c>
      <c r="E81" s="221">
        <v>124138</v>
      </c>
      <c r="F81" s="221">
        <v>127528.666</v>
      </c>
      <c r="G81" s="221">
        <v>112863.99</v>
      </c>
      <c r="H81" s="221">
        <v>116478.465</v>
      </c>
      <c r="I81" s="221">
        <v>117538.98299999999</v>
      </c>
      <c r="J81" s="221">
        <v>123229.166</v>
      </c>
      <c r="K81" s="221">
        <v>126023.5</v>
      </c>
      <c r="L81" s="221">
        <v>125747.334</v>
      </c>
      <c r="M81" s="221">
        <v>124791.666</v>
      </c>
      <c r="N81" s="196">
        <f t="shared" si="23"/>
        <v>1470839.4029999999</v>
      </c>
      <c r="P81" s="196"/>
    </row>
    <row r="82" spans="1:16" s="196" customFormat="1" x14ac:dyDescent="0.2">
      <c r="A82" s="130" t="s">
        <v>99</v>
      </c>
      <c r="B82" s="221">
        <v>252089.111</v>
      </c>
      <c r="C82" s="221">
        <v>242911.25599999999</v>
      </c>
      <c r="D82" s="221">
        <v>250000</v>
      </c>
      <c r="E82" s="221">
        <v>248276</v>
      </c>
      <c r="F82" s="221">
        <v>197462.139</v>
      </c>
      <c r="G82" s="221">
        <v>175211.476</v>
      </c>
      <c r="H82" s="221">
        <v>162170.50099999999</v>
      </c>
      <c r="I82" s="221">
        <v>143109.87599999999</v>
      </c>
      <c r="J82" s="221">
        <v>179104.89199999999</v>
      </c>
      <c r="K82" s="221">
        <v>252047</v>
      </c>
      <c r="L82" s="221">
        <v>251494.666</v>
      </c>
      <c r="M82" s="221">
        <v>249583.334</v>
      </c>
      <c r="N82" s="196">
        <f t="shared" si="23"/>
        <v>2603460.2510000002</v>
      </c>
    </row>
    <row r="83" spans="1:16" x14ac:dyDescent="0.2">
      <c r="A83" s="130" t="s">
        <v>100</v>
      </c>
      <c r="B83" s="221">
        <v>394483.83799999999</v>
      </c>
      <c r="C83" s="221">
        <v>439683.32199999999</v>
      </c>
      <c r="D83" s="221">
        <v>443482.08899999998</v>
      </c>
      <c r="E83" s="221">
        <v>318372.07799999998</v>
      </c>
      <c r="F83" s="221">
        <v>167686.50099999999</v>
      </c>
      <c r="G83" s="221">
        <v>115520.219</v>
      </c>
      <c r="H83" s="221">
        <v>101089.102</v>
      </c>
      <c r="I83" s="221">
        <v>105912.84600000001</v>
      </c>
      <c r="J83" s="221">
        <v>137262.06</v>
      </c>
      <c r="K83" s="221">
        <v>241102.802</v>
      </c>
      <c r="L83" s="221">
        <v>336367.91100000002</v>
      </c>
      <c r="M83" s="221">
        <v>396153.761</v>
      </c>
      <c r="N83" s="196">
        <f t="shared" si="23"/>
        <v>3197116.5289999996</v>
      </c>
      <c r="P83" s="196"/>
    </row>
    <row r="84" spans="1:16" x14ac:dyDescent="0.2">
      <c r="A84" s="130" t="s">
        <v>101</v>
      </c>
      <c r="B84" s="221">
        <v>336549.57699999999</v>
      </c>
      <c r="C84" s="221">
        <v>311044.71799999999</v>
      </c>
      <c r="D84" s="221">
        <v>310532.62800000003</v>
      </c>
      <c r="E84" s="221">
        <v>310431.10800000001</v>
      </c>
      <c r="F84" s="221">
        <v>300000</v>
      </c>
      <c r="G84" s="221">
        <v>300000</v>
      </c>
      <c r="H84" s="221">
        <v>300000</v>
      </c>
      <c r="I84" s="221">
        <v>300000</v>
      </c>
      <c r="J84" s="221">
        <v>300000</v>
      </c>
      <c r="K84" s="221">
        <v>300000</v>
      </c>
      <c r="L84" s="221">
        <v>323394.09700000001</v>
      </c>
      <c r="M84" s="221">
        <v>347184.614</v>
      </c>
      <c r="N84" s="196">
        <f t="shared" si="23"/>
        <v>3739136.7420000001</v>
      </c>
      <c r="P84" s="196"/>
    </row>
    <row r="85" spans="1:16" x14ac:dyDescent="0.2">
      <c r="A85" s="130" t="s">
        <v>174</v>
      </c>
      <c r="B85" s="221">
        <v>1252862.32</v>
      </c>
      <c r="C85" s="221">
        <v>1269495.21</v>
      </c>
      <c r="D85" s="221">
        <v>1175929.6599999999</v>
      </c>
      <c r="E85" s="221">
        <v>940895.73</v>
      </c>
      <c r="F85" s="221">
        <v>565504.23</v>
      </c>
      <c r="G85" s="221">
        <v>605234.98</v>
      </c>
      <c r="H85" s="221">
        <v>473068.27</v>
      </c>
      <c r="I85" s="221">
        <v>480992.35</v>
      </c>
      <c r="J85" s="221">
        <v>509890.65</v>
      </c>
      <c r="K85" s="221">
        <v>702574.09</v>
      </c>
      <c r="L85" s="221">
        <v>970690.92</v>
      </c>
      <c r="M85" s="221">
        <v>1342990.14</v>
      </c>
      <c r="N85" s="196">
        <f t="shared" si="23"/>
        <v>10290128.550000001</v>
      </c>
      <c r="P85" s="196"/>
    </row>
    <row r="86" spans="1:16" ht="15" x14ac:dyDescent="0.25">
      <c r="A86" s="130" t="s">
        <v>6</v>
      </c>
      <c r="B86" s="153">
        <f t="shared" ref="B86:M86" si="24">SUM(B80:B85)</f>
        <v>2488073.4070000001</v>
      </c>
      <c r="C86" s="153">
        <f t="shared" si="24"/>
        <v>2506045.7620000001</v>
      </c>
      <c r="D86" s="153">
        <f t="shared" si="24"/>
        <v>2429944.3769999999</v>
      </c>
      <c r="E86" s="153">
        <f t="shared" si="24"/>
        <v>2066250.916</v>
      </c>
      <c r="F86" s="153">
        <f t="shared" si="24"/>
        <v>1485710.202</v>
      </c>
      <c r="G86" s="153">
        <f t="shared" si="24"/>
        <v>1430551.095</v>
      </c>
      <c r="H86" s="153">
        <f t="shared" si="24"/>
        <v>1280281.31</v>
      </c>
      <c r="I86" s="153">
        <f t="shared" si="24"/>
        <v>1275025.321</v>
      </c>
      <c r="J86" s="153">
        <f t="shared" si="24"/>
        <v>1372715.9339999999</v>
      </c>
      <c r="K86" s="153">
        <f t="shared" si="24"/>
        <v>1747770.892</v>
      </c>
      <c r="L86" s="153">
        <f t="shared" si="24"/>
        <v>2133442.2620000001</v>
      </c>
      <c r="M86" s="153">
        <f t="shared" si="24"/>
        <v>2585495.1809999999</v>
      </c>
      <c r="N86" s="196">
        <f t="shared" si="23"/>
        <v>22801306.659000002</v>
      </c>
      <c r="P86" s="196"/>
    </row>
    <row r="87" spans="1:16" ht="15" x14ac:dyDescent="0.25">
      <c r="A87" s="130"/>
      <c r="B87" s="153"/>
      <c r="C87" s="153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P87" s="196"/>
    </row>
    <row r="88" spans="1:16" ht="15" x14ac:dyDescent="0.25">
      <c r="A88" s="130"/>
      <c r="B88" s="153"/>
      <c r="C88" s="153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96"/>
      <c r="P88" s="196"/>
    </row>
    <row r="89" spans="1:16" ht="15" x14ac:dyDescent="0.25">
      <c r="A89" s="203" t="s">
        <v>184</v>
      </c>
      <c r="B89" s="153"/>
      <c r="C89" s="153"/>
      <c r="D89" s="153"/>
      <c r="E89" s="153"/>
      <c r="F89" s="153"/>
      <c r="G89" s="153"/>
      <c r="H89" s="153"/>
      <c r="I89" s="153"/>
      <c r="J89" s="153"/>
      <c r="K89" s="153"/>
      <c r="L89" s="153"/>
      <c r="M89" s="153"/>
      <c r="N89" s="196"/>
      <c r="P89" s="196"/>
    </row>
    <row r="90" spans="1:16" x14ac:dyDescent="0.2">
      <c r="A90" s="130" t="s">
        <v>88</v>
      </c>
      <c r="B90" s="221">
        <v>0</v>
      </c>
      <c r="C90" s="221">
        <v>0</v>
      </c>
      <c r="D90" s="221">
        <v>0</v>
      </c>
      <c r="E90" s="221">
        <v>0</v>
      </c>
      <c r="F90" s="221">
        <v>0</v>
      </c>
      <c r="G90" s="221">
        <v>0</v>
      </c>
      <c r="H90" s="221">
        <v>0</v>
      </c>
      <c r="I90" s="221">
        <v>0</v>
      </c>
      <c r="J90" s="221">
        <v>0</v>
      </c>
      <c r="K90" s="221">
        <v>0</v>
      </c>
      <c r="L90" s="221">
        <v>0</v>
      </c>
      <c r="M90" s="221">
        <v>0</v>
      </c>
      <c r="N90" s="196">
        <f t="shared" ref="N90:N95" si="25">SUM(B90:J90)</f>
        <v>0</v>
      </c>
      <c r="P90" s="196"/>
    </row>
    <row r="91" spans="1:16" x14ac:dyDescent="0.2">
      <c r="A91" s="130" t="s">
        <v>89</v>
      </c>
      <c r="B91" s="221">
        <v>0</v>
      </c>
      <c r="C91" s="221">
        <v>0</v>
      </c>
      <c r="D91" s="221">
        <v>0</v>
      </c>
      <c r="E91" s="221">
        <v>0</v>
      </c>
      <c r="F91" s="221">
        <v>0</v>
      </c>
      <c r="G91" s="221">
        <v>0</v>
      </c>
      <c r="H91" s="221">
        <v>0</v>
      </c>
      <c r="I91" s="221">
        <v>0</v>
      </c>
      <c r="J91" s="221">
        <v>0</v>
      </c>
      <c r="K91" s="221">
        <v>0</v>
      </c>
      <c r="L91" s="221">
        <v>0</v>
      </c>
      <c r="M91" s="221">
        <v>0</v>
      </c>
      <c r="N91" s="196">
        <f t="shared" si="25"/>
        <v>0</v>
      </c>
      <c r="P91" s="196"/>
    </row>
    <row r="92" spans="1:16" x14ac:dyDescent="0.2">
      <c r="A92" s="130" t="s">
        <v>99</v>
      </c>
      <c r="B92" s="221">
        <v>0</v>
      </c>
      <c r="C92" s="221">
        <v>0</v>
      </c>
      <c r="D92" s="221">
        <v>0</v>
      </c>
      <c r="E92" s="221">
        <v>0</v>
      </c>
      <c r="F92" s="221">
        <v>0</v>
      </c>
      <c r="G92" s="221">
        <v>0</v>
      </c>
      <c r="H92" s="221">
        <v>0</v>
      </c>
      <c r="I92" s="221">
        <v>0</v>
      </c>
      <c r="J92" s="221">
        <v>0</v>
      </c>
      <c r="K92" s="221">
        <v>0</v>
      </c>
      <c r="L92" s="221">
        <v>0</v>
      </c>
      <c r="M92" s="221">
        <v>0</v>
      </c>
      <c r="N92" s="196">
        <f t="shared" si="25"/>
        <v>0</v>
      </c>
      <c r="P92" s="196"/>
    </row>
    <row r="93" spans="1:16" x14ac:dyDescent="0.2">
      <c r="A93" s="130" t="s">
        <v>100</v>
      </c>
      <c r="B93" s="221">
        <v>0</v>
      </c>
      <c r="C93" s="221">
        <v>0</v>
      </c>
      <c r="D93" s="221">
        <v>0</v>
      </c>
      <c r="E93" s="221">
        <v>0</v>
      </c>
      <c r="F93" s="221">
        <v>0</v>
      </c>
      <c r="G93" s="221">
        <v>0</v>
      </c>
      <c r="H93" s="221">
        <v>0</v>
      </c>
      <c r="I93" s="221">
        <v>0</v>
      </c>
      <c r="J93" s="221">
        <v>0</v>
      </c>
      <c r="K93" s="221">
        <v>0</v>
      </c>
      <c r="L93" s="221">
        <v>0</v>
      </c>
      <c r="M93" s="221">
        <v>0</v>
      </c>
      <c r="N93" s="196">
        <f t="shared" si="25"/>
        <v>0</v>
      </c>
      <c r="P93" s="196"/>
    </row>
    <row r="94" spans="1:16" x14ac:dyDescent="0.2">
      <c r="A94" s="130" t="s">
        <v>101</v>
      </c>
      <c r="B94" s="221">
        <v>0</v>
      </c>
      <c r="C94" s="221">
        <v>0</v>
      </c>
      <c r="D94" s="221">
        <v>0</v>
      </c>
      <c r="E94" s="221">
        <v>0</v>
      </c>
      <c r="F94" s="221">
        <v>0</v>
      </c>
      <c r="G94" s="221">
        <v>0</v>
      </c>
      <c r="H94" s="221">
        <v>0</v>
      </c>
      <c r="I94" s="221">
        <v>0</v>
      </c>
      <c r="J94" s="221">
        <v>0</v>
      </c>
      <c r="K94" s="221">
        <v>0</v>
      </c>
      <c r="L94" s="221">
        <v>0</v>
      </c>
      <c r="M94" s="221">
        <v>0</v>
      </c>
      <c r="N94" s="196">
        <f t="shared" si="25"/>
        <v>0</v>
      </c>
      <c r="P94" s="196"/>
    </row>
    <row r="95" spans="1:16" x14ac:dyDescent="0.2">
      <c r="A95" s="130" t="s">
        <v>174</v>
      </c>
      <c r="B95" s="221">
        <v>0</v>
      </c>
      <c r="C95" s="221">
        <v>0</v>
      </c>
      <c r="D95" s="221">
        <v>0</v>
      </c>
      <c r="E95" s="221">
        <v>0</v>
      </c>
      <c r="F95" s="221">
        <v>0</v>
      </c>
      <c r="G95" s="221">
        <v>0</v>
      </c>
      <c r="H95" s="221">
        <v>0</v>
      </c>
      <c r="I95" s="221">
        <v>0</v>
      </c>
      <c r="J95" s="221">
        <v>0</v>
      </c>
      <c r="K95" s="221">
        <v>0</v>
      </c>
      <c r="L95" s="221">
        <v>0</v>
      </c>
      <c r="M95" s="221">
        <v>0</v>
      </c>
      <c r="N95" s="196">
        <f t="shared" si="25"/>
        <v>0</v>
      </c>
      <c r="P95" s="196"/>
    </row>
    <row r="96" spans="1:16" ht="15" x14ac:dyDescent="0.25">
      <c r="A96" s="130" t="s">
        <v>6</v>
      </c>
      <c r="B96" s="153">
        <f t="shared" ref="B96:M96" si="26">SUM(B90:B95)</f>
        <v>0</v>
      </c>
      <c r="C96" s="153">
        <f t="shared" si="26"/>
        <v>0</v>
      </c>
      <c r="D96" s="153">
        <f t="shared" si="26"/>
        <v>0</v>
      </c>
      <c r="E96" s="153">
        <f t="shared" si="26"/>
        <v>0</v>
      </c>
      <c r="F96" s="153">
        <f t="shared" si="26"/>
        <v>0</v>
      </c>
      <c r="G96" s="153">
        <f t="shared" si="26"/>
        <v>0</v>
      </c>
      <c r="H96" s="153">
        <f t="shared" si="26"/>
        <v>0</v>
      </c>
      <c r="I96" s="153">
        <f t="shared" si="26"/>
        <v>0</v>
      </c>
      <c r="J96" s="153">
        <f t="shared" si="26"/>
        <v>0</v>
      </c>
      <c r="K96" s="153">
        <f t="shared" si="26"/>
        <v>0</v>
      </c>
      <c r="L96" s="153">
        <f t="shared" si="26"/>
        <v>0</v>
      </c>
      <c r="M96" s="153">
        <f t="shared" si="26"/>
        <v>0</v>
      </c>
      <c r="N96" s="196">
        <f>SUM(N90:N95)</f>
        <v>0</v>
      </c>
      <c r="P96" s="196"/>
    </row>
    <row r="97" spans="1:16" s="235" customFormat="1" ht="12.75" customHeight="1" x14ac:dyDescent="0.25">
      <c r="A97" s="130"/>
      <c r="B97" s="153"/>
      <c r="C97" s="153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96"/>
      <c r="P97" s="196"/>
    </row>
    <row r="98" spans="1:16" x14ac:dyDescent="0.2">
      <c r="P98" s="196"/>
    </row>
    <row r="99" spans="1:16" ht="15" x14ac:dyDescent="0.25">
      <c r="A99" s="130" t="s">
        <v>173</v>
      </c>
      <c r="B99" s="153"/>
      <c r="C99" s="153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96"/>
      <c r="P99" s="196"/>
    </row>
    <row r="100" spans="1:16" x14ac:dyDescent="0.2">
      <c r="A100" s="130" t="s">
        <v>88</v>
      </c>
      <c r="B100" s="221">
        <v>75000</v>
      </c>
      <c r="C100" s="221">
        <v>75000</v>
      </c>
      <c r="D100" s="221">
        <v>75000</v>
      </c>
      <c r="E100" s="221">
        <v>75000</v>
      </c>
      <c r="F100" s="221">
        <v>75000</v>
      </c>
      <c r="G100" s="221">
        <v>75000</v>
      </c>
      <c r="H100" s="221">
        <v>75000</v>
      </c>
      <c r="I100" s="221">
        <v>75000</v>
      </c>
      <c r="J100" s="221">
        <v>75000</v>
      </c>
      <c r="K100" s="221">
        <v>75000</v>
      </c>
      <c r="L100" s="221">
        <v>75000</v>
      </c>
      <c r="M100" s="221">
        <v>75000</v>
      </c>
      <c r="N100" s="196">
        <f t="shared" ref="N100:N106" si="27">SUM(B100:M100)</f>
        <v>900000</v>
      </c>
      <c r="P100" s="196"/>
    </row>
    <row r="101" spans="1:16" x14ac:dyDescent="0.2">
      <c r="A101" s="130" t="s">
        <v>89</v>
      </c>
      <c r="B101" s="221">
        <v>75000</v>
      </c>
      <c r="C101" s="221">
        <v>75000</v>
      </c>
      <c r="D101" s="221">
        <v>75000</v>
      </c>
      <c r="E101" s="221">
        <v>75000</v>
      </c>
      <c r="F101" s="221">
        <v>75000</v>
      </c>
      <c r="G101" s="221">
        <v>75000</v>
      </c>
      <c r="H101" s="221">
        <v>75000</v>
      </c>
      <c r="I101" s="221">
        <v>75000</v>
      </c>
      <c r="J101" s="221">
        <v>75000</v>
      </c>
      <c r="K101" s="221">
        <v>75000</v>
      </c>
      <c r="L101" s="221">
        <v>75000</v>
      </c>
      <c r="M101" s="221">
        <v>75000</v>
      </c>
      <c r="N101" s="196">
        <f t="shared" si="27"/>
        <v>900000</v>
      </c>
      <c r="P101" s="196"/>
    </row>
    <row r="102" spans="1:16" x14ac:dyDescent="0.2">
      <c r="A102" s="130" t="s">
        <v>99</v>
      </c>
      <c r="B102" s="221">
        <v>150000</v>
      </c>
      <c r="C102" s="221">
        <v>150000</v>
      </c>
      <c r="D102" s="221">
        <v>150000</v>
      </c>
      <c r="E102" s="221">
        <v>150000</v>
      </c>
      <c r="F102" s="221">
        <v>150000</v>
      </c>
      <c r="G102" s="221">
        <v>150000</v>
      </c>
      <c r="H102" s="221">
        <v>134439.38</v>
      </c>
      <c r="I102" s="221">
        <v>150000</v>
      </c>
      <c r="J102" s="221">
        <v>150000</v>
      </c>
      <c r="K102" s="221">
        <v>150000</v>
      </c>
      <c r="L102" s="221">
        <v>150000</v>
      </c>
      <c r="M102" s="221">
        <v>150000</v>
      </c>
      <c r="N102" s="196">
        <f t="shared" si="27"/>
        <v>1784439.38</v>
      </c>
      <c r="P102" s="196"/>
    </row>
    <row r="103" spans="1:16" x14ac:dyDescent="0.2">
      <c r="A103" s="130" t="s">
        <v>100</v>
      </c>
      <c r="B103" s="221">
        <v>300000</v>
      </c>
      <c r="C103" s="221">
        <v>285133.58</v>
      </c>
      <c r="D103" s="221">
        <v>300000</v>
      </c>
      <c r="E103" s="221">
        <v>298043.53000000003</v>
      </c>
      <c r="F103" s="221">
        <v>296265.65999999997</v>
      </c>
      <c r="G103" s="221">
        <v>273725.57</v>
      </c>
      <c r="H103" s="221">
        <v>200000</v>
      </c>
      <c r="I103" s="221">
        <v>245505.38</v>
      </c>
      <c r="J103" s="221">
        <v>262469.55</v>
      </c>
      <c r="K103" s="221">
        <v>299566.06</v>
      </c>
      <c r="L103" s="221">
        <v>298480</v>
      </c>
      <c r="M103" s="221">
        <v>296939.21999999997</v>
      </c>
      <c r="N103" s="196">
        <f t="shared" si="27"/>
        <v>3356128.55</v>
      </c>
      <c r="P103" s="196"/>
    </row>
    <row r="104" spans="1:16" x14ac:dyDescent="0.2">
      <c r="A104" s="130" t="s">
        <v>101</v>
      </c>
      <c r="B104" s="221">
        <v>400382.23</v>
      </c>
      <c r="C104" s="221">
        <v>416073.24</v>
      </c>
      <c r="D104" s="221">
        <v>403591.12</v>
      </c>
      <c r="E104" s="221">
        <v>353892.31</v>
      </c>
      <c r="F104" s="221">
        <v>308957.49</v>
      </c>
      <c r="G104" s="221">
        <v>305164.2</v>
      </c>
      <c r="H104" s="221">
        <v>316718.03999999998</v>
      </c>
      <c r="I104" s="221">
        <v>333070.31</v>
      </c>
      <c r="J104" s="221">
        <v>304155.96000000002</v>
      </c>
      <c r="K104" s="221">
        <v>320324.31</v>
      </c>
      <c r="L104" s="221">
        <v>366069.63</v>
      </c>
      <c r="M104" s="221">
        <v>430873.36</v>
      </c>
      <c r="N104" s="196">
        <f t="shared" si="27"/>
        <v>4259272.2</v>
      </c>
      <c r="P104" s="196"/>
    </row>
    <row r="105" spans="1:16" x14ac:dyDescent="0.2">
      <c r="A105" s="130" t="s">
        <v>174</v>
      </c>
      <c r="B105" s="221">
        <v>951077.64</v>
      </c>
      <c r="C105" s="221">
        <v>959887.13</v>
      </c>
      <c r="D105" s="221">
        <v>853851.53</v>
      </c>
      <c r="E105" s="221">
        <v>647925.04</v>
      </c>
      <c r="F105" s="221">
        <v>373466.7</v>
      </c>
      <c r="G105" s="221">
        <v>289151.18</v>
      </c>
      <c r="H105" s="221">
        <v>213370.1</v>
      </c>
      <c r="I105" s="221">
        <v>214868.38</v>
      </c>
      <c r="J105" s="221">
        <v>260456.12</v>
      </c>
      <c r="K105" s="221">
        <v>517937.88</v>
      </c>
      <c r="L105" s="221">
        <v>575139.16</v>
      </c>
      <c r="M105" s="221">
        <v>885604.89</v>
      </c>
      <c r="N105" s="196">
        <f t="shared" si="27"/>
        <v>6742735.75</v>
      </c>
      <c r="P105" s="196"/>
    </row>
    <row r="106" spans="1:16" ht="15" x14ac:dyDescent="0.25">
      <c r="A106" s="130" t="s">
        <v>6</v>
      </c>
      <c r="B106" s="153">
        <f t="shared" ref="B106:M106" si="28">SUM(B100:B105)</f>
        <v>1951459.87</v>
      </c>
      <c r="C106" s="153">
        <f t="shared" si="28"/>
        <v>1961093.9500000002</v>
      </c>
      <c r="D106" s="153">
        <f t="shared" si="28"/>
        <v>1857442.65</v>
      </c>
      <c r="E106" s="153">
        <f t="shared" si="28"/>
        <v>1599860.8800000001</v>
      </c>
      <c r="F106" s="153">
        <f t="shared" si="28"/>
        <v>1278689.8499999999</v>
      </c>
      <c r="G106" s="153">
        <f t="shared" si="28"/>
        <v>1168040.95</v>
      </c>
      <c r="H106" s="153">
        <f t="shared" si="28"/>
        <v>1014527.5199999999</v>
      </c>
      <c r="I106" s="153">
        <f t="shared" si="28"/>
        <v>1093444.0699999998</v>
      </c>
      <c r="J106" s="153">
        <f t="shared" si="28"/>
        <v>1127081.6299999999</v>
      </c>
      <c r="K106" s="153">
        <f t="shared" si="28"/>
        <v>1437828.25</v>
      </c>
      <c r="L106" s="153">
        <f t="shared" si="28"/>
        <v>1539688.79</v>
      </c>
      <c r="M106" s="153">
        <f t="shared" si="28"/>
        <v>1913417.47</v>
      </c>
      <c r="N106" s="196">
        <f t="shared" si="27"/>
        <v>17942575.879999999</v>
      </c>
      <c r="P106" s="196"/>
    </row>
    <row r="107" spans="1:16" ht="15" x14ac:dyDescent="0.25">
      <c r="A107" s="130"/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96"/>
      <c r="P107" s="196"/>
    </row>
    <row r="108" spans="1:16" ht="15" x14ac:dyDescent="0.25">
      <c r="A108" s="130"/>
      <c r="B108" s="153"/>
      <c r="C108" s="153"/>
      <c r="D108" s="153"/>
      <c r="E108" s="153"/>
      <c r="F108" s="153"/>
      <c r="G108" s="153"/>
      <c r="H108" s="153"/>
      <c r="I108" s="153"/>
      <c r="J108" s="153"/>
      <c r="K108" s="153"/>
      <c r="L108" s="153"/>
      <c r="M108" s="153"/>
      <c r="N108" s="196"/>
      <c r="P108" s="196"/>
    </row>
    <row r="109" spans="1:16" ht="15" x14ac:dyDescent="0.25">
      <c r="A109" s="130" t="s">
        <v>175</v>
      </c>
      <c r="B109" s="153"/>
      <c r="C109" s="153"/>
      <c r="D109" s="153"/>
      <c r="E109" s="153"/>
      <c r="F109" s="153"/>
      <c r="G109" s="153"/>
      <c r="H109" s="153"/>
      <c r="I109" s="153"/>
      <c r="J109" s="153"/>
      <c r="K109" s="153"/>
      <c r="L109" s="153"/>
      <c r="M109" s="153"/>
      <c r="N109" s="196"/>
      <c r="P109" s="196"/>
    </row>
    <row r="110" spans="1:16" x14ac:dyDescent="0.2">
      <c r="A110" s="130" t="s">
        <v>88</v>
      </c>
      <c r="B110" s="221">
        <v>175000</v>
      </c>
      <c r="C110" s="221">
        <v>175000</v>
      </c>
      <c r="D110" s="221">
        <v>175000</v>
      </c>
      <c r="E110" s="221">
        <v>175000</v>
      </c>
      <c r="F110" s="221">
        <v>175000</v>
      </c>
      <c r="G110" s="221">
        <v>175000</v>
      </c>
      <c r="H110" s="221">
        <v>175000</v>
      </c>
      <c r="I110" s="221">
        <v>175000</v>
      </c>
      <c r="J110" s="221">
        <v>175000</v>
      </c>
      <c r="K110" s="221">
        <v>175000</v>
      </c>
      <c r="L110" s="221">
        <v>175000</v>
      </c>
      <c r="M110" s="221">
        <v>175000</v>
      </c>
      <c r="N110" s="196">
        <f t="shared" ref="N110:N116" si="29">SUM(B110:M110)</f>
        <v>2100000</v>
      </c>
      <c r="P110" s="196"/>
    </row>
    <row r="111" spans="1:16" x14ac:dyDescent="0.2">
      <c r="A111" s="130" t="s">
        <v>89</v>
      </c>
      <c r="B111" s="221">
        <v>175000</v>
      </c>
      <c r="C111" s="221">
        <v>175000</v>
      </c>
      <c r="D111" s="221">
        <v>175000</v>
      </c>
      <c r="E111" s="221">
        <v>175000</v>
      </c>
      <c r="F111" s="221">
        <v>175000</v>
      </c>
      <c r="G111" s="221">
        <v>175000</v>
      </c>
      <c r="H111" s="221">
        <v>175000</v>
      </c>
      <c r="I111" s="221">
        <v>175000</v>
      </c>
      <c r="J111" s="221">
        <v>175000</v>
      </c>
      <c r="K111" s="221">
        <v>175000</v>
      </c>
      <c r="L111" s="221">
        <v>175000</v>
      </c>
      <c r="M111" s="221">
        <v>175000</v>
      </c>
      <c r="N111" s="196">
        <f t="shared" si="29"/>
        <v>2100000</v>
      </c>
      <c r="P111" s="196"/>
    </row>
    <row r="112" spans="1:16" x14ac:dyDescent="0.2">
      <c r="A112" s="130" t="s">
        <v>99</v>
      </c>
      <c r="B112" s="221">
        <v>350000</v>
      </c>
      <c r="C112" s="221">
        <v>350000</v>
      </c>
      <c r="D112" s="221">
        <v>350000</v>
      </c>
      <c r="E112" s="221">
        <v>350000</v>
      </c>
      <c r="F112" s="221">
        <v>350000</v>
      </c>
      <c r="G112" s="221">
        <v>350000</v>
      </c>
      <c r="H112" s="221">
        <v>350000</v>
      </c>
      <c r="I112" s="221">
        <v>350000</v>
      </c>
      <c r="J112" s="221">
        <v>350000</v>
      </c>
      <c r="K112" s="221">
        <v>349316.1</v>
      </c>
      <c r="L112" s="221">
        <v>350000</v>
      </c>
      <c r="M112" s="221">
        <v>350000</v>
      </c>
      <c r="N112" s="196">
        <f t="shared" si="29"/>
        <v>4199316.0999999996</v>
      </c>
      <c r="P112" s="196"/>
    </row>
    <row r="113" spans="1:16" x14ac:dyDescent="0.2">
      <c r="A113" s="130" t="s">
        <v>100</v>
      </c>
      <c r="B113" s="221">
        <v>700000</v>
      </c>
      <c r="C113" s="221">
        <v>700000</v>
      </c>
      <c r="D113" s="221">
        <v>700000</v>
      </c>
      <c r="E113" s="221">
        <v>700000</v>
      </c>
      <c r="F113" s="221">
        <v>700000</v>
      </c>
      <c r="G113" s="221">
        <v>700000</v>
      </c>
      <c r="H113" s="221">
        <v>700000</v>
      </c>
      <c r="I113" s="221">
        <v>700000</v>
      </c>
      <c r="J113" s="221">
        <v>691062.3</v>
      </c>
      <c r="K113" s="221">
        <v>690322</v>
      </c>
      <c r="L113" s="221">
        <v>700000</v>
      </c>
      <c r="M113" s="221">
        <v>700000</v>
      </c>
      <c r="N113" s="196">
        <f t="shared" si="29"/>
        <v>8381384.2999999998</v>
      </c>
      <c r="P113" s="196"/>
    </row>
    <row r="114" spans="1:16" x14ac:dyDescent="0.2">
      <c r="A114" s="130" t="s">
        <v>101</v>
      </c>
      <c r="B114" s="221">
        <v>1870856.82</v>
      </c>
      <c r="C114" s="221">
        <v>1835996.53</v>
      </c>
      <c r="D114" s="221">
        <v>1852529.04</v>
      </c>
      <c r="E114" s="221">
        <v>1849111.29</v>
      </c>
      <c r="F114" s="221">
        <v>1838962.32</v>
      </c>
      <c r="G114" s="221">
        <v>1829849.35</v>
      </c>
      <c r="H114" s="221">
        <v>1842102.79</v>
      </c>
      <c r="I114" s="221">
        <v>1829452.55</v>
      </c>
      <c r="J114" s="221">
        <v>1800000</v>
      </c>
      <c r="K114" s="221">
        <v>1798430.93</v>
      </c>
      <c r="L114" s="221">
        <v>1822543.82</v>
      </c>
      <c r="M114" s="221">
        <v>1824499.37</v>
      </c>
      <c r="N114" s="196">
        <f t="shared" si="29"/>
        <v>21994334.810000002</v>
      </c>
      <c r="P114" s="196"/>
    </row>
    <row r="115" spans="1:16" x14ac:dyDescent="0.2">
      <c r="A115" s="130" t="s">
        <v>174</v>
      </c>
      <c r="B115" s="221">
        <v>3046424.83</v>
      </c>
      <c r="C115" s="221">
        <v>3670249.91</v>
      </c>
      <c r="D115" s="221">
        <v>4432642.47</v>
      </c>
      <c r="E115" s="221">
        <v>3366516.31</v>
      </c>
      <c r="F115" s="221">
        <v>3714551.69</v>
      </c>
      <c r="G115" s="221">
        <v>3252523.85</v>
      </c>
      <c r="H115" s="221">
        <v>4361843.04</v>
      </c>
      <c r="I115" s="221">
        <v>4369914.9400000004</v>
      </c>
      <c r="J115" s="221">
        <v>3366864.67</v>
      </c>
      <c r="K115" s="221">
        <v>3360078.03</v>
      </c>
      <c r="L115" s="221">
        <v>2270404.7200000002</v>
      </c>
      <c r="M115" s="221">
        <v>3766970.18</v>
      </c>
      <c r="N115" s="196">
        <f t="shared" si="29"/>
        <v>42978984.640000001</v>
      </c>
      <c r="P115" s="196"/>
    </row>
    <row r="116" spans="1:16" ht="15" x14ac:dyDescent="0.25">
      <c r="A116" s="130" t="s">
        <v>6</v>
      </c>
      <c r="B116" s="153">
        <f t="shared" ref="B116:M116" si="30">SUM(B110:B115)</f>
        <v>6317281.6500000004</v>
      </c>
      <c r="C116" s="153">
        <f t="shared" si="30"/>
        <v>6906246.4400000004</v>
      </c>
      <c r="D116" s="153">
        <f t="shared" si="30"/>
        <v>7685171.5099999998</v>
      </c>
      <c r="E116" s="153">
        <f t="shared" si="30"/>
        <v>6615627.5999999996</v>
      </c>
      <c r="F116" s="153">
        <f t="shared" si="30"/>
        <v>6953514.0099999998</v>
      </c>
      <c r="G116" s="153">
        <f t="shared" si="30"/>
        <v>6482373.2000000002</v>
      </c>
      <c r="H116" s="153">
        <f t="shared" si="30"/>
        <v>7603945.8300000001</v>
      </c>
      <c r="I116" s="153">
        <f t="shared" si="30"/>
        <v>7599367.4900000002</v>
      </c>
      <c r="J116" s="153">
        <f t="shared" si="30"/>
        <v>6557926.9699999997</v>
      </c>
      <c r="K116" s="153">
        <f t="shared" si="30"/>
        <v>6548147.0600000005</v>
      </c>
      <c r="L116" s="153">
        <f t="shared" si="30"/>
        <v>5492948.540000001</v>
      </c>
      <c r="M116" s="153">
        <f t="shared" si="30"/>
        <v>6991469.5500000007</v>
      </c>
      <c r="N116" s="196">
        <f t="shared" si="29"/>
        <v>81754019.850000009</v>
      </c>
      <c r="P116" s="196"/>
    </row>
    <row r="117" spans="1:16" ht="15" x14ac:dyDescent="0.25">
      <c r="A117" s="130"/>
      <c r="B117" s="153"/>
      <c r="C117" s="15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96"/>
      <c r="P117" s="196"/>
    </row>
    <row r="118" spans="1:16" x14ac:dyDescent="0.2">
      <c r="A118" s="203" t="s">
        <v>6</v>
      </c>
      <c r="B118" s="196">
        <f>SUM(B9,B16,B23,B30,B37,B44,B51,B58,B64,B70,B76,B86,B106,B116)</f>
        <v>29828184.809</v>
      </c>
      <c r="C118" s="196">
        <f t="shared" ref="C118:M118" si="31">SUM(C9,C16,C23,C30,C37,C44,C51,C58,C64,C70,C76,C86,C106,C116)</f>
        <v>29445008.778000005</v>
      </c>
      <c r="D118" s="196">
        <f t="shared" si="31"/>
        <v>30962504.535999998</v>
      </c>
      <c r="E118" s="196">
        <f t="shared" si="31"/>
        <v>25995687.141000003</v>
      </c>
      <c r="F118" s="196">
        <f t="shared" si="31"/>
        <v>22946454.57</v>
      </c>
      <c r="G118" s="196">
        <f t="shared" si="31"/>
        <v>21281301.912999999</v>
      </c>
      <c r="H118" s="196">
        <f t="shared" si="31"/>
        <v>21136680.880000003</v>
      </c>
      <c r="I118" s="196">
        <f t="shared" si="31"/>
        <v>21508559.563000001</v>
      </c>
      <c r="J118" s="196">
        <f t="shared" si="31"/>
        <v>21397445.744999997</v>
      </c>
      <c r="K118" s="196">
        <f t="shared" si="31"/>
        <v>25240236.537</v>
      </c>
      <c r="L118" s="196">
        <f t="shared" si="31"/>
        <v>25847040.707999997</v>
      </c>
      <c r="M118" s="196">
        <f t="shared" si="31"/>
        <v>29772734.893999998</v>
      </c>
      <c r="N118" s="196">
        <f>SUM(B118:M118)</f>
        <v>305361840.07399994</v>
      </c>
    </row>
    <row r="124" spans="1:16" ht="15" x14ac:dyDescent="0.25">
      <c r="A124" s="130"/>
      <c r="B124" s="153"/>
      <c r="C124" s="15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96"/>
    </row>
    <row r="136" spans="1:14" ht="15" x14ac:dyDescent="0.25">
      <c r="A136" s="130"/>
      <c r="B136" s="153"/>
      <c r="C136" s="15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96"/>
    </row>
  </sheetData>
  <printOptions horizontalCentered="1"/>
  <pageMargins left="0.5" right="0.5" top="1" bottom="1" header="0.5" footer="0.5"/>
  <pageSetup scale="67" fitToHeight="3" orientation="landscape" horizontalDpi="300" verticalDpi="300" r:id="rId1"/>
  <headerFooter alignWithMargins="0">
    <oddFooter>&amp;L&amp;F 
&amp;A&amp;C&amp;P&amp;R&amp;D</oddFooter>
  </headerFooter>
  <rowBreaks count="1" manualBreakCount="1">
    <brk id="108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N340"/>
  <sheetViews>
    <sheetView zoomScaleNormal="100" workbookViewId="0">
      <pane ySplit="6" topLeftCell="A208" activePane="bottomLeft" state="frozen"/>
      <selection activeCell="R41" sqref="R41"/>
      <selection pane="bottomLeft" activeCell="P231" sqref="P231"/>
    </sheetView>
  </sheetViews>
  <sheetFormatPr defaultRowHeight="12.75" x14ac:dyDescent="0.2"/>
  <cols>
    <col min="1" max="1" width="2.28515625" style="242" customWidth="1"/>
    <col min="2" max="2" width="41.5703125" style="242" customWidth="1"/>
    <col min="3" max="3" width="9.28515625" style="242" bestFit="1" customWidth="1"/>
    <col min="4" max="9" width="11.7109375" style="242" bestFit="1" customWidth="1"/>
    <col min="10" max="11" width="10.140625" style="242" bestFit="1" customWidth="1"/>
    <col min="12" max="15" width="11.7109375" style="242" bestFit="1" customWidth="1"/>
    <col min="16" max="16" width="12.7109375" style="242" bestFit="1" customWidth="1"/>
    <col min="17" max="17" width="12.7109375" style="242" customWidth="1"/>
    <col min="18" max="18" width="10.7109375" style="242" bestFit="1" customWidth="1"/>
    <col min="19" max="16384" width="9.140625" style="242"/>
  </cols>
  <sheetData>
    <row r="1" spans="2:19" x14ac:dyDescent="0.2">
      <c r="B1" s="403" t="s">
        <v>0</v>
      </c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241"/>
    </row>
    <row r="2" spans="2:19" ht="15" x14ac:dyDescent="0.25">
      <c r="B2" s="403" t="s">
        <v>410</v>
      </c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241"/>
    </row>
    <row r="3" spans="2:19" x14ac:dyDescent="0.2">
      <c r="B3" s="403" t="s">
        <v>411</v>
      </c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241"/>
    </row>
    <row r="4" spans="2:19" x14ac:dyDescent="0.2">
      <c r="B4" s="243"/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</row>
    <row r="5" spans="2:19" x14ac:dyDescent="0.2">
      <c r="B5" s="243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</row>
    <row r="6" spans="2:19" x14ac:dyDescent="0.2">
      <c r="B6" s="244" t="s">
        <v>4</v>
      </c>
      <c r="C6" s="244" t="s">
        <v>264</v>
      </c>
      <c r="D6" s="245">
        <v>43101</v>
      </c>
      <c r="E6" s="245">
        <f>EDATE(D6,1)</f>
        <v>43132</v>
      </c>
      <c r="F6" s="245">
        <f t="shared" ref="F6:O6" si="0">EDATE(E6,1)</f>
        <v>43160</v>
      </c>
      <c r="G6" s="245">
        <f t="shared" si="0"/>
        <v>43191</v>
      </c>
      <c r="H6" s="245">
        <f t="shared" si="0"/>
        <v>43221</v>
      </c>
      <c r="I6" s="245">
        <f t="shared" si="0"/>
        <v>43252</v>
      </c>
      <c r="J6" s="245">
        <f t="shared" si="0"/>
        <v>43282</v>
      </c>
      <c r="K6" s="245">
        <f t="shared" si="0"/>
        <v>43313</v>
      </c>
      <c r="L6" s="245">
        <f t="shared" si="0"/>
        <v>43344</v>
      </c>
      <c r="M6" s="245">
        <f t="shared" si="0"/>
        <v>43374</v>
      </c>
      <c r="N6" s="245">
        <f t="shared" si="0"/>
        <v>43405</v>
      </c>
      <c r="O6" s="245">
        <f t="shared" si="0"/>
        <v>43435</v>
      </c>
      <c r="P6" s="246" t="s">
        <v>6</v>
      </c>
      <c r="Q6" s="247"/>
    </row>
    <row r="7" spans="2:19" x14ac:dyDescent="0.2">
      <c r="B7" s="248" t="s">
        <v>349</v>
      </c>
      <c r="C7" s="249"/>
      <c r="D7" s="250"/>
      <c r="E7" s="250"/>
      <c r="F7" s="250"/>
      <c r="G7" s="250"/>
      <c r="H7" s="250"/>
      <c r="I7" s="250"/>
      <c r="J7" s="250"/>
      <c r="K7" s="250"/>
      <c r="L7" s="250"/>
      <c r="M7" s="250"/>
      <c r="N7" s="250"/>
      <c r="O7" s="250"/>
      <c r="P7" s="250"/>
      <c r="Q7" s="250"/>
    </row>
    <row r="8" spans="2:19" s="251" customFormat="1" x14ac:dyDescent="0.2">
      <c r="B8" s="251" t="s">
        <v>265</v>
      </c>
      <c r="C8" s="252">
        <v>16</v>
      </c>
      <c r="D8" s="253">
        <v>797.62900000000002</v>
      </c>
      <c r="E8" s="253">
        <v>723.62300000000005</v>
      </c>
      <c r="F8" s="253">
        <v>835.85599999999999</v>
      </c>
      <c r="G8" s="253">
        <v>821.65099999999995</v>
      </c>
      <c r="H8" s="253">
        <v>818.67499999999995</v>
      </c>
      <c r="I8" s="253">
        <v>776.11900000000003</v>
      </c>
      <c r="J8" s="253">
        <v>813.22500000000002</v>
      </c>
      <c r="K8" s="253">
        <v>791.37</v>
      </c>
      <c r="L8" s="253">
        <v>794.43100000000004</v>
      </c>
      <c r="M8" s="253">
        <v>846.26900000000001</v>
      </c>
      <c r="N8" s="253">
        <v>670.62199999999996</v>
      </c>
      <c r="O8" s="253">
        <v>654.63400000000001</v>
      </c>
      <c r="P8" s="254">
        <f>SUM(D8:O8)</f>
        <v>9344.1039999999994</v>
      </c>
      <c r="Q8" s="254"/>
      <c r="R8" s="366"/>
      <c r="S8" s="254"/>
    </row>
    <row r="9" spans="2:19" s="251" customFormat="1" x14ac:dyDescent="0.2">
      <c r="B9" s="251" t="s">
        <v>7</v>
      </c>
      <c r="C9" s="251">
        <v>23</v>
      </c>
      <c r="D9" s="253">
        <v>85104432.094999999</v>
      </c>
      <c r="E9" s="253">
        <v>80987938.540999994</v>
      </c>
      <c r="F9" s="253">
        <v>75376978.523000002</v>
      </c>
      <c r="G9" s="253">
        <v>47865394.369000003</v>
      </c>
      <c r="H9" s="253">
        <v>24076169.842999998</v>
      </c>
      <c r="I9" s="253">
        <v>17720709.662999999</v>
      </c>
      <c r="J9" s="253">
        <v>13445152.333000001</v>
      </c>
      <c r="K9" s="253">
        <v>13243856.593</v>
      </c>
      <c r="L9" s="253">
        <v>20690219.379000001</v>
      </c>
      <c r="M9" s="253">
        <v>42558823.725000001</v>
      </c>
      <c r="N9" s="253">
        <v>66477179.744999997</v>
      </c>
      <c r="O9" s="253">
        <v>84527896.341000006</v>
      </c>
      <c r="P9" s="254">
        <f t="shared" ref="P9:P33" si="1">SUM(D9:O9)</f>
        <v>572074751.14999998</v>
      </c>
      <c r="Q9" s="254"/>
      <c r="R9" s="366"/>
    </row>
    <row r="10" spans="2:19" s="251" customFormat="1" x14ac:dyDescent="0.2">
      <c r="B10" s="251" t="s">
        <v>266</v>
      </c>
      <c r="C10" s="251">
        <v>53</v>
      </c>
      <c r="D10" s="253">
        <v>56.914999999999999</v>
      </c>
      <c r="E10" s="253">
        <v>7.5629999999999997</v>
      </c>
      <c r="F10" s="253">
        <v>0</v>
      </c>
      <c r="G10" s="253">
        <v>0</v>
      </c>
      <c r="H10" s="253">
        <v>0</v>
      </c>
      <c r="I10" s="253">
        <v>0</v>
      </c>
      <c r="J10" s="253">
        <v>0</v>
      </c>
      <c r="K10" s="253">
        <v>0</v>
      </c>
      <c r="L10" s="253">
        <v>0</v>
      </c>
      <c r="M10" s="253">
        <v>0</v>
      </c>
      <c r="N10" s="253">
        <v>0</v>
      </c>
      <c r="O10" s="253">
        <v>0</v>
      </c>
      <c r="P10" s="254">
        <f t="shared" si="1"/>
        <v>64.477999999999994</v>
      </c>
      <c r="Q10" s="254"/>
      <c r="R10" s="366"/>
    </row>
    <row r="11" spans="2:19" s="251" customFormat="1" x14ac:dyDescent="0.2">
      <c r="B11" s="251" t="s">
        <v>267</v>
      </c>
      <c r="C11" s="251">
        <v>31</v>
      </c>
      <c r="D11" s="253">
        <v>28406290.447999999</v>
      </c>
      <c r="E11" s="253">
        <v>26930630.162999999</v>
      </c>
      <c r="F11" s="253">
        <v>25554926.024</v>
      </c>
      <c r="G11" s="253">
        <v>17577728.907000002</v>
      </c>
      <c r="H11" s="253">
        <v>10860038.619000001</v>
      </c>
      <c r="I11" s="253">
        <v>8913208.3239999991</v>
      </c>
      <c r="J11" s="253">
        <v>7744332.8169999998</v>
      </c>
      <c r="K11" s="253">
        <v>7814835.7249999996</v>
      </c>
      <c r="L11" s="253">
        <v>9638896.5759999994</v>
      </c>
      <c r="M11" s="253">
        <v>15331464.589</v>
      </c>
      <c r="N11" s="253">
        <v>22131529.57</v>
      </c>
      <c r="O11" s="253">
        <v>28131198.552999999</v>
      </c>
      <c r="P11" s="254">
        <f t="shared" si="1"/>
        <v>209035080.315</v>
      </c>
      <c r="Q11" s="254"/>
      <c r="R11" s="366"/>
    </row>
    <row r="12" spans="2:19" s="251" customFormat="1" x14ac:dyDescent="0.2">
      <c r="B12" s="251" t="s">
        <v>268</v>
      </c>
      <c r="C12" s="251">
        <v>41</v>
      </c>
      <c r="D12" s="253">
        <v>6582985.9359999998</v>
      </c>
      <c r="E12" s="253">
        <v>6376975.6500000004</v>
      </c>
      <c r="F12" s="253">
        <v>6238486.6940000001</v>
      </c>
      <c r="G12" s="253">
        <v>4791690.6160000004</v>
      </c>
      <c r="H12" s="253">
        <v>3331563.0380000006</v>
      </c>
      <c r="I12" s="253">
        <v>2788619.142</v>
      </c>
      <c r="J12" s="253">
        <v>2291089.585</v>
      </c>
      <c r="K12" s="253">
        <v>2322664.8089999999</v>
      </c>
      <c r="L12" s="253">
        <v>2861816.1799999997</v>
      </c>
      <c r="M12" s="253">
        <v>4195811.7210000008</v>
      </c>
      <c r="N12" s="253">
        <v>5387399.1579999998</v>
      </c>
      <c r="O12" s="253">
        <v>6479349.8090000004</v>
      </c>
      <c r="P12" s="254">
        <f t="shared" si="1"/>
        <v>53648452.338</v>
      </c>
      <c r="Q12" s="254"/>
      <c r="R12" s="366"/>
    </row>
    <row r="13" spans="2:19" s="251" customFormat="1" x14ac:dyDescent="0.2">
      <c r="B13" s="251" t="s">
        <v>354</v>
      </c>
      <c r="C13" s="251">
        <v>50</v>
      </c>
      <c r="D13" s="253">
        <v>0</v>
      </c>
      <c r="E13" s="253">
        <v>0</v>
      </c>
      <c r="F13" s="253">
        <v>0</v>
      </c>
      <c r="G13" s="253">
        <v>0</v>
      </c>
      <c r="H13" s="253">
        <v>0</v>
      </c>
      <c r="I13" s="253">
        <v>0</v>
      </c>
      <c r="J13" s="253">
        <v>0</v>
      </c>
      <c r="K13" s="253">
        <v>0</v>
      </c>
      <c r="L13" s="253">
        <v>0</v>
      </c>
      <c r="M13" s="253">
        <v>0</v>
      </c>
      <c r="N13" s="253">
        <v>0</v>
      </c>
      <c r="O13" s="253">
        <v>0</v>
      </c>
      <c r="P13" s="254">
        <f t="shared" si="1"/>
        <v>0</v>
      </c>
      <c r="Q13" s="254"/>
      <c r="R13" s="366"/>
    </row>
    <row r="14" spans="2:19" s="251" customFormat="1" x14ac:dyDescent="0.2">
      <c r="B14" s="251" t="s">
        <v>269</v>
      </c>
      <c r="C14" s="251">
        <v>85</v>
      </c>
      <c r="D14" s="253">
        <v>1710515.939</v>
      </c>
      <c r="E14" s="253">
        <v>1579736.5380000002</v>
      </c>
      <c r="F14" s="253">
        <v>1642259.1359999999</v>
      </c>
      <c r="G14" s="253">
        <v>1243655.1359999999</v>
      </c>
      <c r="H14" s="253">
        <v>920234.88600000006</v>
      </c>
      <c r="I14" s="253">
        <v>733125.50200000009</v>
      </c>
      <c r="J14" s="253">
        <v>646476.62700000009</v>
      </c>
      <c r="K14" s="253">
        <v>706237.19299999997</v>
      </c>
      <c r="L14" s="253">
        <v>840775.34</v>
      </c>
      <c r="M14" s="253">
        <v>1111617.04</v>
      </c>
      <c r="N14" s="253">
        <v>1379651.9010000001</v>
      </c>
      <c r="O14" s="253">
        <v>1648219.5559999999</v>
      </c>
      <c r="P14" s="254">
        <f t="shared" si="1"/>
        <v>14162504.794000002</v>
      </c>
      <c r="Q14" s="254"/>
      <c r="R14" s="366"/>
    </row>
    <row r="15" spans="2:19" s="251" customFormat="1" x14ac:dyDescent="0.2">
      <c r="B15" s="251" t="s">
        <v>270</v>
      </c>
      <c r="C15" s="251">
        <v>86</v>
      </c>
      <c r="D15" s="253">
        <v>1186743.409</v>
      </c>
      <c r="E15" s="253">
        <v>1096745.9580000001</v>
      </c>
      <c r="F15" s="253">
        <v>1108343.9139999999</v>
      </c>
      <c r="G15" s="253">
        <v>835352.56900000002</v>
      </c>
      <c r="H15" s="253">
        <v>473406.78399999999</v>
      </c>
      <c r="I15" s="253">
        <v>313206.79399999999</v>
      </c>
      <c r="J15" s="253">
        <v>213503.913</v>
      </c>
      <c r="K15" s="253">
        <v>207293.03100000002</v>
      </c>
      <c r="L15" s="253">
        <v>346636.48600000003</v>
      </c>
      <c r="M15" s="253">
        <v>669628.18999999994</v>
      </c>
      <c r="N15" s="253">
        <v>911642.93400000001</v>
      </c>
      <c r="O15" s="253">
        <v>1140251.9819999998</v>
      </c>
      <c r="P15" s="254">
        <f t="shared" si="1"/>
        <v>8502755.9639999978</v>
      </c>
      <c r="Q15" s="254"/>
      <c r="R15" s="366"/>
    </row>
    <row r="16" spans="2:19" s="251" customFormat="1" x14ac:dyDescent="0.2">
      <c r="B16" s="251" t="s">
        <v>271</v>
      </c>
      <c r="C16" s="251">
        <v>87</v>
      </c>
      <c r="D16" s="253">
        <v>2488073.4070000001</v>
      </c>
      <c r="E16" s="253">
        <v>2506045.7620000001</v>
      </c>
      <c r="F16" s="253">
        <v>2429944.3769999999</v>
      </c>
      <c r="G16" s="253">
        <v>2066250.916</v>
      </c>
      <c r="H16" s="253">
        <v>1485710.202</v>
      </c>
      <c r="I16" s="253">
        <v>1430551.095</v>
      </c>
      <c r="J16" s="253">
        <v>1280281.31</v>
      </c>
      <c r="K16" s="253">
        <v>1275025.321</v>
      </c>
      <c r="L16" s="253">
        <v>1372715.9339999999</v>
      </c>
      <c r="M16" s="253">
        <v>1747770.892</v>
      </c>
      <c r="N16" s="253">
        <v>2133442.2620000001</v>
      </c>
      <c r="O16" s="253">
        <v>2585495.1809999999</v>
      </c>
      <c r="P16" s="254">
        <f t="shared" si="1"/>
        <v>22801306.659000002</v>
      </c>
      <c r="Q16" s="254"/>
      <c r="R16" s="366"/>
    </row>
    <row r="17" spans="2:18" s="251" customFormat="1" x14ac:dyDescent="0.2">
      <c r="B17" s="251" t="s">
        <v>272</v>
      </c>
      <c r="C17" s="251">
        <v>31</v>
      </c>
      <c r="D17" s="253">
        <v>1964847.169</v>
      </c>
      <c r="E17" s="253">
        <v>1883109.105</v>
      </c>
      <c r="F17" s="253">
        <v>1683126.1610000001</v>
      </c>
      <c r="G17" s="253">
        <v>1065369.402</v>
      </c>
      <c r="H17" s="253">
        <v>562255.93900000001</v>
      </c>
      <c r="I17" s="253">
        <v>430018.24099999998</v>
      </c>
      <c r="J17" s="253">
        <v>369763.20400000003</v>
      </c>
      <c r="K17" s="253">
        <v>382878.80200000003</v>
      </c>
      <c r="L17" s="253">
        <v>535009.95400000003</v>
      </c>
      <c r="M17" s="253">
        <v>946105.03599999996</v>
      </c>
      <c r="N17" s="253">
        <v>1460899.1029999999</v>
      </c>
      <c r="O17" s="253">
        <v>1858886.4720000001</v>
      </c>
      <c r="P17" s="254">
        <f t="shared" si="1"/>
        <v>13142268.588000003</v>
      </c>
      <c r="Q17" s="254"/>
      <c r="R17" s="366"/>
    </row>
    <row r="18" spans="2:18" s="251" customFormat="1" x14ac:dyDescent="0.2">
      <c r="B18" s="251" t="s">
        <v>273</v>
      </c>
      <c r="C18" s="251">
        <v>41</v>
      </c>
      <c r="D18" s="253">
        <v>946435.92099999997</v>
      </c>
      <c r="E18" s="253">
        <v>901078.02300000004</v>
      </c>
      <c r="F18" s="253">
        <v>919254.62699999998</v>
      </c>
      <c r="G18" s="253">
        <v>811446.06</v>
      </c>
      <c r="H18" s="253">
        <v>700123.46399999992</v>
      </c>
      <c r="I18" s="253">
        <v>670894.69999999995</v>
      </c>
      <c r="J18" s="253">
        <v>638238.12899999996</v>
      </c>
      <c r="K18" s="253">
        <v>644626.09299999999</v>
      </c>
      <c r="L18" s="253">
        <v>662632.26500000001</v>
      </c>
      <c r="M18" s="253">
        <v>795180.78899999999</v>
      </c>
      <c r="N18" s="253">
        <v>876758.92299999995</v>
      </c>
      <c r="O18" s="253">
        <v>898129.22600000002</v>
      </c>
      <c r="P18" s="254">
        <f t="shared" si="1"/>
        <v>9464798.2199999988</v>
      </c>
      <c r="Q18" s="254"/>
      <c r="R18" s="366"/>
    </row>
    <row r="19" spans="2:18" s="251" customFormat="1" x14ac:dyDescent="0.2">
      <c r="B19" s="251" t="s">
        <v>274</v>
      </c>
      <c r="C19" s="251">
        <v>85</v>
      </c>
      <c r="D19" s="253">
        <v>152783.32999999999</v>
      </c>
      <c r="E19" s="253">
        <v>144144.49599999998</v>
      </c>
      <c r="F19" s="253">
        <v>145396.611</v>
      </c>
      <c r="G19" s="253">
        <v>149688.77699999997</v>
      </c>
      <c r="H19" s="253">
        <v>126713.5</v>
      </c>
      <c r="I19" s="253">
        <v>113441.361</v>
      </c>
      <c r="J19" s="253">
        <v>104798.53</v>
      </c>
      <c r="K19" s="253">
        <v>112355.647</v>
      </c>
      <c r="L19" s="253">
        <v>110712.698</v>
      </c>
      <c r="M19" s="253">
        <v>127995.837</v>
      </c>
      <c r="N19" s="253">
        <v>132757.14499999999</v>
      </c>
      <c r="O19" s="253">
        <v>148061.82799999998</v>
      </c>
      <c r="P19" s="254">
        <f t="shared" si="1"/>
        <v>1568849.7600000002</v>
      </c>
      <c r="Q19" s="254"/>
      <c r="R19" s="366"/>
    </row>
    <row r="20" spans="2:18" s="251" customFormat="1" x14ac:dyDescent="0.2">
      <c r="B20" s="251" t="s">
        <v>275</v>
      </c>
      <c r="C20" s="251">
        <v>86</v>
      </c>
      <c r="D20" s="253">
        <v>17702.267</v>
      </c>
      <c r="E20" s="253">
        <v>18723.310999999998</v>
      </c>
      <c r="F20" s="253">
        <v>17030.457000000002</v>
      </c>
      <c r="G20" s="253">
        <v>21970.927</v>
      </c>
      <c r="H20" s="253">
        <v>11131.916000000001</v>
      </c>
      <c r="I20" s="253">
        <v>8571.3490000000002</v>
      </c>
      <c r="J20" s="253">
        <v>6458.3860000000004</v>
      </c>
      <c r="K20" s="253">
        <v>7712.2290000000003</v>
      </c>
      <c r="L20" s="253">
        <v>16207.902</v>
      </c>
      <c r="M20" s="253">
        <v>24308.588</v>
      </c>
      <c r="N20" s="253">
        <v>21355.864999999998</v>
      </c>
      <c r="O20" s="253">
        <v>20284.632000000001</v>
      </c>
      <c r="P20" s="254">
        <f t="shared" si="1"/>
        <v>191457.829</v>
      </c>
      <c r="Q20" s="254"/>
      <c r="R20" s="366"/>
    </row>
    <row r="21" spans="2:18" s="251" customFormat="1" x14ac:dyDescent="0.2">
      <c r="B21" s="251" t="s">
        <v>276</v>
      </c>
      <c r="C21" s="251">
        <v>87</v>
      </c>
      <c r="D21" s="253">
        <v>0</v>
      </c>
      <c r="E21" s="253">
        <v>0</v>
      </c>
      <c r="F21" s="253">
        <v>0</v>
      </c>
      <c r="G21" s="253">
        <v>0</v>
      </c>
      <c r="H21" s="253">
        <v>0</v>
      </c>
      <c r="I21" s="253">
        <v>0</v>
      </c>
      <c r="J21" s="253">
        <v>0</v>
      </c>
      <c r="K21" s="253">
        <v>0</v>
      </c>
      <c r="L21" s="253">
        <v>0</v>
      </c>
      <c r="M21" s="253">
        <v>0</v>
      </c>
      <c r="N21" s="253">
        <v>0</v>
      </c>
      <c r="O21" s="253">
        <v>0</v>
      </c>
      <c r="P21" s="254">
        <f t="shared" si="1"/>
        <v>0</v>
      </c>
      <c r="Q21" s="254"/>
      <c r="R21" s="366"/>
    </row>
    <row r="22" spans="2:18" s="251" customFormat="1" x14ac:dyDescent="0.2">
      <c r="B22" s="251" t="s">
        <v>277</v>
      </c>
      <c r="C22" s="252" t="s">
        <v>33</v>
      </c>
      <c r="D22" s="253">
        <v>2356.8000000000002</v>
      </c>
      <c r="E22" s="253">
        <v>2713.47</v>
      </c>
      <c r="F22" s="253">
        <v>2240.84</v>
      </c>
      <c r="G22" s="253">
        <v>1514.91</v>
      </c>
      <c r="H22" s="253">
        <v>975.42</v>
      </c>
      <c r="I22" s="253">
        <v>955</v>
      </c>
      <c r="J22" s="253">
        <v>798.62</v>
      </c>
      <c r="K22" s="253">
        <v>838.78</v>
      </c>
      <c r="L22" s="253">
        <v>1047.7</v>
      </c>
      <c r="M22" s="253">
        <v>1466.72</v>
      </c>
      <c r="N22" s="253">
        <v>2139.9299999999998</v>
      </c>
      <c r="O22" s="253">
        <v>2460.83</v>
      </c>
      <c r="P22" s="254">
        <f t="shared" si="1"/>
        <v>19509.020000000004</v>
      </c>
      <c r="Q22" s="254"/>
      <c r="R22" s="366"/>
    </row>
    <row r="23" spans="2:18" s="251" customFormat="1" x14ac:dyDescent="0.2">
      <c r="B23" s="251" t="s">
        <v>278</v>
      </c>
      <c r="C23" s="252" t="s">
        <v>35</v>
      </c>
      <c r="D23" s="253">
        <v>1255972.3900000001</v>
      </c>
      <c r="E23" s="253">
        <v>1219491.01</v>
      </c>
      <c r="F23" s="253">
        <v>1249375.8599999999</v>
      </c>
      <c r="G23" s="253">
        <v>1121319.93</v>
      </c>
      <c r="H23" s="253">
        <v>1056152.8500000001</v>
      </c>
      <c r="I23" s="253">
        <v>1066639.25</v>
      </c>
      <c r="J23" s="253">
        <v>1034134.1400000001</v>
      </c>
      <c r="K23" s="253">
        <v>1072055.8500000001</v>
      </c>
      <c r="L23" s="253">
        <v>1024131.41</v>
      </c>
      <c r="M23" s="253">
        <v>1214628.47</v>
      </c>
      <c r="N23" s="253">
        <v>1262887.25</v>
      </c>
      <c r="O23" s="253">
        <v>1392880.51</v>
      </c>
      <c r="P23" s="254">
        <f t="shared" si="1"/>
        <v>13969668.920000002</v>
      </c>
      <c r="Q23" s="254"/>
      <c r="R23" s="366"/>
    </row>
    <row r="24" spans="2:18" s="251" customFormat="1" x14ac:dyDescent="0.2">
      <c r="B24" s="251" t="s">
        <v>279</v>
      </c>
      <c r="C24" s="252" t="s">
        <v>37</v>
      </c>
      <c r="D24" s="253">
        <v>2118211.92</v>
      </c>
      <c r="E24" s="253">
        <v>2005289.4500000002</v>
      </c>
      <c r="F24" s="253">
        <v>2104200.58</v>
      </c>
      <c r="G24" s="253">
        <v>1832042.1</v>
      </c>
      <c r="H24" s="253">
        <v>1801033.12</v>
      </c>
      <c r="I24" s="253">
        <v>1732174.3499999999</v>
      </c>
      <c r="J24" s="253">
        <v>1682576.31</v>
      </c>
      <c r="K24" s="253">
        <v>1684575.62</v>
      </c>
      <c r="L24" s="253">
        <v>1685124.68</v>
      </c>
      <c r="M24" s="253">
        <v>1955498.8</v>
      </c>
      <c r="N24" s="253">
        <v>1997481.5599999998</v>
      </c>
      <c r="O24" s="253">
        <v>2140109.7199999997</v>
      </c>
      <c r="P24" s="254">
        <f t="shared" si="1"/>
        <v>22738318.210000001</v>
      </c>
      <c r="Q24" s="254"/>
      <c r="R24" s="366"/>
    </row>
    <row r="25" spans="2:18" s="251" customFormat="1" x14ac:dyDescent="0.2">
      <c r="B25" s="251" t="s">
        <v>280</v>
      </c>
      <c r="C25" s="252" t="s">
        <v>41</v>
      </c>
      <c r="D25" s="253">
        <v>1951459.87</v>
      </c>
      <c r="E25" s="253">
        <v>1961093.9500000002</v>
      </c>
      <c r="F25" s="253">
        <v>1857442.65</v>
      </c>
      <c r="G25" s="253">
        <v>1599860.8800000001</v>
      </c>
      <c r="H25" s="253">
        <v>1278689.8499999999</v>
      </c>
      <c r="I25" s="253">
        <v>1168040.95</v>
      </c>
      <c r="J25" s="253">
        <v>1014527.5199999999</v>
      </c>
      <c r="K25" s="253">
        <v>1093444.0699999998</v>
      </c>
      <c r="L25" s="253">
        <v>1127081.6299999999</v>
      </c>
      <c r="M25" s="253">
        <v>1437828.25</v>
      </c>
      <c r="N25" s="253">
        <v>1539688.79</v>
      </c>
      <c r="O25" s="253">
        <v>1913417.47</v>
      </c>
      <c r="P25" s="254">
        <f t="shared" si="1"/>
        <v>17942575.879999999</v>
      </c>
      <c r="Q25" s="254"/>
      <c r="R25" s="366"/>
    </row>
    <row r="26" spans="2:18" s="251" customFormat="1" x14ac:dyDescent="0.2">
      <c r="B26" s="251" t="s">
        <v>412</v>
      </c>
      <c r="C26" s="252" t="s">
        <v>33</v>
      </c>
      <c r="D26" s="253">
        <v>2530.87</v>
      </c>
      <c r="E26" s="253">
        <v>3905.98</v>
      </c>
      <c r="F26" s="253">
        <v>2821.34</v>
      </c>
      <c r="G26" s="253">
        <v>1980.65</v>
      </c>
      <c r="H26" s="253">
        <v>595.91</v>
      </c>
      <c r="I26" s="253">
        <v>27.44</v>
      </c>
      <c r="J26" s="253">
        <v>0</v>
      </c>
      <c r="K26" s="253">
        <v>0</v>
      </c>
      <c r="L26" s="253">
        <v>0</v>
      </c>
      <c r="M26" s="253">
        <v>0</v>
      </c>
      <c r="N26" s="253">
        <v>0</v>
      </c>
      <c r="O26" s="253">
        <v>0</v>
      </c>
      <c r="P26" s="254">
        <f t="shared" si="1"/>
        <v>11862.19</v>
      </c>
      <c r="Q26" s="367"/>
      <c r="R26" s="366"/>
    </row>
    <row r="27" spans="2:18" s="251" customFormat="1" x14ac:dyDescent="0.2">
      <c r="B27" s="251" t="s">
        <v>281</v>
      </c>
      <c r="C27" s="252" t="s">
        <v>35</v>
      </c>
      <c r="D27" s="253">
        <v>587041.71</v>
      </c>
      <c r="E27" s="253">
        <v>560063.15999999992</v>
      </c>
      <c r="F27" s="253">
        <v>653291.67999999993</v>
      </c>
      <c r="G27" s="253">
        <v>562059.31000000006</v>
      </c>
      <c r="H27" s="253">
        <v>533050.39999999991</v>
      </c>
      <c r="I27" s="253">
        <v>518939.12</v>
      </c>
      <c r="J27" s="253">
        <v>498241.05999999994</v>
      </c>
      <c r="K27" s="253">
        <v>524995.74</v>
      </c>
      <c r="L27" s="253">
        <v>494198.93</v>
      </c>
      <c r="M27" s="253">
        <v>563272.6</v>
      </c>
      <c r="N27" s="253">
        <v>523358.36</v>
      </c>
      <c r="O27" s="253">
        <v>470635.43000000005</v>
      </c>
      <c r="P27" s="254">
        <f t="shared" si="1"/>
        <v>6489147.4999999991</v>
      </c>
      <c r="Q27" s="254"/>
      <c r="R27" s="366"/>
    </row>
    <row r="28" spans="2:18" s="251" customFormat="1" x14ac:dyDescent="0.2">
      <c r="B28" s="242" t="s">
        <v>282</v>
      </c>
      <c r="C28" s="256" t="s">
        <v>37</v>
      </c>
      <c r="D28" s="253">
        <v>4463633.12</v>
      </c>
      <c r="E28" s="253">
        <v>4116771.16</v>
      </c>
      <c r="F28" s="253">
        <v>4871480.7699999996</v>
      </c>
      <c r="G28" s="253">
        <v>4319936.82</v>
      </c>
      <c r="H28" s="253">
        <v>4256767.37</v>
      </c>
      <c r="I28" s="253">
        <v>4233782.51</v>
      </c>
      <c r="J28" s="253">
        <v>4106046.0300000003</v>
      </c>
      <c r="K28" s="253">
        <v>4244638.33</v>
      </c>
      <c r="L28" s="253">
        <v>4278513.0999999996</v>
      </c>
      <c r="M28" s="253">
        <v>4815407.16</v>
      </c>
      <c r="N28" s="253">
        <v>4153524.94</v>
      </c>
      <c r="O28" s="253">
        <v>3916194.69</v>
      </c>
      <c r="P28" s="254">
        <f t="shared" si="1"/>
        <v>51776696</v>
      </c>
      <c r="Q28" s="254"/>
      <c r="R28" s="366"/>
    </row>
    <row r="29" spans="2:18" s="251" customFormat="1" x14ac:dyDescent="0.2">
      <c r="B29" s="251" t="s">
        <v>283</v>
      </c>
      <c r="C29" s="256" t="s">
        <v>39</v>
      </c>
      <c r="D29" s="253">
        <v>49343.94</v>
      </c>
      <c r="E29" s="253">
        <v>52603.87</v>
      </c>
      <c r="F29" s="253">
        <v>40825.67</v>
      </c>
      <c r="G29" s="253">
        <v>24785.5</v>
      </c>
      <c r="H29" s="253">
        <v>18363.18</v>
      </c>
      <c r="I29" s="253">
        <v>20942.59</v>
      </c>
      <c r="J29" s="253">
        <v>16363.51</v>
      </c>
      <c r="K29" s="253">
        <v>13568.14</v>
      </c>
      <c r="L29" s="253">
        <v>18972.219999999998</v>
      </c>
      <c r="M29" s="253">
        <v>33141.14</v>
      </c>
      <c r="N29" s="253">
        <v>34143.08</v>
      </c>
      <c r="O29" s="253">
        <v>28235.31</v>
      </c>
      <c r="P29" s="254">
        <f t="shared" si="1"/>
        <v>351288.14999999997</v>
      </c>
      <c r="Q29" s="254"/>
      <c r="R29" s="366"/>
    </row>
    <row r="30" spans="2:18" s="251" customFormat="1" x14ac:dyDescent="0.2">
      <c r="B30" s="242" t="s">
        <v>284</v>
      </c>
      <c r="C30" s="256" t="s">
        <v>41</v>
      </c>
      <c r="D30" s="253">
        <v>6317281.6500000004</v>
      </c>
      <c r="E30" s="253">
        <v>6906246.4400000004</v>
      </c>
      <c r="F30" s="253">
        <v>7685171.5099999998</v>
      </c>
      <c r="G30" s="253">
        <v>6615627.5999999996</v>
      </c>
      <c r="H30" s="253">
        <v>6953514.0099999998</v>
      </c>
      <c r="I30" s="253">
        <v>6482373.2000000002</v>
      </c>
      <c r="J30" s="253">
        <v>7603945.8300000001</v>
      </c>
      <c r="K30" s="253">
        <v>7599367.4900000002</v>
      </c>
      <c r="L30" s="253">
        <v>6557926.9699999997</v>
      </c>
      <c r="M30" s="253">
        <v>6548147.0600000005</v>
      </c>
      <c r="N30" s="253">
        <v>5492948.540000001</v>
      </c>
      <c r="O30" s="253">
        <v>6991469.5500000007</v>
      </c>
      <c r="P30" s="254">
        <f t="shared" si="1"/>
        <v>81754019.850000009</v>
      </c>
      <c r="Q30" s="254"/>
      <c r="R30" s="366"/>
    </row>
    <row r="31" spans="2:18" s="257" customFormat="1" ht="15" x14ac:dyDescent="0.25">
      <c r="B31" s="257" t="s">
        <v>285</v>
      </c>
      <c r="C31" s="258" t="s">
        <v>259</v>
      </c>
      <c r="D31" s="259">
        <v>4032427.7399999998</v>
      </c>
      <c r="E31" s="259">
        <v>4114898.2699999996</v>
      </c>
      <c r="F31" s="259">
        <v>3806410.93</v>
      </c>
      <c r="G31" s="259">
        <v>3156368.4099999997</v>
      </c>
      <c r="H31" s="253">
        <v>2317402.04</v>
      </c>
      <c r="I31" s="253">
        <v>2136885.0499999998</v>
      </c>
      <c r="J31" s="253">
        <v>1816114.2500000002</v>
      </c>
      <c r="K31" s="259">
        <v>1897095.8699999999</v>
      </c>
      <c r="L31" s="259">
        <v>2160925.9500000002</v>
      </c>
      <c r="M31" s="259">
        <v>2895915.8099999996</v>
      </c>
      <c r="N31" s="259">
        <v>3341001.19</v>
      </c>
      <c r="O31" s="259">
        <v>3972972.2399999998</v>
      </c>
      <c r="P31" s="260">
        <f t="shared" si="1"/>
        <v>35648417.75</v>
      </c>
      <c r="Q31" s="261"/>
      <c r="R31" s="368"/>
    </row>
    <row r="32" spans="2:18" s="251" customFormat="1" x14ac:dyDescent="0.2">
      <c r="B32" s="251" t="s">
        <v>286</v>
      </c>
      <c r="D32" s="262">
        <f t="shared" ref="D32:O32" si="2">SUM(D8:D31)</f>
        <v>149341924.47500002</v>
      </c>
      <c r="E32" s="262">
        <f t="shared" si="2"/>
        <v>143368935.49300003</v>
      </c>
      <c r="F32" s="262">
        <f t="shared" si="2"/>
        <v>137389844.21000004</v>
      </c>
      <c r="G32" s="262">
        <f t="shared" si="2"/>
        <v>95664865.439999968</v>
      </c>
      <c r="H32" s="262">
        <f t="shared" si="2"/>
        <v>60764711.016000003</v>
      </c>
      <c r="I32" s="262">
        <f t="shared" si="2"/>
        <v>50483881.75</v>
      </c>
      <c r="J32" s="262">
        <f t="shared" si="2"/>
        <v>44513655.328999996</v>
      </c>
      <c r="K32" s="262">
        <f t="shared" si="2"/>
        <v>44848856.703000002</v>
      </c>
      <c r="L32" s="262">
        <f t="shared" si="2"/>
        <v>54424339.735000014</v>
      </c>
      <c r="M32" s="262">
        <f t="shared" si="2"/>
        <v>86974858.68599999</v>
      </c>
      <c r="N32" s="262">
        <f t="shared" si="2"/>
        <v>119260460.86799999</v>
      </c>
      <c r="O32" s="262">
        <f t="shared" si="2"/>
        <v>148266803.96400002</v>
      </c>
      <c r="P32" s="254">
        <f t="shared" si="1"/>
        <v>1135303137.6690001</v>
      </c>
      <c r="Q32" s="261"/>
      <c r="R32" s="254"/>
    </row>
    <row r="33" spans="2:40" s="251" customFormat="1" x14ac:dyDescent="0.2">
      <c r="B33" s="251" t="s">
        <v>287</v>
      </c>
      <c r="D33" s="261">
        <f>SUM(D22:D31)</f>
        <v>20780260.009999998</v>
      </c>
      <c r="E33" s="261">
        <f t="shared" ref="E33:O33" si="3">SUM(E22:E31)</f>
        <v>20943076.760000002</v>
      </c>
      <c r="F33" s="261">
        <f t="shared" si="3"/>
        <v>22273261.829999998</v>
      </c>
      <c r="G33" s="261">
        <f t="shared" si="3"/>
        <v>19235496.109999999</v>
      </c>
      <c r="H33" s="261">
        <f t="shared" si="3"/>
        <v>18216544.150000002</v>
      </c>
      <c r="I33" s="261">
        <f t="shared" si="3"/>
        <v>17360759.460000001</v>
      </c>
      <c r="J33" s="261">
        <f t="shared" si="3"/>
        <v>17772747.27</v>
      </c>
      <c r="K33" s="261">
        <f t="shared" si="3"/>
        <v>18130579.890000001</v>
      </c>
      <c r="L33" s="261">
        <f t="shared" si="3"/>
        <v>17347922.59</v>
      </c>
      <c r="M33" s="261">
        <f t="shared" si="3"/>
        <v>19465306.010000002</v>
      </c>
      <c r="N33" s="261">
        <f t="shared" si="3"/>
        <v>18347173.640000001</v>
      </c>
      <c r="O33" s="261">
        <f t="shared" si="3"/>
        <v>20828375.749999996</v>
      </c>
      <c r="P33" s="254">
        <f t="shared" si="1"/>
        <v>230701503.47000003</v>
      </c>
      <c r="Q33" s="254"/>
    </row>
    <row r="34" spans="2:40" ht="15" x14ac:dyDescent="0.25">
      <c r="C34" s="256"/>
      <c r="D34" s="264"/>
      <c r="E34" s="264"/>
      <c r="F34" s="264"/>
      <c r="G34" s="264"/>
      <c r="H34" s="253"/>
      <c r="I34" s="253"/>
      <c r="J34" s="253"/>
      <c r="K34" s="264"/>
      <c r="L34" s="264"/>
      <c r="M34" s="264"/>
      <c r="N34" s="264"/>
      <c r="O34" s="264"/>
      <c r="P34" s="254"/>
      <c r="Q34" s="264"/>
    </row>
    <row r="35" spans="2:40" ht="15" x14ac:dyDescent="0.25">
      <c r="B35" s="248" t="s">
        <v>288</v>
      </c>
      <c r="C35" s="249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</row>
    <row r="36" spans="2:40" ht="15" x14ac:dyDescent="0.25">
      <c r="B36" s="251" t="s">
        <v>265</v>
      </c>
      <c r="C36" s="252">
        <v>16</v>
      </c>
      <c r="D36" s="253">
        <v>7</v>
      </c>
      <c r="E36" s="253">
        <v>6</v>
      </c>
      <c r="F36" s="253">
        <v>6</v>
      </c>
      <c r="G36" s="253">
        <v>6</v>
      </c>
      <c r="H36" s="253">
        <v>6</v>
      </c>
      <c r="I36" s="253">
        <v>7</v>
      </c>
      <c r="J36" s="253">
        <v>7</v>
      </c>
      <c r="K36" s="253">
        <v>7</v>
      </c>
      <c r="L36" s="253">
        <v>7</v>
      </c>
      <c r="M36" s="253">
        <v>8</v>
      </c>
      <c r="N36" s="253">
        <v>7</v>
      </c>
      <c r="O36" s="253">
        <v>6</v>
      </c>
      <c r="P36" s="254">
        <f>SUM(D36:O36)</f>
        <v>80</v>
      </c>
      <c r="Q36" s="265"/>
      <c r="R36" s="266"/>
      <c r="S36" s="265"/>
      <c r="T36" s="265"/>
      <c r="U36" s="266"/>
      <c r="V36" s="266"/>
      <c r="W36" s="265"/>
      <c r="X36" s="265"/>
      <c r="Y36" s="265"/>
      <c r="Z36" s="265"/>
      <c r="AA36" s="265"/>
      <c r="AB36" s="266"/>
      <c r="AC36" s="265"/>
      <c r="AD36" s="265"/>
      <c r="AE36" s="267"/>
      <c r="AF36" s="265"/>
      <c r="AG36" s="265"/>
      <c r="AH36" s="265"/>
      <c r="AI36" s="265"/>
      <c r="AJ36" s="265"/>
      <c r="AK36" s="265"/>
      <c r="AL36" s="265"/>
      <c r="AM36" s="265"/>
      <c r="AN36" s="265"/>
    </row>
    <row r="37" spans="2:40" s="251" customFormat="1" x14ac:dyDescent="0.2">
      <c r="B37" s="251" t="s">
        <v>7</v>
      </c>
      <c r="C37" s="251">
        <v>23</v>
      </c>
      <c r="D37" s="253">
        <v>768037</v>
      </c>
      <c r="E37" s="253">
        <v>769182</v>
      </c>
      <c r="F37" s="253">
        <v>769904</v>
      </c>
      <c r="G37" s="253">
        <v>770294</v>
      </c>
      <c r="H37" s="253">
        <v>770940</v>
      </c>
      <c r="I37" s="253">
        <v>771256</v>
      </c>
      <c r="J37" s="253">
        <v>771472</v>
      </c>
      <c r="K37" s="253">
        <v>772026</v>
      </c>
      <c r="L37" s="253">
        <v>772614</v>
      </c>
      <c r="M37" s="253">
        <v>774702</v>
      </c>
      <c r="N37" s="253">
        <v>776863</v>
      </c>
      <c r="O37" s="253">
        <v>778192</v>
      </c>
      <c r="P37" s="254">
        <f t="shared" ref="P37:P63" si="4">SUM(D37:O37)</f>
        <v>9265482</v>
      </c>
      <c r="Q37" s="254"/>
      <c r="R37" s="242"/>
    </row>
    <row r="38" spans="2:40" s="251" customFormat="1" x14ac:dyDescent="0.2">
      <c r="B38" s="251" t="s">
        <v>266</v>
      </c>
      <c r="C38" s="251">
        <v>53</v>
      </c>
      <c r="D38" s="253">
        <v>1</v>
      </c>
      <c r="E38" s="253">
        <v>0</v>
      </c>
      <c r="F38" s="253">
        <v>0</v>
      </c>
      <c r="G38" s="253">
        <v>0</v>
      </c>
      <c r="H38" s="253">
        <v>0</v>
      </c>
      <c r="I38" s="253">
        <v>0</v>
      </c>
      <c r="J38" s="253">
        <v>0</v>
      </c>
      <c r="K38" s="253">
        <v>0</v>
      </c>
      <c r="L38" s="253">
        <v>0</v>
      </c>
      <c r="M38" s="253">
        <v>0</v>
      </c>
      <c r="N38" s="253">
        <v>0</v>
      </c>
      <c r="O38" s="253">
        <v>0</v>
      </c>
      <c r="P38" s="254">
        <f t="shared" si="4"/>
        <v>1</v>
      </c>
      <c r="Q38" s="254"/>
      <c r="R38" s="242"/>
    </row>
    <row r="39" spans="2:40" s="251" customFormat="1" x14ac:dyDescent="0.2">
      <c r="B39" s="251" t="s">
        <v>350</v>
      </c>
      <c r="C39" s="251">
        <v>61</v>
      </c>
      <c r="D39" s="253"/>
      <c r="E39" s="253"/>
      <c r="F39" s="253"/>
      <c r="G39" s="253"/>
      <c r="H39" s="253"/>
      <c r="I39" s="253"/>
      <c r="J39" s="253"/>
      <c r="K39" s="253"/>
      <c r="L39" s="253"/>
      <c r="M39" s="253"/>
      <c r="N39" s="253"/>
      <c r="O39" s="253"/>
      <c r="P39" s="254">
        <f t="shared" si="4"/>
        <v>0</v>
      </c>
      <c r="Q39" s="254"/>
      <c r="R39" s="242"/>
    </row>
    <row r="40" spans="2:40" s="251" customFormat="1" x14ac:dyDescent="0.2">
      <c r="B40" s="251" t="s">
        <v>289</v>
      </c>
      <c r="C40" s="251">
        <v>31</v>
      </c>
      <c r="D40" s="253">
        <v>54410</v>
      </c>
      <c r="E40" s="253">
        <v>54413</v>
      </c>
      <c r="F40" s="253">
        <v>54486</v>
      </c>
      <c r="G40" s="253">
        <v>54455</v>
      </c>
      <c r="H40" s="253">
        <v>54442</v>
      </c>
      <c r="I40" s="253">
        <v>54374</v>
      </c>
      <c r="J40" s="253">
        <v>54349</v>
      </c>
      <c r="K40" s="253">
        <v>54342</v>
      </c>
      <c r="L40" s="253">
        <v>54331</v>
      </c>
      <c r="M40" s="253">
        <v>54478</v>
      </c>
      <c r="N40" s="253">
        <v>54612</v>
      </c>
      <c r="O40" s="253">
        <v>54744</v>
      </c>
      <c r="P40" s="254">
        <f t="shared" si="4"/>
        <v>653436</v>
      </c>
      <c r="Q40" s="254"/>
      <c r="R40" s="242"/>
    </row>
    <row r="41" spans="2:40" s="251" customFormat="1" x14ac:dyDescent="0.2">
      <c r="B41" s="251" t="s">
        <v>290</v>
      </c>
      <c r="C41" s="251">
        <v>41</v>
      </c>
      <c r="D41" s="253">
        <v>1289</v>
      </c>
      <c r="E41" s="253">
        <v>1284</v>
      </c>
      <c r="F41" s="253">
        <v>1287</v>
      </c>
      <c r="G41" s="253">
        <v>1290</v>
      </c>
      <c r="H41" s="253">
        <v>1288</v>
      </c>
      <c r="I41" s="253">
        <v>1280</v>
      </c>
      <c r="J41" s="253">
        <v>1243</v>
      </c>
      <c r="K41" s="253">
        <v>1230</v>
      </c>
      <c r="L41" s="253">
        <v>1230</v>
      </c>
      <c r="M41" s="253">
        <v>1237</v>
      </c>
      <c r="N41" s="253">
        <v>1245</v>
      </c>
      <c r="O41" s="253">
        <v>1247</v>
      </c>
      <c r="P41" s="254">
        <f t="shared" si="4"/>
        <v>15150</v>
      </c>
      <c r="Q41" s="254"/>
      <c r="R41" s="242"/>
    </row>
    <row r="42" spans="2:40" s="251" customFormat="1" x14ac:dyDescent="0.2">
      <c r="B42" s="251" t="s">
        <v>354</v>
      </c>
      <c r="C42" s="251">
        <v>50</v>
      </c>
      <c r="D42" s="253"/>
      <c r="E42" s="253"/>
      <c r="F42" s="253"/>
      <c r="G42" s="253"/>
      <c r="H42" s="253"/>
      <c r="I42" s="253"/>
      <c r="J42" s="253"/>
      <c r="K42" s="253"/>
      <c r="L42" s="253"/>
      <c r="M42" s="253"/>
      <c r="N42" s="253"/>
      <c r="O42" s="253"/>
      <c r="P42" s="254">
        <f t="shared" si="4"/>
        <v>0</v>
      </c>
      <c r="Q42" s="254"/>
      <c r="R42" s="242"/>
    </row>
    <row r="43" spans="2:40" s="251" customFormat="1" x14ac:dyDescent="0.2">
      <c r="B43" s="251" t="s">
        <v>351</v>
      </c>
      <c r="C43" s="251">
        <v>61</v>
      </c>
      <c r="D43" s="253"/>
      <c r="E43" s="253"/>
      <c r="F43" s="253"/>
      <c r="G43" s="253"/>
      <c r="H43" s="253"/>
      <c r="I43" s="253"/>
      <c r="J43" s="253"/>
      <c r="K43" s="253"/>
      <c r="L43" s="253"/>
      <c r="M43" s="253"/>
      <c r="N43" s="253"/>
      <c r="O43" s="253"/>
      <c r="P43" s="254">
        <f t="shared" si="4"/>
        <v>0</v>
      </c>
      <c r="Q43" s="254"/>
      <c r="R43" s="242"/>
    </row>
    <row r="44" spans="2:40" s="251" customFormat="1" x14ac:dyDescent="0.2">
      <c r="B44" s="251" t="s">
        <v>269</v>
      </c>
      <c r="C44" s="251">
        <v>85</v>
      </c>
      <c r="D44" s="253">
        <v>25</v>
      </c>
      <c r="E44" s="253">
        <v>25</v>
      </c>
      <c r="F44" s="253">
        <v>25</v>
      </c>
      <c r="G44" s="253">
        <v>25</v>
      </c>
      <c r="H44" s="253">
        <v>25</v>
      </c>
      <c r="I44" s="253">
        <v>24</v>
      </c>
      <c r="J44" s="253">
        <v>24</v>
      </c>
      <c r="K44" s="253">
        <v>24</v>
      </c>
      <c r="L44" s="253">
        <v>24</v>
      </c>
      <c r="M44" s="253">
        <v>24</v>
      </c>
      <c r="N44" s="253">
        <v>24</v>
      </c>
      <c r="O44" s="253">
        <v>24</v>
      </c>
      <c r="P44" s="254">
        <f t="shared" si="4"/>
        <v>293</v>
      </c>
      <c r="Q44" s="254"/>
      <c r="R44" s="242"/>
    </row>
    <row r="45" spans="2:40" s="251" customFormat="1" x14ac:dyDescent="0.2">
      <c r="B45" s="251" t="s">
        <v>270</v>
      </c>
      <c r="C45" s="251">
        <v>86</v>
      </c>
      <c r="D45" s="253">
        <v>222</v>
      </c>
      <c r="E45" s="253">
        <v>222</v>
      </c>
      <c r="F45" s="253">
        <v>222</v>
      </c>
      <c r="G45" s="253">
        <v>222</v>
      </c>
      <c r="H45" s="253">
        <v>221</v>
      </c>
      <c r="I45" s="253">
        <v>221</v>
      </c>
      <c r="J45" s="253">
        <v>220</v>
      </c>
      <c r="K45" s="253">
        <v>220</v>
      </c>
      <c r="L45" s="253">
        <v>220</v>
      </c>
      <c r="M45" s="253">
        <v>220</v>
      </c>
      <c r="N45" s="253">
        <v>217</v>
      </c>
      <c r="O45" s="253">
        <v>213</v>
      </c>
      <c r="P45" s="254">
        <f t="shared" si="4"/>
        <v>2640</v>
      </c>
      <c r="Q45" s="254"/>
      <c r="R45" s="242"/>
    </row>
    <row r="46" spans="2:40" s="251" customFormat="1" x14ac:dyDescent="0.2">
      <c r="B46" s="251" t="s">
        <v>291</v>
      </c>
      <c r="C46" s="251">
        <v>87</v>
      </c>
      <c r="D46" s="253">
        <v>5</v>
      </c>
      <c r="E46" s="253">
        <v>5</v>
      </c>
      <c r="F46" s="253">
        <v>5</v>
      </c>
      <c r="G46" s="253">
        <v>5</v>
      </c>
      <c r="H46" s="253">
        <v>5</v>
      </c>
      <c r="I46" s="253">
        <v>5</v>
      </c>
      <c r="J46" s="253">
        <v>5</v>
      </c>
      <c r="K46" s="253">
        <v>5</v>
      </c>
      <c r="L46" s="253">
        <v>5</v>
      </c>
      <c r="M46" s="253">
        <v>5</v>
      </c>
      <c r="N46" s="253">
        <v>5</v>
      </c>
      <c r="O46" s="253">
        <v>5</v>
      </c>
      <c r="P46" s="254">
        <f t="shared" si="4"/>
        <v>60</v>
      </c>
      <c r="Q46" s="254"/>
      <c r="R46" s="242"/>
    </row>
    <row r="47" spans="2:40" s="251" customFormat="1" x14ac:dyDescent="0.2">
      <c r="B47" s="251" t="s">
        <v>272</v>
      </c>
      <c r="C47" s="251">
        <v>31</v>
      </c>
      <c r="D47" s="253">
        <v>2248</v>
      </c>
      <c r="E47" s="253">
        <v>2248</v>
      </c>
      <c r="F47" s="253">
        <v>2252</v>
      </c>
      <c r="G47" s="253">
        <v>2245</v>
      </c>
      <c r="H47" s="253">
        <v>2242</v>
      </c>
      <c r="I47" s="253">
        <v>2235</v>
      </c>
      <c r="J47" s="253">
        <v>2232</v>
      </c>
      <c r="K47" s="253">
        <v>2223</v>
      </c>
      <c r="L47" s="253">
        <v>2218</v>
      </c>
      <c r="M47" s="253">
        <v>2221</v>
      </c>
      <c r="N47" s="253">
        <v>2230</v>
      </c>
      <c r="O47" s="253">
        <v>2232</v>
      </c>
      <c r="P47" s="254">
        <f t="shared" si="4"/>
        <v>26826</v>
      </c>
      <c r="Q47" s="254"/>
      <c r="R47" s="242"/>
    </row>
    <row r="48" spans="2:40" s="251" customFormat="1" ht="15" x14ac:dyDescent="0.25">
      <c r="B48" s="251" t="s">
        <v>273</v>
      </c>
      <c r="C48" s="251">
        <v>41</v>
      </c>
      <c r="D48" s="253">
        <v>73</v>
      </c>
      <c r="E48" s="253">
        <v>73</v>
      </c>
      <c r="F48" s="253">
        <v>73</v>
      </c>
      <c r="G48" s="253">
        <v>73</v>
      </c>
      <c r="H48" s="253">
        <v>73</v>
      </c>
      <c r="I48" s="253">
        <v>72</v>
      </c>
      <c r="J48" s="253">
        <v>72</v>
      </c>
      <c r="K48" s="253">
        <v>72</v>
      </c>
      <c r="L48" s="253">
        <v>71</v>
      </c>
      <c r="M48" s="253">
        <v>71</v>
      </c>
      <c r="N48" s="253">
        <v>73</v>
      </c>
      <c r="O48" s="253">
        <v>72</v>
      </c>
      <c r="P48" s="254">
        <f t="shared" si="4"/>
        <v>868</v>
      </c>
      <c r="Q48" s="254"/>
      <c r="R48" s="242"/>
      <c r="S48" s="254"/>
      <c r="T48" s="268"/>
    </row>
    <row r="49" spans="2:19" s="251" customFormat="1" x14ac:dyDescent="0.2">
      <c r="B49" s="251" t="s">
        <v>352</v>
      </c>
      <c r="C49" s="251">
        <v>61</v>
      </c>
      <c r="D49" s="25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4">
        <f t="shared" si="4"/>
        <v>0</v>
      </c>
      <c r="Q49" s="254"/>
      <c r="R49" s="242"/>
      <c r="S49" s="254"/>
    </row>
    <row r="50" spans="2:19" s="251" customFormat="1" x14ac:dyDescent="0.2">
      <c r="B50" s="251" t="s">
        <v>274</v>
      </c>
      <c r="C50" s="251">
        <v>85</v>
      </c>
      <c r="D50" s="253">
        <v>4</v>
      </c>
      <c r="E50" s="253">
        <v>4</v>
      </c>
      <c r="F50" s="253">
        <v>4</v>
      </c>
      <c r="G50" s="253">
        <v>4</v>
      </c>
      <c r="H50" s="253">
        <v>4</v>
      </c>
      <c r="I50" s="253">
        <v>4</v>
      </c>
      <c r="J50" s="253">
        <v>4</v>
      </c>
      <c r="K50" s="253">
        <v>4</v>
      </c>
      <c r="L50" s="253">
        <v>4</v>
      </c>
      <c r="M50" s="253">
        <v>4</v>
      </c>
      <c r="N50" s="253">
        <v>4</v>
      </c>
      <c r="O50" s="253">
        <v>4</v>
      </c>
      <c r="P50" s="254">
        <f t="shared" si="4"/>
        <v>48</v>
      </c>
      <c r="Q50" s="254"/>
      <c r="R50" s="242"/>
    </row>
    <row r="51" spans="2:19" s="251" customFormat="1" x14ac:dyDescent="0.2">
      <c r="B51" s="251" t="s">
        <v>275</v>
      </c>
      <c r="C51" s="251">
        <v>86</v>
      </c>
      <c r="D51" s="253">
        <v>6</v>
      </c>
      <c r="E51" s="253">
        <v>6</v>
      </c>
      <c r="F51" s="253">
        <v>6</v>
      </c>
      <c r="G51" s="253">
        <v>6</v>
      </c>
      <c r="H51" s="253">
        <v>6</v>
      </c>
      <c r="I51" s="253">
        <v>6</v>
      </c>
      <c r="J51" s="253">
        <v>6</v>
      </c>
      <c r="K51" s="253">
        <v>6</v>
      </c>
      <c r="L51" s="253">
        <v>6</v>
      </c>
      <c r="M51" s="253">
        <v>6</v>
      </c>
      <c r="N51" s="253">
        <v>6</v>
      </c>
      <c r="O51" s="253">
        <v>6</v>
      </c>
      <c r="P51" s="254">
        <f t="shared" si="4"/>
        <v>72</v>
      </c>
      <c r="Q51" s="254"/>
      <c r="R51" s="242"/>
    </row>
    <row r="52" spans="2:19" s="251" customFormat="1" x14ac:dyDescent="0.2">
      <c r="B52" s="251" t="s">
        <v>276</v>
      </c>
      <c r="C52" s="251">
        <v>87</v>
      </c>
      <c r="D52" s="253"/>
      <c r="E52" s="253"/>
      <c r="F52" s="253"/>
      <c r="G52" s="253"/>
      <c r="H52" s="253"/>
      <c r="I52" s="253"/>
      <c r="J52" s="253"/>
      <c r="K52" s="253"/>
      <c r="L52" s="253"/>
      <c r="M52" s="253"/>
      <c r="N52" s="253"/>
      <c r="O52" s="253"/>
      <c r="P52" s="254">
        <f t="shared" si="4"/>
        <v>0</v>
      </c>
      <c r="Q52" s="254"/>
      <c r="R52" s="242"/>
    </row>
    <row r="53" spans="2:19" s="251" customFormat="1" x14ac:dyDescent="0.2">
      <c r="B53" s="242" t="s">
        <v>277</v>
      </c>
      <c r="C53" s="252" t="s">
        <v>33</v>
      </c>
      <c r="D53" s="253">
        <v>2</v>
      </c>
      <c r="E53" s="253">
        <v>2</v>
      </c>
      <c r="F53" s="253">
        <v>2</v>
      </c>
      <c r="G53" s="253">
        <v>2</v>
      </c>
      <c r="H53" s="253">
        <v>2</v>
      </c>
      <c r="I53" s="253">
        <v>2</v>
      </c>
      <c r="J53" s="253">
        <v>3</v>
      </c>
      <c r="K53" s="253">
        <v>2</v>
      </c>
      <c r="L53" s="253">
        <v>2</v>
      </c>
      <c r="M53" s="253">
        <v>2</v>
      </c>
      <c r="N53" s="253">
        <v>2</v>
      </c>
      <c r="O53" s="253">
        <v>2</v>
      </c>
      <c r="P53" s="254">
        <f t="shared" si="4"/>
        <v>25</v>
      </c>
      <c r="Q53" s="254"/>
      <c r="R53" s="242"/>
    </row>
    <row r="54" spans="2:19" s="251" customFormat="1" x14ac:dyDescent="0.2">
      <c r="B54" s="242" t="s">
        <v>278</v>
      </c>
      <c r="C54" s="256" t="s">
        <v>35</v>
      </c>
      <c r="D54" s="253">
        <v>77</v>
      </c>
      <c r="E54" s="253">
        <v>79</v>
      </c>
      <c r="F54" s="253">
        <v>79</v>
      </c>
      <c r="G54" s="253">
        <v>80</v>
      </c>
      <c r="H54" s="253">
        <v>81</v>
      </c>
      <c r="I54" s="253">
        <v>85</v>
      </c>
      <c r="J54" s="253">
        <v>84</v>
      </c>
      <c r="K54" s="253">
        <v>84</v>
      </c>
      <c r="L54" s="253">
        <v>84</v>
      </c>
      <c r="M54" s="253">
        <v>84</v>
      </c>
      <c r="N54" s="253">
        <v>82</v>
      </c>
      <c r="O54" s="253">
        <v>82</v>
      </c>
      <c r="P54" s="254">
        <f t="shared" si="4"/>
        <v>981</v>
      </c>
      <c r="Q54" s="254"/>
      <c r="R54" s="242"/>
    </row>
    <row r="55" spans="2:19" s="251" customFormat="1" x14ac:dyDescent="0.2">
      <c r="B55" s="242" t="s">
        <v>279</v>
      </c>
      <c r="C55" s="256" t="s">
        <v>37</v>
      </c>
      <c r="D55" s="253">
        <v>33</v>
      </c>
      <c r="E55" s="253">
        <v>33</v>
      </c>
      <c r="F55" s="253">
        <v>33</v>
      </c>
      <c r="G55" s="253">
        <v>33</v>
      </c>
      <c r="H55" s="253">
        <v>33</v>
      </c>
      <c r="I55" s="253">
        <v>33</v>
      </c>
      <c r="J55" s="253">
        <v>33</v>
      </c>
      <c r="K55" s="253">
        <v>33</v>
      </c>
      <c r="L55" s="253">
        <v>33</v>
      </c>
      <c r="M55" s="253">
        <v>33</v>
      </c>
      <c r="N55" s="253">
        <v>33</v>
      </c>
      <c r="O55" s="253">
        <v>33</v>
      </c>
      <c r="P55" s="254">
        <f t="shared" si="4"/>
        <v>396</v>
      </c>
      <c r="Q55" s="254"/>
      <c r="R55" s="242"/>
    </row>
    <row r="56" spans="2:19" s="251" customFormat="1" x14ac:dyDescent="0.2">
      <c r="B56" s="251" t="s">
        <v>413</v>
      </c>
      <c r="C56" s="256" t="s">
        <v>39</v>
      </c>
      <c r="D56" s="253"/>
      <c r="E56" s="253"/>
      <c r="F56" s="253"/>
      <c r="G56" s="253"/>
      <c r="H56" s="253"/>
      <c r="I56" s="253"/>
      <c r="J56" s="253"/>
      <c r="K56" s="253"/>
      <c r="L56" s="253"/>
      <c r="M56" s="253"/>
      <c r="N56" s="253"/>
      <c r="O56" s="253">
        <v>1</v>
      </c>
      <c r="P56" s="254">
        <f t="shared" si="4"/>
        <v>1</v>
      </c>
      <c r="Q56" s="254"/>
      <c r="R56" s="242"/>
    </row>
    <row r="57" spans="2:19" s="251" customFormat="1" x14ac:dyDescent="0.2">
      <c r="B57" s="242" t="s">
        <v>280</v>
      </c>
      <c r="C57" s="256" t="s">
        <v>41</v>
      </c>
      <c r="D57" s="253">
        <v>3</v>
      </c>
      <c r="E57" s="253">
        <v>3</v>
      </c>
      <c r="F57" s="253">
        <v>3</v>
      </c>
      <c r="G57" s="253">
        <v>3</v>
      </c>
      <c r="H57" s="253">
        <v>3</v>
      </c>
      <c r="I57" s="253">
        <v>3</v>
      </c>
      <c r="J57" s="253">
        <v>3</v>
      </c>
      <c r="K57" s="253">
        <v>3</v>
      </c>
      <c r="L57" s="253">
        <v>3</v>
      </c>
      <c r="M57" s="253">
        <v>3</v>
      </c>
      <c r="N57" s="253">
        <v>3</v>
      </c>
      <c r="O57" s="253">
        <v>3</v>
      </c>
      <c r="P57" s="254">
        <f t="shared" si="4"/>
        <v>36</v>
      </c>
      <c r="Q57" s="254"/>
      <c r="R57" s="242"/>
    </row>
    <row r="58" spans="2:19" s="251" customFormat="1" x14ac:dyDescent="0.2">
      <c r="B58" s="242" t="s">
        <v>412</v>
      </c>
      <c r="C58" s="252" t="s">
        <v>33</v>
      </c>
      <c r="D58" s="253">
        <v>1</v>
      </c>
      <c r="E58" s="253">
        <v>1</v>
      </c>
      <c r="F58" s="253">
        <v>1</v>
      </c>
      <c r="G58" s="253">
        <v>1</v>
      </c>
      <c r="H58" s="253">
        <v>1</v>
      </c>
      <c r="I58" s="253">
        <v>1</v>
      </c>
      <c r="J58" s="253">
        <v>0</v>
      </c>
      <c r="K58" s="253">
        <v>0</v>
      </c>
      <c r="L58" s="253">
        <v>0</v>
      </c>
      <c r="M58" s="253">
        <v>0</v>
      </c>
      <c r="N58" s="253">
        <v>0</v>
      </c>
      <c r="O58" s="253">
        <v>0</v>
      </c>
      <c r="P58" s="254">
        <f t="shared" si="4"/>
        <v>6</v>
      </c>
      <c r="Q58" s="254"/>
      <c r="R58" s="242"/>
    </row>
    <row r="59" spans="2:19" s="251" customFormat="1" x14ac:dyDescent="0.2">
      <c r="B59" s="242" t="s">
        <v>281</v>
      </c>
      <c r="C59" s="256" t="s">
        <v>35</v>
      </c>
      <c r="D59" s="253">
        <v>26</v>
      </c>
      <c r="E59" s="253">
        <v>26</v>
      </c>
      <c r="F59" s="253">
        <v>26</v>
      </c>
      <c r="G59" s="253">
        <v>25</v>
      </c>
      <c r="H59" s="253">
        <v>24</v>
      </c>
      <c r="I59" s="253">
        <v>24</v>
      </c>
      <c r="J59" s="253">
        <v>25</v>
      </c>
      <c r="K59" s="253">
        <v>25</v>
      </c>
      <c r="L59" s="253">
        <v>25</v>
      </c>
      <c r="M59" s="253">
        <v>25</v>
      </c>
      <c r="N59" s="253">
        <v>24</v>
      </c>
      <c r="O59" s="253">
        <v>24</v>
      </c>
      <c r="P59" s="254">
        <f t="shared" si="4"/>
        <v>299</v>
      </c>
      <c r="Q59" s="254"/>
      <c r="R59" s="242"/>
    </row>
    <row r="60" spans="2:19" s="251" customFormat="1" x14ac:dyDescent="0.2">
      <c r="B60" s="242" t="s">
        <v>282</v>
      </c>
      <c r="C60" s="256" t="s">
        <v>37</v>
      </c>
      <c r="D60" s="253">
        <v>68</v>
      </c>
      <c r="E60" s="253">
        <v>68</v>
      </c>
      <c r="F60" s="253">
        <v>68</v>
      </c>
      <c r="G60" s="253">
        <v>68</v>
      </c>
      <c r="H60" s="253">
        <v>69</v>
      </c>
      <c r="I60" s="253">
        <v>70</v>
      </c>
      <c r="J60" s="253">
        <v>70</v>
      </c>
      <c r="K60" s="253">
        <v>70</v>
      </c>
      <c r="L60" s="253">
        <v>70</v>
      </c>
      <c r="M60" s="253">
        <v>70</v>
      </c>
      <c r="N60" s="253">
        <v>70</v>
      </c>
      <c r="O60" s="253">
        <v>70</v>
      </c>
      <c r="P60" s="254">
        <f t="shared" si="4"/>
        <v>831</v>
      </c>
      <c r="Q60" s="254"/>
      <c r="R60" s="242"/>
    </row>
    <row r="61" spans="2:19" s="251" customFormat="1" x14ac:dyDescent="0.2">
      <c r="B61" s="251" t="s">
        <v>283</v>
      </c>
      <c r="C61" s="256" t="s">
        <v>39</v>
      </c>
      <c r="D61" s="253">
        <v>2</v>
      </c>
      <c r="E61" s="253">
        <v>2</v>
      </c>
      <c r="F61" s="253">
        <v>2</v>
      </c>
      <c r="G61" s="253">
        <v>2</v>
      </c>
      <c r="H61" s="253">
        <v>2</v>
      </c>
      <c r="I61" s="253">
        <v>2</v>
      </c>
      <c r="J61" s="253">
        <v>2</v>
      </c>
      <c r="K61" s="253">
        <v>2</v>
      </c>
      <c r="L61" s="253">
        <v>2</v>
      </c>
      <c r="M61" s="253">
        <v>2</v>
      </c>
      <c r="N61" s="253">
        <v>2</v>
      </c>
      <c r="O61" s="253">
        <v>2</v>
      </c>
      <c r="P61" s="254">
        <f t="shared" si="4"/>
        <v>24</v>
      </c>
      <c r="Q61" s="254"/>
      <c r="R61" s="242"/>
    </row>
    <row r="62" spans="2:19" s="251" customFormat="1" x14ac:dyDescent="0.2">
      <c r="B62" s="242" t="s">
        <v>284</v>
      </c>
      <c r="C62" s="256" t="s">
        <v>41</v>
      </c>
      <c r="D62" s="253">
        <v>7</v>
      </c>
      <c r="E62" s="253">
        <v>7</v>
      </c>
      <c r="F62" s="253">
        <v>7</v>
      </c>
      <c r="G62" s="253">
        <v>7</v>
      </c>
      <c r="H62" s="253">
        <v>7</v>
      </c>
      <c r="I62" s="253">
        <v>7</v>
      </c>
      <c r="J62" s="253">
        <v>7</v>
      </c>
      <c r="K62" s="253">
        <v>7</v>
      </c>
      <c r="L62" s="253">
        <v>7</v>
      </c>
      <c r="M62" s="253">
        <v>7</v>
      </c>
      <c r="N62" s="253">
        <v>7</v>
      </c>
      <c r="O62" s="253">
        <v>7</v>
      </c>
      <c r="P62" s="254">
        <f t="shared" si="4"/>
        <v>84</v>
      </c>
      <c r="Q62" s="254"/>
      <c r="R62" s="242"/>
    </row>
    <row r="63" spans="2:19" s="257" customFormat="1" ht="15" x14ac:dyDescent="0.25">
      <c r="B63" s="257" t="s">
        <v>285</v>
      </c>
      <c r="C63" s="258" t="s">
        <v>259</v>
      </c>
      <c r="D63" s="259">
        <v>10</v>
      </c>
      <c r="E63" s="259">
        <v>10</v>
      </c>
      <c r="F63" s="259">
        <v>10</v>
      </c>
      <c r="G63" s="259">
        <v>10</v>
      </c>
      <c r="H63" s="259">
        <v>10</v>
      </c>
      <c r="I63" s="259">
        <v>10</v>
      </c>
      <c r="J63" s="259">
        <v>10</v>
      </c>
      <c r="K63" s="259">
        <v>10</v>
      </c>
      <c r="L63" s="259">
        <v>10</v>
      </c>
      <c r="M63" s="259">
        <v>10</v>
      </c>
      <c r="N63" s="259">
        <v>10</v>
      </c>
      <c r="O63" s="259">
        <v>10</v>
      </c>
      <c r="P63" s="254">
        <f t="shared" si="4"/>
        <v>120</v>
      </c>
      <c r="Q63" s="261"/>
      <c r="R63" s="242"/>
    </row>
    <row r="64" spans="2:19" s="251" customFormat="1" x14ac:dyDescent="0.2">
      <c r="B64" s="251" t="s">
        <v>6</v>
      </c>
      <c r="D64" s="262">
        <f>SUM(D36:D63)</f>
        <v>826556</v>
      </c>
      <c r="E64" s="262">
        <f t="shared" ref="E64:O64" si="5">SUM(E36:E63)</f>
        <v>827699</v>
      </c>
      <c r="F64" s="262">
        <f t="shared" si="5"/>
        <v>828501</v>
      </c>
      <c r="G64" s="262">
        <f t="shared" si="5"/>
        <v>828856</v>
      </c>
      <c r="H64" s="262">
        <f t="shared" si="5"/>
        <v>829484</v>
      </c>
      <c r="I64" s="262">
        <f t="shared" si="5"/>
        <v>829721</v>
      </c>
      <c r="J64" s="262">
        <f t="shared" si="5"/>
        <v>829871</v>
      </c>
      <c r="K64" s="262">
        <f t="shared" si="5"/>
        <v>830395</v>
      </c>
      <c r="L64" s="262">
        <f t="shared" si="5"/>
        <v>830966</v>
      </c>
      <c r="M64" s="262">
        <f t="shared" si="5"/>
        <v>833212</v>
      </c>
      <c r="N64" s="262">
        <f t="shared" si="5"/>
        <v>835519</v>
      </c>
      <c r="O64" s="262">
        <f t="shared" si="5"/>
        <v>836979</v>
      </c>
      <c r="P64" s="262">
        <f>SUM(D64:O64)</f>
        <v>9967759</v>
      </c>
      <c r="Q64" s="261"/>
    </row>
    <row r="65" spans="2:17" s="251" customFormat="1" x14ac:dyDescent="0.2">
      <c r="C65" s="252"/>
      <c r="D65" s="254"/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54"/>
    </row>
    <row r="66" spans="2:17" ht="15" x14ac:dyDescent="0.25">
      <c r="B66" s="248" t="s">
        <v>292</v>
      </c>
      <c r="C66" s="256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</row>
    <row r="67" spans="2:17" ht="15" x14ac:dyDescent="0.25">
      <c r="B67" s="242" t="s">
        <v>7</v>
      </c>
      <c r="C67" s="256">
        <v>23</v>
      </c>
      <c r="D67" s="264">
        <f t="shared" ref="D67:I67" si="6">IFERROR(D9/D37,0)</f>
        <v>110.80772423073367</v>
      </c>
      <c r="E67" s="264">
        <f t="shared" si="6"/>
        <v>105.29099555241801</v>
      </c>
      <c r="F67" s="264">
        <f t="shared" si="6"/>
        <v>97.904386161131782</v>
      </c>
      <c r="G67" s="264">
        <f t="shared" si="6"/>
        <v>62.139123982531352</v>
      </c>
      <c r="H67" s="264">
        <f t="shared" si="6"/>
        <v>31.229628561236929</v>
      </c>
      <c r="I67" s="264">
        <f t="shared" si="6"/>
        <v>22.976430216426191</v>
      </c>
      <c r="J67" s="264">
        <f>IFERROR(J9/J37,0)</f>
        <v>17.427920045056723</v>
      </c>
      <c r="K67" s="264">
        <f t="shared" ref="K67:O67" si="7">IFERROR(K9/K37,0)</f>
        <v>17.154676905959125</v>
      </c>
      <c r="L67" s="264">
        <f t="shared" si="7"/>
        <v>26.779503580054207</v>
      </c>
      <c r="M67" s="264">
        <f t="shared" si="7"/>
        <v>54.935734934206963</v>
      </c>
      <c r="N67" s="264">
        <f t="shared" si="7"/>
        <v>85.571303749824608</v>
      </c>
      <c r="O67" s="264">
        <f t="shared" si="7"/>
        <v>108.62087549216646</v>
      </c>
      <c r="P67" s="264">
        <f>SUM(D67:O67)</f>
        <v>740.8383034117461</v>
      </c>
      <c r="Q67" s="264"/>
    </row>
    <row r="68" spans="2:17" ht="15" x14ac:dyDescent="0.25">
      <c r="B68" s="251" t="s">
        <v>267</v>
      </c>
      <c r="C68" s="251">
        <v>31</v>
      </c>
      <c r="D68" s="264">
        <f t="shared" ref="D68:I69" si="8">IFERROR(D11/D40,0)</f>
        <v>522.07848645469585</v>
      </c>
      <c r="E68" s="264">
        <f t="shared" si="8"/>
        <v>494.93007485343571</v>
      </c>
      <c r="F68" s="264">
        <f t="shared" si="8"/>
        <v>469.01820695224461</v>
      </c>
      <c r="G68" s="264">
        <f t="shared" si="8"/>
        <v>322.79366278578647</v>
      </c>
      <c r="H68" s="264">
        <f t="shared" si="8"/>
        <v>199.47905328606592</v>
      </c>
      <c r="I68" s="264">
        <f t="shared" si="8"/>
        <v>163.92408732114612</v>
      </c>
      <c r="J68" s="264">
        <f>IFERROR(J11/J40,0)</f>
        <v>142.49264599164658</v>
      </c>
      <c r="K68" s="264">
        <f t="shared" ref="K68:O69" si="9">IFERROR(K11/K40,0)</f>
        <v>143.8083935997939</v>
      </c>
      <c r="L68" s="264">
        <f t="shared" si="9"/>
        <v>177.41062332738215</v>
      </c>
      <c r="M68" s="264">
        <f t="shared" si="9"/>
        <v>281.42487956606334</v>
      </c>
      <c r="N68" s="264">
        <f t="shared" si="9"/>
        <v>405.25030341316926</v>
      </c>
      <c r="O68" s="264">
        <f t="shared" si="9"/>
        <v>513.86816003580304</v>
      </c>
      <c r="P68" s="264">
        <f t="shared" ref="P68:P79" si="10">SUM(D68:O68)</f>
        <v>3836.4785775872328</v>
      </c>
      <c r="Q68" s="264"/>
    </row>
    <row r="69" spans="2:17" s="251" customFormat="1" x14ac:dyDescent="0.2">
      <c r="B69" s="251" t="s">
        <v>268</v>
      </c>
      <c r="C69" s="251">
        <v>41</v>
      </c>
      <c r="D69" s="254">
        <f t="shared" si="8"/>
        <v>5107.0488254460824</v>
      </c>
      <c r="E69" s="254">
        <f t="shared" si="8"/>
        <v>4966.491939252337</v>
      </c>
      <c r="F69" s="254">
        <f t="shared" si="8"/>
        <v>4847.3090085470085</v>
      </c>
      <c r="G69" s="254">
        <f t="shared" si="8"/>
        <v>3714.4888496124036</v>
      </c>
      <c r="H69" s="254">
        <f t="shared" si="8"/>
        <v>2586.6172655279506</v>
      </c>
      <c r="I69" s="254">
        <f t="shared" si="8"/>
        <v>2178.6087046875</v>
      </c>
      <c r="J69" s="254">
        <f>IFERROR(J12/J41,0)</f>
        <v>1843.1935518905873</v>
      </c>
      <c r="K69" s="254">
        <f t="shared" si="9"/>
        <v>1888.3453731707316</v>
      </c>
      <c r="L69" s="254">
        <f t="shared" si="9"/>
        <v>2326.6798211382111</v>
      </c>
      <c r="M69" s="254">
        <f t="shared" si="9"/>
        <v>3391.9254009700894</v>
      </c>
      <c r="N69" s="254">
        <f t="shared" si="9"/>
        <v>4327.2282393574296</v>
      </c>
      <c r="O69" s="254">
        <f t="shared" si="9"/>
        <v>5195.9501275060147</v>
      </c>
      <c r="P69" s="264">
        <f t="shared" si="10"/>
        <v>42373.887107106348</v>
      </c>
      <c r="Q69" s="264"/>
    </row>
    <row r="70" spans="2:17" s="251" customFormat="1" x14ac:dyDescent="0.2">
      <c r="B70" s="251" t="s">
        <v>273</v>
      </c>
      <c r="C70" s="251">
        <v>41</v>
      </c>
      <c r="D70" s="254">
        <f t="shared" ref="D70:I70" si="11">IFERROR(D18/D48,0)</f>
        <v>12964.875630136987</v>
      </c>
      <c r="E70" s="254">
        <f t="shared" si="11"/>
        <v>12343.534561643835</v>
      </c>
      <c r="F70" s="254">
        <f t="shared" si="11"/>
        <v>12592.529136986301</v>
      </c>
      <c r="G70" s="254">
        <f t="shared" si="11"/>
        <v>11115.699452054796</v>
      </c>
      <c r="H70" s="254">
        <f t="shared" si="11"/>
        <v>9590.7323835616426</v>
      </c>
      <c r="I70" s="254">
        <f t="shared" si="11"/>
        <v>9317.9819444444438</v>
      </c>
      <c r="J70" s="254">
        <f>IFERROR(J18/J48,0)</f>
        <v>8864.4184583333335</v>
      </c>
      <c r="K70" s="254">
        <f t="shared" ref="K70:O70" si="12">IFERROR(K18/K48,0)</f>
        <v>8953.1401805555561</v>
      </c>
      <c r="L70" s="254">
        <f t="shared" si="12"/>
        <v>9332.8488028169013</v>
      </c>
      <c r="M70" s="254">
        <f t="shared" si="12"/>
        <v>11199.729422535211</v>
      </c>
      <c r="N70" s="254">
        <f t="shared" si="12"/>
        <v>12010.396205479452</v>
      </c>
      <c r="O70" s="254">
        <f t="shared" si="12"/>
        <v>12474.017027777778</v>
      </c>
      <c r="P70" s="264">
        <f t="shared" si="10"/>
        <v>130759.90320632624</v>
      </c>
      <c r="Q70" s="264"/>
    </row>
    <row r="71" spans="2:17" ht="15" x14ac:dyDescent="0.25">
      <c r="B71" s="242" t="s">
        <v>278</v>
      </c>
      <c r="C71" s="256" t="s">
        <v>35</v>
      </c>
      <c r="D71" s="264">
        <f t="shared" ref="D71:I72" si="13">IFERROR(D23/D54,0)</f>
        <v>16311.329740259742</v>
      </c>
      <c r="E71" s="264">
        <f t="shared" si="13"/>
        <v>15436.595063291139</v>
      </c>
      <c r="F71" s="264">
        <f t="shared" si="13"/>
        <v>15814.884303797468</v>
      </c>
      <c r="G71" s="264">
        <f t="shared" si="13"/>
        <v>14016.499124999998</v>
      </c>
      <c r="H71" s="264">
        <f t="shared" si="13"/>
        <v>13038.924074074075</v>
      </c>
      <c r="I71" s="264">
        <f t="shared" si="13"/>
        <v>12548.697058823529</v>
      </c>
      <c r="J71" s="264">
        <f>IFERROR(J23/J54,0)</f>
        <v>12311.120714285717</v>
      </c>
      <c r="K71" s="264">
        <f t="shared" ref="K71:O72" si="14">IFERROR(K23/K54,0)</f>
        <v>12762.569642857145</v>
      </c>
      <c r="L71" s="264">
        <f t="shared" si="14"/>
        <v>12192.040595238095</v>
      </c>
      <c r="M71" s="264">
        <f t="shared" si="14"/>
        <v>14459.862738095238</v>
      </c>
      <c r="N71" s="264">
        <f t="shared" si="14"/>
        <v>15401.064024390244</v>
      </c>
      <c r="O71" s="264">
        <f t="shared" si="14"/>
        <v>16986.347682926829</v>
      </c>
      <c r="P71" s="264">
        <f t="shared" si="10"/>
        <v>171279.9347630392</v>
      </c>
      <c r="Q71" s="264"/>
    </row>
    <row r="72" spans="2:17" ht="15" x14ac:dyDescent="0.25">
      <c r="B72" s="242" t="s">
        <v>279</v>
      </c>
      <c r="C72" s="256" t="s">
        <v>37</v>
      </c>
      <c r="D72" s="264">
        <f t="shared" si="13"/>
        <v>64188.24</v>
      </c>
      <c r="E72" s="264">
        <f t="shared" si="13"/>
        <v>60766.346969696977</v>
      </c>
      <c r="F72" s="264">
        <f t="shared" si="13"/>
        <v>63763.653939393938</v>
      </c>
      <c r="G72" s="264">
        <f t="shared" si="13"/>
        <v>55516.427272727276</v>
      </c>
      <c r="H72" s="264">
        <f t="shared" si="13"/>
        <v>54576.761212121215</v>
      </c>
      <c r="I72" s="264">
        <f t="shared" si="13"/>
        <v>52490.131818181813</v>
      </c>
      <c r="J72" s="264">
        <f>IFERROR(J24/J55,0)</f>
        <v>50987.160909090911</v>
      </c>
      <c r="K72" s="264">
        <f t="shared" si="14"/>
        <v>51047.746060606063</v>
      </c>
      <c r="L72" s="264">
        <f t="shared" si="14"/>
        <v>51064.384242424239</v>
      </c>
      <c r="M72" s="264">
        <f t="shared" si="14"/>
        <v>59257.539393939398</v>
      </c>
      <c r="N72" s="264">
        <f t="shared" si="14"/>
        <v>60529.74424242424</v>
      </c>
      <c r="O72" s="264">
        <f t="shared" si="14"/>
        <v>64851.809696969693</v>
      </c>
      <c r="P72" s="264">
        <f t="shared" si="10"/>
        <v>689039.94575757568</v>
      </c>
      <c r="Q72" s="264"/>
    </row>
    <row r="73" spans="2:17" ht="15" x14ac:dyDescent="0.25">
      <c r="B73" s="242" t="s">
        <v>280</v>
      </c>
      <c r="C73" s="256" t="s">
        <v>41</v>
      </c>
      <c r="D73" s="264">
        <f t="shared" ref="D73:I73" si="15">IFERROR(D25/D57,0)</f>
        <v>650486.62333333341</v>
      </c>
      <c r="E73" s="264">
        <f t="shared" si="15"/>
        <v>653697.9833333334</v>
      </c>
      <c r="F73" s="264">
        <f t="shared" si="15"/>
        <v>619147.54999999993</v>
      </c>
      <c r="G73" s="264">
        <f t="shared" si="15"/>
        <v>533286.96000000008</v>
      </c>
      <c r="H73" s="264">
        <f t="shared" si="15"/>
        <v>426229.94999999995</v>
      </c>
      <c r="I73" s="264">
        <f t="shared" si="15"/>
        <v>389346.98333333334</v>
      </c>
      <c r="J73" s="264">
        <f>IFERROR(J25/J57,0)</f>
        <v>338175.83999999997</v>
      </c>
      <c r="K73" s="264">
        <f t="shared" ref="K73:O73" si="16">IFERROR(K25/K57,0)</f>
        <v>364481.35666666663</v>
      </c>
      <c r="L73" s="264">
        <f t="shared" si="16"/>
        <v>375693.87666666665</v>
      </c>
      <c r="M73" s="264">
        <f t="shared" si="16"/>
        <v>479276.08333333331</v>
      </c>
      <c r="N73" s="264">
        <f t="shared" si="16"/>
        <v>513229.59666666668</v>
      </c>
      <c r="O73" s="264">
        <f t="shared" si="16"/>
        <v>637805.82333333336</v>
      </c>
      <c r="P73" s="264">
        <f t="shared" si="10"/>
        <v>5980858.626666666</v>
      </c>
      <c r="Q73" s="264"/>
    </row>
    <row r="74" spans="2:17" ht="15" x14ac:dyDescent="0.25">
      <c r="B74" s="242" t="s">
        <v>269</v>
      </c>
      <c r="C74" s="242">
        <v>85</v>
      </c>
      <c r="D74" s="264">
        <f t="shared" ref="D74:I77" si="17">IFERROR(D14/D44,0)</f>
        <v>68420.637560000003</v>
      </c>
      <c r="E74" s="264">
        <f t="shared" si="17"/>
        <v>63189.461520000004</v>
      </c>
      <c r="F74" s="264">
        <f t="shared" si="17"/>
        <v>65690.365439999994</v>
      </c>
      <c r="G74" s="264">
        <f t="shared" si="17"/>
        <v>49746.205439999998</v>
      </c>
      <c r="H74" s="264">
        <f t="shared" si="17"/>
        <v>36809.39544</v>
      </c>
      <c r="I74" s="264">
        <f t="shared" si="17"/>
        <v>30546.895916666672</v>
      </c>
      <c r="J74" s="264">
        <f>IFERROR(J14/J44,0)</f>
        <v>26936.526125000004</v>
      </c>
      <c r="K74" s="264">
        <f t="shared" ref="K74:O77" si="18">IFERROR(K14/K44,0)</f>
        <v>29426.549708333332</v>
      </c>
      <c r="L74" s="264">
        <f t="shared" si="18"/>
        <v>35032.305833333332</v>
      </c>
      <c r="M74" s="264">
        <f t="shared" si="18"/>
        <v>46317.376666666671</v>
      </c>
      <c r="N74" s="264">
        <f t="shared" si="18"/>
        <v>57485.495875000001</v>
      </c>
      <c r="O74" s="264">
        <f t="shared" si="18"/>
        <v>68675.814833333323</v>
      </c>
      <c r="P74" s="264">
        <f t="shared" si="10"/>
        <v>578277.03035833337</v>
      </c>
      <c r="Q74" s="264"/>
    </row>
    <row r="75" spans="2:17" ht="15" x14ac:dyDescent="0.25">
      <c r="B75" s="242" t="s">
        <v>270</v>
      </c>
      <c r="C75" s="242">
        <v>86</v>
      </c>
      <c r="D75" s="264">
        <f t="shared" si="17"/>
        <v>5345.6910315315317</v>
      </c>
      <c r="E75" s="264">
        <f t="shared" si="17"/>
        <v>4940.2971081081087</v>
      </c>
      <c r="F75" s="264">
        <f t="shared" si="17"/>
        <v>4992.5401531531525</v>
      </c>
      <c r="G75" s="264">
        <f t="shared" si="17"/>
        <v>3762.8494099099098</v>
      </c>
      <c r="H75" s="264">
        <f t="shared" si="17"/>
        <v>2142.1121447963801</v>
      </c>
      <c r="I75" s="264">
        <f t="shared" si="17"/>
        <v>1417.2253122171946</v>
      </c>
      <c r="J75" s="264">
        <f>IFERROR(J15/J45,0)</f>
        <v>970.47233181818183</v>
      </c>
      <c r="K75" s="264">
        <f t="shared" si="18"/>
        <v>942.24105000000009</v>
      </c>
      <c r="L75" s="264">
        <f t="shared" si="18"/>
        <v>1575.6203909090912</v>
      </c>
      <c r="M75" s="264">
        <f t="shared" si="18"/>
        <v>3043.7644999999998</v>
      </c>
      <c r="N75" s="264">
        <f t="shared" si="18"/>
        <v>4201.1195115207374</v>
      </c>
      <c r="O75" s="264">
        <f t="shared" si="18"/>
        <v>5353.2956901408443</v>
      </c>
      <c r="P75" s="264">
        <f t="shared" si="10"/>
        <v>38687.228634105137</v>
      </c>
      <c r="Q75" s="264"/>
    </row>
    <row r="76" spans="2:17" ht="15" x14ac:dyDescent="0.25">
      <c r="B76" s="251" t="s">
        <v>291</v>
      </c>
      <c r="C76" s="251">
        <v>87</v>
      </c>
      <c r="D76" s="264">
        <f t="shared" si="17"/>
        <v>497614.6814</v>
      </c>
      <c r="E76" s="264">
        <f t="shared" si="17"/>
        <v>501209.15240000002</v>
      </c>
      <c r="F76" s="264">
        <f t="shared" si="17"/>
        <v>485988.87539999996</v>
      </c>
      <c r="G76" s="264">
        <f t="shared" si="17"/>
        <v>413250.18319999997</v>
      </c>
      <c r="H76" s="264">
        <f t="shared" si="17"/>
        <v>297142.0404</v>
      </c>
      <c r="I76" s="264">
        <f t="shared" si="17"/>
        <v>286110.21899999998</v>
      </c>
      <c r="J76" s="264">
        <f>IFERROR(J16/J46,0)</f>
        <v>256056.26200000002</v>
      </c>
      <c r="K76" s="264">
        <f t="shared" si="18"/>
        <v>255005.06419999999</v>
      </c>
      <c r="L76" s="264">
        <f t="shared" si="18"/>
        <v>274543.18679999997</v>
      </c>
      <c r="M76" s="264">
        <f t="shared" si="18"/>
        <v>349554.17839999998</v>
      </c>
      <c r="N76" s="264">
        <f t="shared" si="18"/>
        <v>426688.45240000001</v>
      </c>
      <c r="O76" s="264">
        <f t="shared" si="18"/>
        <v>517099.03619999997</v>
      </c>
      <c r="P76" s="264">
        <f t="shared" si="10"/>
        <v>4560261.3317999989</v>
      </c>
      <c r="Q76" s="264"/>
    </row>
    <row r="77" spans="2:17" ht="15" x14ac:dyDescent="0.25">
      <c r="B77" s="242" t="s">
        <v>272</v>
      </c>
      <c r="C77" s="242">
        <v>31</v>
      </c>
      <c r="D77" s="264">
        <f>IFERROR(D17/D47,0)</f>
        <v>874.04233496441282</v>
      </c>
      <c r="E77" s="264">
        <f t="shared" si="17"/>
        <v>837.68198620996441</v>
      </c>
      <c r="F77" s="264">
        <f t="shared" si="17"/>
        <v>747.39172335701608</v>
      </c>
      <c r="G77" s="264">
        <f t="shared" si="17"/>
        <v>474.55207216035637</v>
      </c>
      <c r="H77" s="264">
        <f t="shared" si="17"/>
        <v>250.78320205173952</v>
      </c>
      <c r="I77" s="264">
        <f t="shared" si="17"/>
        <v>192.40189753914987</v>
      </c>
      <c r="J77" s="264">
        <f>IFERROR(J17/J47,0)</f>
        <v>165.66451792114697</v>
      </c>
      <c r="K77" s="264">
        <f t="shared" si="18"/>
        <v>172.23517858749437</v>
      </c>
      <c r="L77" s="264">
        <f t="shared" si="18"/>
        <v>241.21278358881878</v>
      </c>
      <c r="M77" s="264">
        <f t="shared" si="18"/>
        <v>425.98155605583071</v>
      </c>
      <c r="N77" s="264">
        <f t="shared" si="18"/>
        <v>655.11170538116585</v>
      </c>
      <c r="O77" s="264">
        <f t="shared" si="18"/>
        <v>832.83444086021507</v>
      </c>
      <c r="P77" s="264">
        <f t="shared" si="10"/>
        <v>5869.8933986773109</v>
      </c>
      <c r="Q77" s="264"/>
    </row>
    <row r="78" spans="2:17" ht="15" x14ac:dyDescent="0.25">
      <c r="B78" s="251" t="s">
        <v>414</v>
      </c>
      <c r="C78" s="252" t="s">
        <v>33</v>
      </c>
      <c r="D78" s="254">
        <f>IFERROR(D26/D58,0)</f>
        <v>2530.87</v>
      </c>
      <c r="E78" s="254">
        <f t="shared" ref="E78:O78" si="19">IFERROR(E26/E58,0)</f>
        <v>3905.98</v>
      </c>
      <c r="F78" s="254">
        <f t="shared" si="19"/>
        <v>2821.34</v>
      </c>
      <c r="G78" s="254">
        <f t="shared" si="19"/>
        <v>1980.65</v>
      </c>
      <c r="H78" s="254">
        <f t="shared" si="19"/>
        <v>595.91</v>
      </c>
      <c r="I78" s="254">
        <f t="shared" si="19"/>
        <v>27.44</v>
      </c>
      <c r="J78" s="254">
        <f t="shared" si="19"/>
        <v>0</v>
      </c>
      <c r="K78" s="254">
        <f t="shared" si="19"/>
        <v>0</v>
      </c>
      <c r="L78" s="254">
        <f t="shared" si="19"/>
        <v>0</v>
      </c>
      <c r="M78" s="254">
        <f t="shared" si="19"/>
        <v>0</v>
      </c>
      <c r="N78" s="254">
        <f t="shared" si="19"/>
        <v>0</v>
      </c>
      <c r="O78" s="254">
        <f t="shared" si="19"/>
        <v>0</v>
      </c>
      <c r="P78" s="254">
        <f t="shared" si="10"/>
        <v>11862.19</v>
      </c>
      <c r="Q78" s="264"/>
    </row>
    <row r="79" spans="2:17" s="270" customFormat="1" ht="15" x14ac:dyDescent="0.25">
      <c r="B79" s="257" t="s">
        <v>285</v>
      </c>
      <c r="C79" s="258" t="s">
        <v>259</v>
      </c>
      <c r="D79" s="261">
        <f t="shared" ref="D79:I79" si="20">IFERROR(D31/D63,0)</f>
        <v>403242.77399999998</v>
      </c>
      <c r="E79" s="261">
        <f t="shared" si="20"/>
        <v>411489.82699999993</v>
      </c>
      <c r="F79" s="261">
        <f t="shared" si="20"/>
        <v>380641.09299999999</v>
      </c>
      <c r="G79" s="261">
        <f t="shared" si="20"/>
        <v>315636.84099999996</v>
      </c>
      <c r="H79" s="261">
        <f t="shared" si="20"/>
        <v>231740.204</v>
      </c>
      <c r="I79" s="261">
        <f t="shared" si="20"/>
        <v>213688.50499999998</v>
      </c>
      <c r="J79" s="261">
        <f>IFERROR(J31/J63,0)</f>
        <v>181611.42500000002</v>
      </c>
      <c r="K79" s="261">
        <f t="shared" ref="K79:O79" si="21">IFERROR(K31/K63,0)</f>
        <v>189709.587</v>
      </c>
      <c r="L79" s="261">
        <f t="shared" si="21"/>
        <v>216092.59500000003</v>
      </c>
      <c r="M79" s="261">
        <f t="shared" si="21"/>
        <v>289591.58099999995</v>
      </c>
      <c r="N79" s="261">
        <f t="shared" si="21"/>
        <v>334100.11900000001</v>
      </c>
      <c r="O79" s="261">
        <f t="shared" si="21"/>
        <v>397297.22399999999</v>
      </c>
      <c r="P79" s="254">
        <f t="shared" si="10"/>
        <v>3564841.7749999994</v>
      </c>
      <c r="Q79" s="269"/>
    </row>
    <row r="80" spans="2:17" ht="15" x14ac:dyDescent="0.25">
      <c r="C80" s="256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</row>
    <row r="81" spans="2:23" ht="15" x14ac:dyDescent="0.25">
      <c r="B81" s="248" t="s">
        <v>293</v>
      </c>
      <c r="C81" s="256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</row>
    <row r="82" spans="2:23" s="251" customFormat="1" x14ac:dyDescent="0.2">
      <c r="B82" s="251" t="s">
        <v>294</v>
      </c>
      <c r="C82" s="252"/>
      <c r="D82" s="272">
        <f>[66]SystemWeatherAdj!Q21</f>
        <v>628.70833333333326</v>
      </c>
      <c r="E82" s="272">
        <f>[66]SystemWeatherAdj!Q22</f>
        <v>672.58333333333303</v>
      </c>
      <c r="F82" s="272">
        <f>[66]SystemWeatherAdj!Q23</f>
        <v>589.02083333333303</v>
      </c>
      <c r="G82" s="272">
        <f>[66]SystemWeatherAdj!Q24</f>
        <v>419.04166666666703</v>
      </c>
      <c r="H82" s="272">
        <f>[66]SystemWeatherAdj!Q25</f>
        <v>172.458333333333</v>
      </c>
      <c r="I82" s="272">
        <f>[66]SystemWeatherAdj!Q26</f>
        <v>124.833333333333</v>
      </c>
      <c r="J82" s="272">
        <f>[66]SystemWeatherAdj!Q27</f>
        <v>16.5833333333333</v>
      </c>
      <c r="K82" s="272">
        <f>[66]SystemWeatherAdj!Q28</f>
        <v>25.0833333333333</v>
      </c>
      <c r="L82" s="272">
        <f>[66]SystemWeatherAdj!Q29</f>
        <v>116.666666666667</v>
      </c>
      <c r="M82" s="272">
        <f>[66]SystemWeatherAdj!Q30</f>
        <v>366.375</v>
      </c>
      <c r="N82" s="272">
        <f>[66]SystemWeatherAdj!Q31</f>
        <v>493.60416666666703</v>
      </c>
      <c r="O82" s="272">
        <f>[66]SystemWeatherAdj!Q32</f>
        <v>653.20833333333303</v>
      </c>
      <c r="P82" s="254">
        <f>SUM(D82:O82)</f>
        <v>4278.1666666666661</v>
      </c>
      <c r="Q82" s="254"/>
    </row>
    <row r="83" spans="2:23" s="251" customFormat="1" x14ac:dyDescent="0.2">
      <c r="B83" s="251" t="s">
        <v>295</v>
      </c>
      <c r="C83" s="252"/>
      <c r="D83" s="272">
        <v>723.21388888888896</v>
      </c>
      <c r="E83" s="272">
        <v>616.98611111111097</v>
      </c>
      <c r="F83" s="272">
        <v>592.16805555555595</v>
      </c>
      <c r="G83" s="272">
        <v>450.14722222222201</v>
      </c>
      <c r="H83" s="272">
        <v>296.66111111111098</v>
      </c>
      <c r="I83" s="272">
        <v>162.50833333333301</v>
      </c>
      <c r="J83" s="272">
        <v>57.0138888888889</v>
      </c>
      <c r="K83" s="272">
        <v>47.509722222222202</v>
      </c>
      <c r="L83" s="272">
        <v>136.759722222222</v>
      </c>
      <c r="M83" s="272">
        <v>386.027777777778</v>
      </c>
      <c r="N83" s="272">
        <v>583.59097222222204</v>
      </c>
      <c r="O83" s="272">
        <v>747.57777777777801</v>
      </c>
      <c r="P83" s="254">
        <f>SUM(D83:O83)</f>
        <v>4800.1645833333332</v>
      </c>
      <c r="Q83" s="254"/>
    </row>
    <row r="84" spans="2:23" s="251" customFormat="1" x14ac:dyDescent="0.2">
      <c r="B84" s="251" t="s">
        <v>296</v>
      </c>
      <c r="C84" s="252"/>
      <c r="D84" s="262">
        <f t="shared" ref="D84:P84" si="22">D82-D83</f>
        <v>-94.505555555555702</v>
      </c>
      <c r="E84" s="262">
        <f t="shared" si="22"/>
        <v>55.597222222222058</v>
      </c>
      <c r="F84" s="262">
        <f t="shared" si="22"/>
        <v>-3.147222222222922</v>
      </c>
      <c r="G84" s="262">
        <f t="shared" si="22"/>
        <v>-31.105555555554986</v>
      </c>
      <c r="H84" s="262">
        <f t="shared" si="22"/>
        <v>-124.20277777777798</v>
      </c>
      <c r="I84" s="262">
        <f t="shared" si="22"/>
        <v>-37.675000000000011</v>
      </c>
      <c r="J84" s="262">
        <f t="shared" si="22"/>
        <v>-40.4305555555556</v>
      </c>
      <c r="K84" s="262">
        <f t="shared" si="22"/>
        <v>-22.426388888888901</v>
      </c>
      <c r="L84" s="262">
        <f t="shared" si="22"/>
        <v>-20.093055555554997</v>
      </c>
      <c r="M84" s="262">
        <f t="shared" si="22"/>
        <v>-19.652777777777999</v>
      </c>
      <c r="N84" s="262">
        <f t="shared" si="22"/>
        <v>-89.986805555555009</v>
      </c>
      <c r="O84" s="262">
        <f t="shared" si="22"/>
        <v>-94.36944444444498</v>
      </c>
      <c r="P84" s="262">
        <f t="shared" si="22"/>
        <v>-521.99791666666715</v>
      </c>
      <c r="Q84" s="273"/>
    </row>
    <row r="85" spans="2:23" ht="15" x14ac:dyDescent="0.25">
      <c r="C85" s="256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</row>
    <row r="86" spans="2:23" ht="15" x14ac:dyDescent="0.25">
      <c r="B86" s="248" t="s">
        <v>297</v>
      </c>
      <c r="C86" s="256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</row>
    <row r="87" spans="2:23" s="251" customFormat="1" x14ac:dyDescent="0.2">
      <c r="B87" s="242" t="s">
        <v>7</v>
      </c>
      <c r="C87" s="252">
        <v>23</v>
      </c>
      <c r="D87" s="275">
        <v>0.14258899999999999</v>
      </c>
      <c r="E87" s="275">
        <v>0.13567199999999999</v>
      </c>
      <c r="F87" s="275">
        <v>0.12486899999999999</v>
      </c>
      <c r="G87" s="275">
        <v>9.7504999999999994E-2</v>
      </c>
      <c r="H87" s="275">
        <v>7.7023999999999995E-2</v>
      </c>
      <c r="I87" s="275">
        <v>4.9307999999999998E-2</v>
      </c>
      <c r="J87" s="275">
        <v>0</v>
      </c>
      <c r="K87" s="275">
        <v>0</v>
      </c>
      <c r="L87" s="275">
        <v>6.1267000000000002E-2</v>
      </c>
      <c r="M87" s="275">
        <v>0.10335</v>
      </c>
      <c r="N87" s="275">
        <v>0.13109000000000001</v>
      </c>
      <c r="O87" s="275">
        <v>0.14038600000000001</v>
      </c>
      <c r="P87" s="254"/>
      <c r="Q87" s="254"/>
      <c r="R87" s="274"/>
      <c r="S87" s="274"/>
      <c r="T87" s="274"/>
      <c r="U87" s="274"/>
      <c r="V87" s="274"/>
      <c r="W87" s="274"/>
    </row>
    <row r="88" spans="2:23" s="251" customFormat="1" x14ac:dyDescent="0.2">
      <c r="B88" s="251" t="s">
        <v>267</v>
      </c>
      <c r="C88" s="251">
        <v>31</v>
      </c>
      <c r="D88" s="275">
        <v>0.53004700000000005</v>
      </c>
      <c r="E88" s="275">
        <v>0.48302200000000001</v>
      </c>
      <c r="F88" s="275">
        <v>0.44266800000000001</v>
      </c>
      <c r="G88" s="275">
        <v>0.30964599999999998</v>
      </c>
      <c r="H88" s="275">
        <v>0.20496700000000001</v>
      </c>
      <c r="I88" s="275">
        <v>0</v>
      </c>
      <c r="J88" s="275">
        <v>0</v>
      </c>
      <c r="K88" s="275">
        <v>0</v>
      </c>
      <c r="L88" s="275">
        <v>0</v>
      </c>
      <c r="M88" s="275">
        <v>0.28602899999999998</v>
      </c>
      <c r="N88" s="275">
        <v>0.43996600000000002</v>
      </c>
      <c r="O88" s="275">
        <v>0.51790400000000003</v>
      </c>
      <c r="P88" s="254"/>
      <c r="Q88" s="254"/>
      <c r="R88" s="274"/>
      <c r="S88" s="274"/>
      <c r="T88" s="274"/>
      <c r="U88" s="274"/>
      <c r="V88" s="274"/>
      <c r="W88" s="274"/>
    </row>
    <row r="89" spans="2:23" s="251" customFormat="1" x14ac:dyDescent="0.2">
      <c r="B89" s="251" t="s">
        <v>268</v>
      </c>
      <c r="C89" s="251">
        <v>41</v>
      </c>
      <c r="D89" s="275">
        <v>4.4232339999999999</v>
      </c>
      <c r="E89" s="275">
        <v>4.0960900000000002</v>
      </c>
      <c r="F89" s="275">
        <v>4.2550169999999996</v>
      </c>
      <c r="G89" s="275">
        <v>3.3169300000000002</v>
      </c>
      <c r="H89" s="275">
        <v>3.0851820000000001</v>
      </c>
      <c r="I89" s="275">
        <v>2.3724050000000001</v>
      </c>
      <c r="J89" s="275">
        <v>0</v>
      </c>
      <c r="K89" s="275">
        <v>0</v>
      </c>
      <c r="L89" s="275">
        <v>1.8869560000000001</v>
      </c>
      <c r="M89" s="275">
        <v>3.3324769999999999</v>
      </c>
      <c r="N89" s="275">
        <v>3.9634170000000002</v>
      </c>
      <c r="O89" s="275">
        <v>4.3025140000000004</v>
      </c>
      <c r="P89" s="254"/>
      <c r="Q89" s="254"/>
      <c r="R89" s="274"/>
      <c r="S89" s="274"/>
      <c r="T89" s="274"/>
      <c r="U89" s="274"/>
      <c r="V89" s="274"/>
      <c r="W89" s="274"/>
    </row>
    <row r="90" spans="2:23" s="251" customFormat="1" x14ac:dyDescent="0.2">
      <c r="B90" s="242" t="s">
        <v>278</v>
      </c>
      <c r="C90" s="256" t="s">
        <v>35</v>
      </c>
      <c r="D90" s="275">
        <v>6.2450140000000003</v>
      </c>
      <c r="E90" s="275">
        <v>5.5843040000000004</v>
      </c>
      <c r="F90" s="275">
        <v>6.6018319999999999</v>
      </c>
      <c r="G90" s="275">
        <v>4.4300100000000002</v>
      </c>
      <c r="H90" s="275">
        <v>3.1402450000000002</v>
      </c>
      <c r="I90" s="275">
        <v>0</v>
      </c>
      <c r="J90" s="275">
        <v>0</v>
      </c>
      <c r="K90" s="275">
        <v>0</v>
      </c>
      <c r="L90" s="275">
        <v>0</v>
      </c>
      <c r="M90" s="275">
        <v>4.9070229999999997</v>
      </c>
      <c r="N90" s="275">
        <v>5.0952380000000002</v>
      </c>
      <c r="O90" s="275">
        <v>5.9990639999999997</v>
      </c>
      <c r="P90" s="254"/>
      <c r="Q90" s="254"/>
      <c r="R90" s="274"/>
      <c r="S90" s="274"/>
      <c r="T90" s="274"/>
      <c r="U90" s="274"/>
      <c r="V90" s="274"/>
      <c r="W90" s="274"/>
    </row>
    <row r="91" spans="2:23" s="251" customFormat="1" x14ac:dyDescent="0.2">
      <c r="B91" s="242" t="s">
        <v>279</v>
      </c>
      <c r="C91" s="256" t="s">
        <v>37</v>
      </c>
      <c r="D91" s="275">
        <v>25.863019999999999</v>
      </c>
      <c r="E91" s="275">
        <v>17.022880000000001</v>
      </c>
      <c r="F91" s="275">
        <v>23.35707</v>
      </c>
      <c r="G91" s="275">
        <v>17.929849999999998</v>
      </c>
      <c r="H91" s="275">
        <v>18.489039999999999</v>
      </c>
      <c r="I91" s="275">
        <v>15.670389999999999</v>
      </c>
      <c r="J91" s="275">
        <v>0</v>
      </c>
      <c r="K91" s="275">
        <v>0</v>
      </c>
      <c r="L91" s="275">
        <v>0</v>
      </c>
      <c r="M91" s="275">
        <v>19.421810000000001</v>
      </c>
      <c r="N91" s="275">
        <v>20.552879999999998</v>
      </c>
      <c r="O91" s="275">
        <v>25.147639999999999</v>
      </c>
      <c r="P91" s="254"/>
      <c r="Q91" s="254"/>
      <c r="R91" s="274"/>
      <c r="S91" s="274"/>
      <c r="T91" s="274"/>
      <c r="U91" s="274"/>
      <c r="V91" s="274"/>
      <c r="W91" s="274"/>
    </row>
    <row r="92" spans="2:23" s="251" customFormat="1" x14ac:dyDescent="0.2">
      <c r="B92" s="242" t="s">
        <v>280</v>
      </c>
      <c r="C92" s="256" t="s">
        <v>41</v>
      </c>
      <c r="D92" s="275">
        <v>498.61770000000001</v>
      </c>
      <c r="E92" s="275">
        <v>416.05340000000001</v>
      </c>
      <c r="F92" s="275">
        <v>437.85559999999998</v>
      </c>
      <c r="G92" s="275">
        <v>350.5145</v>
      </c>
      <c r="H92" s="275">
        <v>357.57459999999998</v>
      </c>
      <c r="I92" s="275">
        <v>231.9744</v>
      </c>
      <c r="J92" s="275">
        <v>0</v>
      </c>
      <c r="K92" s="275">
        <v>0</v>
      </c>
      <c r="L92" s="275"/>
      <c r="M92" s="275">
        <v>292.32600000000002</v>
      </c>
      <c r="N92" s="275">
        <v>405.23860000000002</v>
      </c>
      <c r="O92" s="275">
        <v>489.97309999999999</v>
      </c>
      <c r="P92" s="254"/>
      <c r="Q92" s="254"/>
      <c r="R92" s="274"/>
      <c r="S92" s="274"/>
      <c r="T92" s="274"/>
      <c r="U92" s="274"/>
      <c r="V92" s="274"/>
      <c r="W92" s="274"/>
    </row>
    <row r="93" spans="2:23" s="251" customFormat="1" x14ac:dyDescent="0.2">
      <c r="B93" s="251" t="s">
        <v>269</v>
      </c>
      <c r="C93" s="251">
        <v>85</v>
      </c>
      <c r="D93" s="275">
        <v>54.698979999999999</v>
      </c>
      <c r="E93" s="275">
        <v>51.855840000000001</v>
      </c>
      <c r="F93" s="275">
        <v>54.701529999999998</v>
      </c>
      <c r="G93" s="275">
        <v>47.905470000000001</v>
      </c>
      <c r="H93" s="275">
        <v>41.308880000000002</v>
      </c>
      <c r="I93" s="275">
        <v>0</v>
      </c>
      <c r="J93" s="275">
        <v>0</v>
      </c>
      <c r="K93" s="275">
        <v>0</v>
      </c>
      <c r="L93" s="275">
        <v>0</v>
      </c>
      <c r="M93" s="275">
        <v>42.228180000000002</v>
      </c>
      <c r="N93" s="275">
        <v>47.382179999999998</v>
      </c>
      <c r="O93" s="275">
        <v>51.544719999999998</v>
      </c>
      <c r="P93" s="254"/>
      <c r="Q93" s="254"/>
      <c r="R93" s="274"/>
      <c r="S93" s="274"/>
      <c r="T93" s="274"/>
      <c r="U93" s="274"/>
      <c r="V93" s="274"/>
      <c r="W93" s="274"/>
    </row>
    <row r="94" spans="2:23" s="251" customFormat="1" x14ac:dyDescent="0.2">
      <c r="B94" s="251" t="s">
        <v>270</v>
      </c>
      <c r="C94" s="251">
        <v>86</v>
      </c>
      <c r="D94" s="275">
        <v>6.306381</v>
      </c>
      <c r="E94" s="275">
        <v>6.3312249999999999</v>
      </c>
      <c r="F94" s="275">
        <v>6.47736</v>
      </c>
      <c r="G94" s="275">
        <v>5.6191269999999998</v>
      </c>
      <c r="H94" s="275">
        <v>5.4516109999999998</v>
      </c>
      <c r="I94" s="275">
        <v>4.0647390000000003</v>
      </c>
      <c r="J94" s="275">
        <v>0</v>
      </c>
      <c r="K94" s="275">
        <v>0</v>
      </c>
      <c r="L94" s="275">
        <v>3.8223630000000002</v>
      </c>
      <c r="M94" s="275">
        <v>5.5541510000000001</v>
      </c>
      <c r="N94" s="275">
        <v>5.9706299999999999</v>
      </c>
      <c r="O94" s="275">
        <v>5.9919729999999998</v>
      </c>
      <c r="P94" s="254"/>
      <c r="Q94" s="254"/>
      <c r="R94" s="274"/>
      <c r="S94" s="274"/>
      <c r="T94" s="274"/>
      <c r="U94" s="274"/>
      <c r="V94" s="274"/>
      <c r="W94" s="274"/>
    </row>
    <row r="95" spans="2:23" s="251" customFormat="1" x14ac:dyDescent="0.2">
      <c r="B95" s="251" t="s">
        <v>291</v>
      </c>
      <c r="C95" s="251">
        <v>87</v>
      </c>
      <c r="D95" s="275">
        <v>365.73469999999998</v>
      </c>
      <c r="E95" s="275">
        <v>312.01679999999999</v>
      </c>
      <c r="F95" s="275">
        <v>327.76979999999998</v>
      </c>
      <c r="G95" s="275">
        <v>283.70179999999999</v>
      </c>
      <c r="H95" s="275">
        <v>241.9436</v>
      </c>
      <c r="I95" s="275">
        <v>0</v>
      </c>
      <c r="J95" s="275">
        <v>0</v>
      </c>
      <c r="K95" s="275">
        <v>0</v>
      </c>
      <c r="L95" s="275">
        <v>0</v>
      </c>
      <c r="M95" s="275">
        <v>262.26600000000002</v>
      </c>
      <c r="N95" s="275">
        <v>312.3014</v>
      </c>
      <c r="O95" s="275">
        <v>353.04090000000002</v>
      </c>
      <c r="P95" s="254"/>
      <c r="Q95" s="254"/>
      <c r="R95" s="276"/>
      <c r="S95" s="276"/>
      <c r="T95" s="274"/>
      <c r="U95" s="274"/>
      <c r="V95" s="274"/>
      <c r="W95" s="274"/>
    </row>
    <row r="96" spans="2:23" s="251" customFormat="1" x14ac:dyDescent="0.2">
      <c r="B96" s="251" t="s">
        <v>272</v>
      </c>
      <c r="C96" s="251">
        <v>31</v>
      </c>
      <c r="D96" s="275">
        <v>1.0246230000000001</v>
      </c>
      <c r="E96" s="275">
        <v>0.96336599999999994</v>
      </c>
      <c r="F96" s="275">
        <v>0.87563599999999997</v>
      </c>
      <c r="G96" s="275">
        <v>0.62440799999999996</v>
      </c>
      <c r="H96" s="275">
        <v>0.46065400000000001</v>
      </c>
      <c r="I96" s="275">
        <v>0.267515</v>
      </c>
      <c r="J96" s="275">
        <v>0</v>
      </c>
      <c r="K96" s="275">
        <v>0</v>
      </c>
      <c r="L96" s="275">
        <v>0.36427500000000002</v>
      </c>
      <c r="M96" s="275">
        <v>0.622251</v>
      </c>
      <c r="N96" s="275">
        <v>0.84462899999999996</v>
      </c>
      <c r="O96" s="275">
        <v>0.98157099999999997</v>
      </c>
      <c r="P96" s="254"/>
      <c r="Q96" s="254"/>
      <c r="R96" s="274"/>
      <c r="S96" s="274"/>
      <c r="T96" s="274"/>
      <c r="U96" s="274"/>
      <c r="V96" s="274"/>
      <c r="W96" s="274"/>
    </row>
    <row r="97" spans="2:23" s="251" customFormat="1" x14ac:dyDescent="0.2">
      <c r="B97" s="251" t="s">
        <v>273</v>
      </c>
      <c r="C97" s="251">
        <v>41</v>
      </c>
      <c r="D97" s="275">
        <v>4.7613620000000001</v>
      </c>
      <c r="E97" s="275">
        <v>3.7076060000000002</v>
      </c>
      <c r="F97" s="275">
        <v>5.6337640000000002</v>
      </c>
      <c r="G97" s="275">
        <v>3.607056</v>
      </c>
      <c r="H97" s="275">
        <v>2.9865780000000002</v>
      </c>
      <c r="I97" s="275">
        <v>0</v>
      </c>
      <c r="J97" s="275">
        <v>0</v>
      </c>
      <c r="K97" s="275">
        <v>0</v>
      </c>
      <c r="L97" s="275">
        <v>0</v>
      </c>
      <c r="M97" s="275">
        <v>4.8871190000000002</v>
      </c>
      <c r="N97" s="275">
        <v>4.1200489999999999</v>
      </c>
      <c r="O97" s="275">
        <v>4.2082819999999996</v>
      </c>
      <c r="P97" s="254"/>
      <c r="Q97" s="254"/>
      <c r="R97" s="274"/>
      <c r="S97" s="274"/>
      <c r="T97" s="274"/>
      <c r="U97" s="274"/>
      <c r="V97" s="274"/>
      <c r="W97" s="274"/>
    </row>
    <row r="98" spans="2:23" s="257" customFormat="1" ht="15" x14ac:dyDescent="0.25">
      <c r="B98" s="271"/>
      <c r="C98" s="258" t="s">
        <v>259</v>
      </c>
      <c r="D98" s="279">
        <v>366.29660000000001</v>
      </c>
      <c r="E98" s="279">
        <v>343.17970000000003</v>
      </c>
      <c r="F98" s="279">
        <v>353.94880000000001</v>
      </c>
      <c r="G98" s="279">
        <v>310.79880000000003</v>
      </c>
      <c r="H98" s="279">
        <v>284.05250000000001</v>
      </c>
      <c r="I98" s="279">
        <v>242.88679999999999</v>
      </c>
      <c r="J98" s="275">
        <v>0</v>
      </c>
      <c r="K98" s="275">
        <v>0</v>
      </c>
      <c r="L98" s="279">
        <v>191.56610000000001</v>
      </c>
      <c r="M98" s="279">
        <v>304.52820000000003</v>
      </c>
      <c r="N98" s="279">
        <v>327.96660000000003</v>
      </c>
      <c r="O98" s="279">
        <v>325.36750000000001</v>
      </c>
      <c r="P98" s="261"/>
      <c r="Q98" s="261"/>
      <c r="R98" s="277"/>
      <c r="S98" s="277"/>
      <c r="T98" s="278"/>
      <c r="U98" s="278"/>
      <c r="V98" s="278"/>
      <c r="W98" s="278"/>
    </row>
    <row r="99" spans="2:23" ht="15" x14ac:dyDescent="0.25">
      <c r="C99" s="256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</row>
    <row r="100" spans="2:23" ht="15" x14ac:dyDescent="0.25">
      <c r="B100" s="248" t="s">
        <v>298</v>
      </c>
      <c r="C100" s="256"/>
      <c r="D100" s="264"/>
      <c r="E100" s="264"/>
      <c r="F100" s="264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</row>
    <row r="101" spans="2:23" ht="15" x14ac:dyDescent="0.25">
      <c r="B101" s="242" t="s">
        <v>7</v>
      </c>
      <c r="C101" s="256">
        <v>23</v>
      </c>
      <c r="D101" s="264">
        <f>IF(D67=0,0,D67+D87*(-D$84))</f>
        <v>124.2831768918448</v>
      </c>
      <c r="E101" s="264">
        <f t="shared" ref="E101:O103" si="23">IF(E67=0,0,E67+E87*(-E$84))</f>
        <v>97.748009219084707</v>
      </c>
      <c r="F101" s="264">
        <f t="shared" si="23"/>
        <v>98.297376652798533</v>
      </c>
      <c r="G101" s="264">
        <f t="shared" si="23"/>
        <v>65.172071176975734</v>
      </c>
      <c r="H101" s="264">
        <f t="shared" si="23"/>
        <v>40.796223316792499</v>
      </c>
      <c r="I101" s="264">
        <f t="shared" si="23"/>
        <v>24.834109116426191</v>
      </c>
      <c r="J101" s="264">
        <f t="shared" si="23"/>
        <v>17.427920045056723</v>
      </c>
      <c r="K101" s="264">
        <f t="shared" si="23"/>
        <v>17.154676905959125</v>
      </c>
      <c r="L101" s="264">
        <f t="shared" si="23"/>
        <v>28.010544814776395</v>
      </c>
      <c r="M101" s="264">
        <f t="shared" si="23"/>
        <v>56.966849517540318</v>
      </c>
      <c r="N101" s="264">
        <f t="shared" si="23"/>
        <v>97.367674090102312</v>
      </c>
      <c r="O101" s="264">
        <f t="shared" si="23"/>
        <v>121.86902431994432</v>
      </c>
      <c r="P101" s="264">
        <f>SUM(D101:O101)</f>
        <v>789.92765606730188</v>
      </c>
      <c r="Q101" s="264"/>
    </row>
    <row r="102" spans="2:23" ht="15" x14ac:dyDescent="0.25">
      <c r="B102" s="251" t="s">
        <v>267</v>
      </c>
      <c r="C102" s="256">
        <v>31</v>
      </c>
      <c r="D102" s="264">
        <f>IF(D68=0,0,D68+D88*(-D$84))</f>
        <v>572.17087266025146</v>
      </c>
      <c r="E102" s="264">
        <f t="shared" si="23"/>
        <v>468.07539338121359</v>
      </c>
      <c r="F102" s="264">
        <f t="shared" si="23"/>
        <v>470.41138151891158</v>
      </c>
      <c r="G102" s="264">
        <f t="shared" si="23"/>
        <v>332.42537364134182</v>
      </c>
      <c r="H102" s="264">
        <f t="shared" si="23"/>
        <v>224.93652403884374</v>
      </c>
      <c r="I102" s="264">
        <f t="shared" si="23"/>
        <v>163.92408732114612</v>
      </c>
      <c r="J102" s="264">
        <f t="shared" si="23"/>
        <v>142.49264599164658</v>
      </c>
      <c r="K102" s="264">
        <f t="shared" si="23"/>
        <v>143.8083935997939</v>
      </c>
      <c r="L102" s="264">
        <f t="shared" si="23"/>
        <v>177.41062332738215</v>
      </c>
      <c r="M102" s="264">
        <f t="shared" si="23"/>
        <v>287.04614394106341</v>
      </c>
      <c r="N102" s="264">
        <f t="shared" si="23"/>
        <v>444.84143830622457</v>
      </c>
      <c r="O102" s="264">
        <f t="shared" si="23"/>
        <v>562.74247279135886</v>
      </c>
      <c r="P102" s="264">
        <f t="shared" ref="P102:P113" si="24">SUM(D102:O102)</f>
        <v>3990.2853505191779</v>
      </c>
      <c r="Q102" s="264"/>
    </row>
    <row r="103" spans="2:23" ht="15" x14ac:dyDescent="0.25">
      <c r="B103" s="251" t="s">
        <v>268</v>
      </c>
      <c r="C103" s="251">
        <v>41</v>
      </c>
      <c r="D103" s="264">
        <f>IF(D69=0,0,D69+D89*(-D$84))</f>
        <v>5525.0690119683049</v>
      </c>
      <c r="E103" s="264">
        <f t="shared" si="23"/>
        <v>4738.7607132801159</v>
      </c>
      <c r="F103" s="264">
        <f t="shared" si="23"/>
        <v>4860.7004926053451</v>
      </c>
      <c r="G103" s="264">
        <f t="shared" si="23"/>
        <v>3817.6638000012904</v>
      </c>
      <c r="H103" s="264">
        <f t="shared" si="23"/>
        <v>2969.8054398779514</v>
      </c>
      <c r="I103" s="264">
        <f t="shared" si="23"/>
        <v>2267.9890630625</v>
      </c>
      <c r="J103" s="264">
        <f t="shared" si="23"/>
        <v>1843.1935518905873</v>
      </c>
      <c r="K103" s="264">
        <f t="shared" si="23"/>
        <v>1888.3453731707316</v>
      </c>
      <c r="L103" s="264">
        <f t="shared" si="23"/>
        <v>2364.594532877099</v>
      </c>
      <c r="M103" s="264">
        <f t="shared" si="23"/>
        <v>3457.4178309006456</v>
      </c>
      <c r="N103" s="264">
        <f t="shared" si="23"/>
        <v>4683.883474272011</v>
      </c>
      <c r="O103" s="264">
        <f t="shared" si="23"/>
        <v>5601.9759834004617</v>
      </c>
      <c r="P103" s="264">
        <f t="shared" si="24"/>
        <v>44019.399267307046</v>
      </c>
      <c r="Q103" s="264"/>
    </row>
    <row r="104" spans="2:23" ht="15" x14ac:dyDescent="0.25">
      <c r="B104" s="242" t="s">
        <v>278</v>
      </c>
      <c r="C104" s="256" t="s">
        <v>35</v>
      </c>
      <c r="D104" s="264">
        <f t="shared" ref="D104:O110" si="25">IF(D71=0,0,D71+D90*(-D$84))</f>
        <v>16901.518257781965</v>
      </c>
      <c r="E104" s="264">
        <f t="shared" si="25"/>
        <v>15126.123272846695</v>
      </c>
      <c r="F104" s="264">
        <f t="shared" si="25"/>
        <v>15835.661736175251</v>
      </c>
      <c r="G104" s="264">
        <f t="shared" si="25"/>
        <v>14154.297047166663</v>
      </c>
      <c r="H104" s="264">
        <f t="shared" si="25"/>
        <v>13428.951225976854</v>
      </c>
      <c r="I104" s="264">
        <f t="shared" si="25"/>
        <v>12548.697058823529</v>
      </c>
      <c r="J104" s="264">
        <f t="shared" si="25"/>
        <v>12311.120714285717</v>
      </c>
      <c r="K104" s="264">
        <f t="shared" si="25"/>
        <v>12762.569642857145</v>
      </c>
      <c r="L104" s="264">
        <f t="shared" si="25"/>
        <v>12192.040595238095</v>
      </c>
      <c r="M104" s="264">
        <f t="shared" si="25"/>
        <v>14556.299370664685</v>
      </c>
      <c r="N104" s="264">
        <f t="shared" si="25"/>
        <v>15859.568215555519</v>
      </c>
      <c r="O104" s="264">
        <f t="shared" si="25"/>
        <v>17552.476019793499</v>
      </c>
      <c r="P104" s="264">
        <f t="shared" si="24"/>
        <v>173229.32315716561</v>
      </c>
      <c r="Q104" s="264"/>
    </row>
    <row r="105" spans="2:23" ht="15" x14ac:dyDescent="0.25">
      <c r="B105" s="242" t="s">
        <v>279</v>
      </c>
      <c r="C105" s="256" t="s">
        <v>37</v>
      </c>
      <c r="D105" s="264">
        <f t="shared" si="25"/>
        <v>66632.439073444446</v>
      </c>
      <c r="E105" s="264">
        <f t="shared" si="25"/>
        <v>59819.922127474754</v>
      </c>
      <c r="F105" s="264">
        <f t="shared" si="25"/>
        <v>63837.163829143952</v>
      </c>
      <c r="G105" s="264">
        <f t="shared" si="25"/>
        <v>56074.145218005047</v>
      </c>
      <c r="H105" s="264">
        <f t="shared" si="25"/>
        <v>56873.151338565665</v>
      </c>
      <c r="I105" s="264">
        <f t="shared" si="25"/>
        <v>53080.513761431816</v>
      </c>
      <c r="J105" s="264">
        <f t="shared" si="25"/>
        <v>50987.160909090911</v>
      </c>
      <c r="K105" s="264">
        <f t="shared" si="25"/>
        <v>51047.746060606063</v>
      </c>
      <c r="L105" s="264">
        <f t="shared" si="25"/>
        <v>51064.384242424239</v>
      </c>
      <c r="M105" s="264">
        <f t="shared" si="25"/>
        <v>59639.231909911621</v>
      </c>
      <c r="N105" s="264">
        <f t="shared" si="25"/>
        <v>62379.232258590899</v>
      </c>
      <c r="O105" s="264">
        <f t="shared" si="25"/>
        <v>67224.978512858594</v>
      </c>
      <c r="P105" s="264">
        <f t="shared" si="24"/>
        <v>698660.06924154796</v>
      </c>
      <c r="Q105" s="264"/>
    </row>
    <row r="106" spans="2:23" ht="15" x14ac:dyDescent="0.25">
      <c r="B106" s="242" t="s">
        <v>280</v>
      </c>
      <c r="C106" s="256" t="s">
        <v>41</v>
      </c>
      <c r="D106" s="264">
        <f t="shared" si="25"/>
        <v>697608.76608166681</v>
      </c>
      <c r="E106" s="264">
        <f t="shared" si="25"/>
        <v>630566.5699972224</v>
      </c>
      <c r="F106" s="264">
        <f t="shared" si="25"/>
        <v>620525.57887444471</v>
      </c>
      <c r="G106" s="264">
        <f t="shared" si="25"/>
        <v>544189.90825277765</v>
      </c>
      <c r="H106" s="264">
        <f t="shared" si="25"/>
        <v>470641.70858277782</v>
      </c>
      <c r="I106" s="264">
        <f t="shared" si="25"/>
        <v>398086.61885333335</v>
      </c>
      <c r="J106" s="264">
        <f t="shared" si="25"/>
        <v>338175.83999999997</v>
      </c>
      <c r="K106" s="264">
        <f t="shared" si="25"/>
        <v>364481.35666666663</v>
      </c>
      <c r="L106" s="264">
        <f t="shared" si="25"/>
        <v>375693.87666666665</v>
      </c>
      <c r="M106" s="264">
        <f t="shared" si="25"/>
        <v>485021.10125000007</v>
      </c>
      <c r="N106" s="264">
        <f t="shared" si="25"/>
        <v>549695.72376847197</v>
      </c>
      <c r="O106" s="264">
        <f t="shared" si="25"/>
        <v>684044.31257305585</v>
      </c>
      <c r="P106" s="264">
        <f t="shared" si="24"/>
        <v>6158731.3615670837</v>
      </c>
      <c r="Q106" s="264"/>
    </row>
    <row r="107" spans="2:23" ht="15" x14ac:dyDescent="0.25">
      <c r="B107" s="242" t="s">
        <v>269</v>
      </c>
      <c r="C107" s="242">
        <v>85</v>
      </c>
      <c r="D107" s="264">
        <f t="shared" si="25"/>
        <v>73589.995053222228</v>
      </c>
      <c r="E107" s="264">
        <f t="shared" si="25"/>
        <v>60306.420860000013</v>
      </c>
      <c r="F107" s="264">
        <f t="shared" si="25"/>
        <v>65862.523310805584</v>
      </c>
      <c r="G107" s="264">
        <f t="shared" si="25"/>
        <v>51236.331698499969</v>
      </c>
      <c r="H107" s="264">
        <f t="shared" si="25"/>
        <v>41940.073082888899</v>
      </c>
      <c r="I107" s="264">
        <f t="shared" si="25"/>
        <v>30546.895916666672</v>
      </c>
      <c r="J107" s="264">
        <f t="shared" si="25"/>
        <v>26936.526125000004</v>
      </c>
      <c r="K107" s="264">
        <f t="shared" si="25"/>
        <v>29426.549708333332</v>
      </c>
      <c r="L107" s="264">
        <f t="shared" si="25"/>
        <v>35032.305833333332</v>
      </c>
      <c r="M107" s="264">
        <f t="shared" si="25"/>
        <v>47147.277704166678</v>
      </c>
      <c r="N107" s="264">
        <f t="shared" si="25"/>
        <v>61749.266893458305</v>
      </c>
      <c r="O107" s="264">
        <f t="shared" si="25"/>
        <v>73540.061423777792</v>
      </c>
      <c r="P107" s="264">
        <f t="shared" si="24"/>
        <v>597314.2276101528</v>
      </c>
      <c r="Q107" s="264"/>
    </row>
    <row r="108" spans="2:23" ht="15" x14ac:dyDescent="0.25">
      <c r="B108" s="242" t="s">
        <v>270</v>
      </c>
      <c r="C108" s="242">
        <v>86</v>
      </c>
      <c r="D108" s="264">
        <f t="shared" si="25"/>
        <v>5941.6790714815324</v>
      </c>
      <c r="E108" s="264">
        <f t="shared" si="25"/>
        <v>4588.2985848442204</v>
      </c>
      <c r="F108" s="264">
        <f t="shared" si="25"/>
        <v>5012.92584448649</v>
      </c>
      <c r="G108" s="264">
        <f t="shared" si="25"/>
        <v>3937.6354769821287</v>
      </c>
      <c r="H108" s="264">
        <f t="shared" si="25"/>
        <v>2819.2173743602702</v>
      </c>
      <c r="I108" s="264">
        <f t="shared" si="25"/>
        <v>1570.3643540421947</v>
      </c>
      <c r="J108" s="264">
        <f t="shared" si="25"/>
        <v>970.47233181818183</v>
      </c>
      <c r="K108" s="264">
        <f t="shared" si="25"/>
        <v>942.24105000000009</v>
      </c>
      <c r="L108" s="264">
        <f t="shared" si="25"/>
        <v>1652.4233430215891</v>
      </c>
      <c r="M108" s="264">
        <f t="shared" si="25"/>
        <v>3152.9189953472232</v>
      </c>
      <c r="N108" s="264">
        <f t="shared" si="25"/>
        <v>4738.3974323749007</v>
      </c>
      <c r="O108" s="264">
        <f t="shared" si="25"/>
        <v>5918.7548532769588</v>
      </c>
      <c r="P108" s="264">
        <f t="shared" si="24"/>
        <v>41245.328712035691</v>
      </c>
      <c r="Q108" s="264"/>
    </row>
    <row r="109" spans="2:23" ht="15" x14ac:dyDescent="0.25">
      <c r="B109" s="251" t="s">
        <v>291</v>
      </c>
      <c r="C109" s="251">
        <v>87</v>
      </c>
      <c r="D109" s="264">
        <f t="shared" si="25"/>
        <v>532178.64240944455</v>
      </c>
      <c r="E109" s="264">
        <f t="shared" si="25"/>
        <v>483861.88503333338</v>
      </c>
      <c r="F109" s="264">
        <f t="shared" si="25"/>
        <v>487020.43979833351</v>
      </c>
      <c r="G109" s="264">
        <f t="shared" si="25"/>
        <v>422074.88530111092</v>
      </c>
      <c r="H109" s="264">
        <f t="shared" si="25"/>
        <v>327192.10758555558</v>
      </c>
      <c r="I109" s="264">
        <f t="shared" si="25"/>
        <v>286110.21899999998</v>
      </c>
      <c r="J109" s="264">
        <f t="shared" si="25"/>
        <v>256056.26200000002</v>
      </c>
      <c r="K109" s="264">
        <f t="shared" si="25"/>
        <v>255005.06419999999</v>
      </c>
      <c r="L109" s="264">
        <f t="shared" si="25"/>
        <v>274543.18679999997</v>
      </c>
      <c r="M109" s="264">
        <f t="shared" si="25"/>
        <v>354708.43381666671</v>
      </c>
      <c r="N109" s="264">
        <f t="shared" si="25"/>
        <v>454791.45775652764</v>
      </c>
      <c r="O109" s="264">
        <f t="shared" si="25"/>
        <v>550415.30979916686</v>
      </c>
      <c r="P109" s="264">
        <f t="shared" si="24"/>
        <v>4683957.893500139</v>
      </c>
      <c r="Q109" s="264"/>
    </row>
    <row r="110" spans="2:23" ht="15" x14ac:dyDescent="0.25">
      <c r="B110" s="242" t="s">
        <v>272</v>
      </c>
      <c r="C110" s="242">
        <v>31</v>
      </c>
      <c r="D110" s="264">
        <f t="shared" si="25"/>
        <v>970.87490081441297</v>
      </c>
      <c r="E110" s="264">
        <f t="shared" si="25"/>
        <v>784.12151262663122</v>
      </c>
      <c r="F110" s="264">
        <f t="shared" si="25"/>
        <v>750.14754443479444</v>
      </c>
      <c r="G110" s="264">
        <f t="shared" si="25"/>
        <v>493.97462989368933</v>
      </c>
      <c r="H110" s="264">
        <f t="shared" si="25"/>
        <v>307.99770844618405</v>
      </c>
      <c r="I110" s="264">
        <f t="shared" si="25"/>
        <v>202.48052516414987</v>
      </c>
      <c r="J110" s="264">
        <f t="shared" si="25"/>
        <v>165.66451792114697</v>
      </c>
      <c r="K110" s="264">
        <f t="shared" si="25"/>
        <v>172.23517858749437</v>
      </c>
      <c r="L110" s="264">
        <f t="shared" si="25"/>
        <v>248.53218140131858</v>
      </c>
      <c r="M110" s="264">
        <f t="shared" si="25"/>
        <v>438.21051668083084</v>
      </c>
      <c r="N110" s="264">
        <f t="shared" si="25"/>
        <v>731.1171709707487</v>
      </c>
      <c r="O110" s="264">
        <f t="shared" si="25"/>
        <v>925.46475081299332</v>
      </c>
      <c r="P110" s="264">
        <f t="shared" si="24"/>
        <v>6190.8211377543939</v>
      </c>
      <c r="Q110" s="264"/>
    </row>
    <row r="111" spans="2:23" ht="15" x14ac:dyDescent="0.25">
      <c r="B111" s="251" t="s">
        <v>273</v>
      </c>
      <c r="C111" s="251">
        <v>41</v>
      </c>
      <c r="D111" s="254">
        <f t="shared" ref="D111:O111" si="26">IF(D70=0,0,D70+D97*(-D$84))</f>
        <v>13414.850791148099</v>
      </c>
      <c r="E111" s="254">
        <f t="shared" si="26"/>
        <v>12137.401966949392</v>
      </c>
      <c r="F111" s="254">
        <f t="shared" si="26"/>
        <v>12610.25984424186</v>
      </c>
      <c r="G111" s="254">
        <f t="shared" si="26"/>
        <v>11227.898932854794</v>
      </c>
      <c r="H111" s="254">
        <f t="shared" si="26"/>
        <v>9961.673667211644</v>
      </c>
      <c r="I111" s="254">
        <f t="shared" si="26"/>
        <v>9317.9819444444438</v>
      </c>
      <c r="J111" s="254">
        <f t="shared" si="26"/>
        <v>8864.4184583333335</v>
      </c>
      <c r="K111" s="254">
        <f t="shared" si="26"/>
        <v>8953.1401805555561</v>
      </c>
      <c r="L111" s="254">
        <f t="shared" si="26"/>
        <v>9332.8488028169013</v>
      </c>
      <c r="M111" s="254">
        <f t="shared" si="26"/>
        <v>11295.774886215768</v>
      </c>
      <c r="N111" s="254">
        <f t="shared" si="26"/>
        <v>12381.14625372181</v>
      </c>
      <c r="O111" s="254">
        <f t="shared" si="26"/>
        <v>12871.150262183335</v>
      </c>
      <c r="P111" s="254">
        <f>SUM(D111:O111)</f>
        <v>132368.54599067694</v>
      </c>
      <c r="Q111" s="254"/>
    </row>
    <row r="112" spans="2:23" ht="15" x14ac:dyDescent="0.25">
      <c r="B112" s="251" t="s">
        <v>414</v>
      </c>
      <c r="C112" s="252" t="s">
        <v>33</v>
      </c>
      <c r="D112" s="254">
        <f t="shared" ref="D112:O112" si="27">IF(D78=0,0,D78+D96*(-D$84))</f>
        <v>2627.7025658500002</v>
      </c>
      <c r="E112" s="254">
        <f t="shared" si="27"/>
        <v>3852.4195264166669</v>
      </c>
      <c r="F112" s="254">
        <f t="shared" si="27"/>
        <v>2824.0958210777785</v>
      </c>
      <c r="G112" s="254">
        <f t="shared" si="27"/>
        <v>2000.072557733333</v>
      </c>
      <c r="H112" s="254">
        <f t="shared" si="27"/>
        <v>653.12450639444455</v>
      </c>
      <c r="I112" s="254">
        <f t="shared" si="27"/>
        <v>37.518627625000008</v>
      </c>
      <c r="J112" s="254">
        <f t="shared" si="27"/>
        <v>0</v>
      </c>
      <c r="K112" s="254">
        <f t="shared" si="27"/>
        <v>0</v>
      </c>
      <c r="L112" s="254">
        <f t="shared" si="27"/>
        <v>0</v>
      </c>
      <c r="M112" s="254">
        <f t="shared" si="27"/>
        <v>0</v>
      </c>
      <c r="N112" s="254">
        <f t="shared" si="27"/>
        <v>0</v>
      </c>
      <c r="O112" s="254">
        <f t="shared" si="27"/>
        <v>0</v>
      </c>
      <c r="P112" s="254">
        <f>SUM(D112:O112)</f>
        <v>11994.933605097223</v>
      </c>
      <c r="Q112" s="254"/>
    </row>
    <row r="113" spans="2:17" s="270" customFormat="1" ht="15" x14ac:dyDescent="0.25">
      <c r="B113" s="257" t="s">
        <v>285</v>
      </c>
      <c r="C113" s="258" t="s">
        <v>259</v>
      </c>
      <c r="D113" s="261">
        <f>IF(D79=0,0,D79+D98*(-D$84))</f>
        <v>437859.83768111112</v>
      </c>
      <c r="E113" s="261">
        <f t="shared" ref="E113:O113" si="28">IF(E79=0,0,E79+E98*(-E$84))</f>
        <v>392409.98895694443</v>
      </c>
      <c r="F113" s="261">
        <f t="shared" si="28"/>
        <v>381755.04852888914</v>
      </c>
      <c r="G113" s="261">
        <f t="shared" si="28"/>
        <v>325304.41033999977</v>
      </c>
      <c r="H113" s="261">
        <f t="shared" si="28"/>
        <v>267020.31353472226</v>
      </c>
      <c r="I113" s="261">
        <f t="shared" si="28"/>
        <v>222839.26518999998</v>
      </c>
      <c r="J113" s="261">
        <f t="shared" si="28"/>
        <v>181611.42500000002</v>
      </c>
      <c r="K113" s="261">
        <f t="shared" si="28"/>
        <v>189709.587</v>
      </c>
      <c r="L113" s="261">
        <f t="shared" si="28"/>
        <v>219941.74328986104</v>
      </c>
      <c r="M113" s="261">
        <f t="shared" si="28"/>
        <v>295576.40604166669</v>
      </c>
      <c r="N113" s="261">
        <f t="shared" si="28"/>
        <v>363612.78566291649</v>
      </c>
      <c r="O113" s="261">
        <f t="shared" si="28"/>
        <v>428001.97421527794</v>
      </c>
      <c r="P113" s="254">
        <f t="shared" si="24"/>
        <v>3705642.7854413884</v>
      </c>
      <c r="Q113" s="261"/>
    </row>
    <row r="114" spans="2:17" ht="15" x14ac:dyDescent="0.25">
      <c r="B114" s="251"/>
      <c r="C114" s="251"/>
      <c r="D114" s="251"/>
      <c r="E114" s="251"/>
      <c r="F114" s="251"/>
      <c r="G114" s="251"/>
      <c r="H114" s="251"/>
      <c r="I114" s="251"/>
      <c r="J114" s="251"/>
      <c r="K114" s="251"/>
      <c r="L114" s="251"/>
      <c r="M114" s="251"/>
      <c r="N114" s="251"/>
      <c r="O114" s="251"/>
      <c r="P114" s="251"/>
      <c r="Q114" s="254"/>
    </row>
    <row r="115" spans="2:17" ht="15" x14ac:dyDescent="0.25">
      <c r="B115" s="263" t="s">
        <v>299</v>
      </c>
      <c r="C115" s="252"/>
      <c r="D115" s="254"/>
      <c r="E115" s="254"/>
      <c r="F115" s="254"/>
      <c r="G115" s="254"/>
      <c r="H115" s="254"/>
      <c r="I115" s="254"/>
      <c r="J115" s="254"/>
      <c r="K115" s="254"/>
      <c r="L115" s="254"/>
      <c r="M115" s="254"/>
      <c r="N115" s="254"/>
      <c r="O115" s="254"/>
      <c r="P115" s="254"/>
      <c r="Q115" s="254"/>
    </row>
    <row r="116" spans="2:17" ht="15" x14ac:dyDescent="0.25">
      <c r="B116" s="251" t="s">
        <v>7</v>
      </c>
      <c r="C116" s="252">
        <v>23</v>
      </c>
      <c r="D116" s="254">
        <f>D101*D37</f>
        <v>95454078.330481812</v>
      </c>
      <c r="E116" s="254">
        <f t="shared" ref="E116:O116" si="29">E101*E37</f>
        <v>75186009.227154016</v>
      </c>
      <c r="F116" s="254">
        <f t="shared" si="29"/>
        <v>75679543.474496201</v>
      </c>
      <c r="G116" s="254">
        <f t="shared" si="29"/>
        <v>50201655.395197347</v>
      </c>
      <c r="H116" s="254">
        <f t="shared" si="29"/>
        <v>31451440.403848011</v>
      </c>
      <c r="I116" s="254">
        <f t="shared" si="29"/>
        <v>19153455.660698399</v>
      </c>
      <c r="J116" s="254">
        <f t="shared" si="29"/>
        <v>13445152.333000001</v>
      </c>
      <c r="K116" s="254">
        <f t="shared" si="29"/>
        <v>13243856.592999998</v>
      </c>
      <c r="L116" s="254">
        <f t="shared" si="29"/>
        <v>21641339.071523651</v>
      </c>
      <c r="M116" s="254">
        <f t="shared" si="29"/>
        <v>44132332.254937522</v>
      </c>
      <c r="N116" s="254">
        <f t="shared" si="29"/>
        <v>75641343.396659151</v>
      </c>
      <c r="O116" s="254">
        <f t="shared" si="29"/>
        <v>94837499.773586109</v>
      </c>
      <c r="P116" s="254">
        <f>SUM(D116:O116)</f>
        <v>610067705.91458225</v>
      </c>
      <c r="Q116" s="254"/>
    </row>
    <row r="117" spans="2:17" ht="15" x14ac:dyDescent="0.25">
      <c r="B117" s="251" t="s">
        <v>267</v>
      </c>
      <c r="C117" s="252">
        <v>31</v>
      </c>
      <c r="D117" s="254">
        <f>D102*D40</f>
        <v>31131817.181444284</v>
      </c>
      <c r="E117" s="254">
        <f t="shared" ref="E117:O118" si="30">E102*E40</f>
        <v>25469386.380051974</v>
      </c>
      <c r="F117" s="254">
        <f t="shared" si="30"/>
        <v>25630834.533439416</v>
      </c>
      <c r="G117" s="254">
        <f t="shared" si="30"/>
        <v>18102223.721639268</v>
      </c>
      <c r="H117" s="254">
        <f t="shared" si="30"/>
        <v>12245994.241722731</v>
      </c>
      <c r="I117" s="254">
        <f t="shared" si="30"/>
        <v>8913208.3239999991</v>
      </c>
      <c r="J117" s="254">
        <f t="shared" si="30"/>
        <v>7744332.8169999998</v>
      </c>
      <c r="K117" s="254">
        <f t="shared" si="30"/>
        <v>7814835.7250000006</v>
      </c>
      <c r="L117" s="254">
        <f t="shared" si="30"/>
        <v>9638896.5759999994</v>
      </c>
      <c r="M117" s="254">
        <f t="shared" si="30"/>
        <v>15637699.829621252</v>
      </c>
      <c r="N117" s="254">
        <f t="shared" si="30"/>
        <v>24293680.628779538</v>
      </c>
      <c r="O117" s="254">
        <f t="shared" si="30"/>
        <v>30806773.930490151</v>
      </c>
      <c r="P117" s="254">
        <f t="shared" ref="P117:P129" si="31">SUM(D117:O117)</f>
        <v>217429683.88918859</v>
      </c>
      <c r="Q117" s="254"/>
    </row>
    <row r="118" spans="2:17" ht="15" x14ac:dyDescent="0.25">
      <c r="B118" s="251" t="s">
        <v>268</v>
      </c>
      <c r="C118" s="251">
        <v>41</v>
      </c>
      <c r="D118" s="254">
        <f>D103*D41</f>
        <v>7121813.9564271448</v>
      </c>
      <c r="E118" s="254">
        <f t="shared" si="30"/>
        <v>6084568.7558516683</v>
      </c>
      <c r="F118" s="254">
        <f t="shared" si="30"/>
        <v>6255721.5339830788</v>
      </c>
      <c r="G118" s="254">
        <f t="shared" si="30"/>
        <v>4924786.3020016644</v>
      </c>
      <c r="H118" s="254">
        <f t="shared" si="30"/>
        <v>3825109.4065628015</v>
      </c>
      <c r="I118" s="254">
        <f t="shared" si="30"/>
        <v>2903026.0007199999</v>
      </c>
      <c r="J118" s="254">
        <f t="shared" si="30"/>
        <v>2291089.585</v>
      </c>
      <c r="K118" s="254">
        <f t="shared" si="30"/>
        <v>2322664.8089999999</v>
      </c>
      <c r="L118" s="254">
        <f t="shared" si="30"/>
        <v>2908451.2754388317</v>
      </c>
      <c r="M118" s="254">
        <f t="shared" si="30"/>
        <v>4276825.8568240991</v>
      </c>
      <c r="N118" s="254">
        <f t="shared" si="30"/>
        <v>5831434.9254686534</v>
      </c>
      <c r="O118" s="254">
        <f t="shared" si="30"/>
        <v>6985664.0513003757</v>
      </c>
      <c r="P118" s="254">
        <f t="shared" si="31"/>
        <v>55731156.458578318</v>
      </c>
      <c r="Q118" s="254"/>
    </row>
    <row r="119" spans="2:17" ht="15" x14ac:dyDescent="0.25">
      <c r="B119" s="251" t="s">
        <v>278</v>
      </c>
      <c r="C119" s="252" t="s">
        <v>35</v>
      </c>
      <c r="D119" s="254">
        <f>D104*D54</f>
        <v>1301416.9058492114</v>
      </c>
      <c r="E119" s="254">
        <f t="shared" ref="E119:O120" si="32">E104*E54</f>
        <v>1194963.7385548889</v>
      </c>
      <c r="F119" s="254">
        <f t="shared" si="32"/>
        <v>1251017.2771578447</v>
      </c>
      <c r="G119" s="254">
        <f t="shared" si="32"/>
        <v>1132343.763773333</v>
      </c>
      <c r="H119" s="254">
        <f t="shared" si="32"/>
        <v>1087745.0493041251</v>
      </c>
      <c r="I119" s="254">
        <f t="shared" si="32"/>
        <v>1066639.25</v>
      </c>
      <c r="J119" s="254">
        <f t="shared" si="32"/>
        <v>1034134.1400000001</v>
      </c>
      <c r="K119" s="254">
        <f t="shared" si="32"/>
        <v>1072055.8500000001</v>
      </c>
      <c r="L119" s="254">
        <f t="shared" si="32"/>
        <v>1024131.41</v>
      </c>
      <c r="M119" s="254">
        <f t="shared" si="32"/>
        <v>1222729.1471358335</v>
      </c>
      <c r="N119" s="254">
        <f t="shared" si="32"/>
        <v>1300484.5936755526</v>
      </c>
      <c r="O119" s="254">
        <f t="shared" si="32"/>
        <v>1439303.033623067</v>
      </c>
      <c r="P119" s="254">
        <f t="shared" ref="P119:P120" si="33">P104*P59</f>
        <v>51795567.623992518</v>
      </c>
      <c r="Q119" s="254"/>
    </row>
    <row r="120" spans="2:17" ht="15" x14ac:dyDescent="0.25">
      <c r="B120" s="251" t="s">
        <v>279</v>
      </c>
      <c r="C120" s="252" t="s">
        <v>37</v>
      </c>
      <c r="D120" s="254">
        <f>D105*D55</f>
        <v>2198870.4894236666</v>
      </c>
      <c r="E120" s="254">
        <f t="shared" si="32"/>
        <v>1974057.4302066669</v>
      </c>
      <c r="F120" s="254">
        <f t="shared" si="32"/>
        <v>2106626.4063617503</v>
      </c>
      <c r="G120" s="254">
        <f t="shared" si="32"/>
        <v>1850446.7921941665</v>
      </c>
      <c r="H120" s="254">
        <f t="shared" si="32"/>
        <v>1876813.9941726669</v>
      </c>
      <c r="I120" s="254">
        <f t="shared" si="32"/>
        <v>1751656.95412725</v>
      </c>
      <c r="J120" s="254">
        <f t="shared" si="32"/>
        <v>1682576.31</v>
      </c>
      <c r="K120" s="254">
        <f t="shared" si="32"/>
        <v>1684575.62</v>
      </c>
      <c r="L120" s="254">
        <f t="shared" si="32"/>
        <v>1685124.68</v>
      </c>
      <c r="M120" s="254">
        <f t="shared" si="32"/>
        <v>1968094.6530270835</v>
      </c>
      <c r="N120" s="254">
        <f t="shared" si="32"/>
        <v>2058514.6645334996</v>
      </c>
      <c r="O120" s="254">
        <f t="shared" si="32"/>
        <v>2218424.2909243335</v>
      </c>
      <c r="P120" s="254">
        <f t="shared" si="33"/>
        <v>580586517.53972638</v>
      </c>
      <c r="Q120" s="254"/>
    </row>
    <row r="121" spans="2:17" ht="15" x14ac:dyDescent="0.25">
      <c r="B121" s="251" t="s">
        <v>280</v>
      </c>
      <c r="C121" s="252" t="s">
        <v>41</v>
      </c>
      <c r="D121" s="254">
        <f>D106*D57</f>
        <v>2092826.2982450004</v>
      </c>
      <c r="E121" s="254">
        <f t="shared" ref="E121:O121" si="34">E106*E57</f>
        <v>1891699.7099916672</v>
      </c>
      <c r="F121" s="254">
        <f t="shared" si="34"/>
        <v>1861576.7366233342</v>
      </c>
      <c r="G121" s="254">
        <f t="shared" si="34"/>
        <v>1632569.7247583331</v>
      </c>
      <c r="H121" s="254">
        <f t="shared" si="34"/>
        <v>1411925.1257483335</v>
      </c>
      <c r="I121" s="254">
        <f t="shared" si="34"/>
        <v>1194259.85656</v>
      </c>
      <c r="J121" s="254">
        <f t="shared" si="34"/>
        <v>1014527.5199999999</v>
      </c>
      <c r="K121" s="254">
        <f t="shared" si="34"/>
        <v>1093444.0699999998</v>
      </c>
      <c r="L121" s="254">
        <f t="shared" si="34"/>
        <v>1127081.6299999999</v>
      </c>
      <c r="M121" s="254">
        <f t="shared" si="34"/>
        <v>1455063.3037500002</v>
      </c>
      <c r="N121" s="254">
        <f t="shared" si="34"/>
        <v>1649087.1713054159</v>
      </c>
      <c r="O121" s="254">
        <f t="shared" si="34"/>
        <v>2052132.9377191677</v>
      </c>
      <c r="P121" s="254">
        <f t="shared" si="31"/>
        <v>18476194.084701251</v>
      </c>
      <c r="Q121" s="254"/>
    </row>
    <row r="122" spans="2:17" ht="15" x14ac:dyDescent="0.25">
      <c r="B122" s="251" t="s">
        <v>269</v>
      </c>
      <c r="C122" s="251">
        <v>85</v>
      </c>
      <c r="D122" s="254">
        <f>D107*D44</f>
        <v>1839749.8763305556</v>
      </c>
      <c r="E122" s="254">
        <f t="shared" ref="E122:O126" si="35">E107*E44</f>
        <v>1507660.5215000003</v>
      </c>
      <c r="F122" s="254">
        <f t="shared" si="35"/>
        <v>1646563.0827701397</v>
      </c>
      <c r="G122" s="254">
        <f t="shared" si="35"/>
        <v>1280908.2924624993</v>
      </c>
      <c r="H122" s="254">
        <f t="shared" si="35"/>
        <v>1048501.8270722225</v>
      </c>
      <c r="I122" s="254">
        <f t="shared" si="35"/>
        <v>733125.50200000009</v>
      </c>
      <c r="J122" s="254">
        <f t="shared" si="35"/>
        <v>646476.62700000009</v>
      </c>
      <c r="K122" s="254">
        <f t="shared" si="35"/>
        <v>706237.19299999997</v>
      </c>
      <c r="L122" s="254">
        <f t="shared" si="35"/>
        <v>840775.34</v>
      </c>
      <c r="M122" s="254">
        <f t="shared" si="35"/>
        <v>1131534.6649000002</v>
      </c>
      <c r="N122" s="254">
        <f t="shared" si="35"/>
        <v>1481982.4054429992</v>
      </c>
      <c r="O122" s="254">
        <f t="shared" si="35"/>
        <v>1764961.4741706671</v>
      </c>
      <c r="P122" s="254">
        <f t="shared" si="31"/>
        <v>14628476.806649085</v>
      </c>
      <c r="Q122" s="254"/>
    </row>
    <row r="123" spans="2:17" ht="15" x14ac:dyDescent="0.25">
      <c r="B123" s="251" t="s">
        <v>270</v>
      </c>
      <c r="C123" s="251">
        <v>86</v>
      </c>
      <c r="D123" s="254">
        <f>D108*D45</f>
        <v>1319052.7538689002</v>
      </c>
      <c r="E123" s="254">
        <f t="shared" si="35"/>
        <v>1018602.2858354169</v>
      </c>
      <c r="F123" s="254">
        <f t="shared" si="35"/>
        <v>1112869.5374760008</v>
      </c>
      <c r="G123" s="254">
        <f t="shared" si="35"/>
        <v>874155.07589003257</v>
      </c>
      <c r="H123" s="254">
        <f>H108*H45</f>
        <v>623047.03973361978</v>
      </c>
      <c r="I123" s="254">
        <f t="shared" si="35"/>
        <v>347050.52224332502</v>
      </c>
      <c r="J123" s="254">
        <f t="shared" si="35"/>
        <v>213503.913</v>
      </c>
      <c r="K123" s="254">
        <f t="shared" si="35"/>
        <v>207293.03100000002</v>
      </c>
      <c r="L123" s="254">
        <f t="shared" si="35"/>
        <v>363533.13546474959</v>
      </c>
      <c r="M123" s="254">
        <f t="shared" si="35"/>
        <v>693642.17897638911</v>
      </c>
      <c r="N123" s="254">
        <f t="shared" si="35"/>
        <v>1028232.2428253535</v>
      </c>
      <c r="O123" s="254">
        <f t="shared" si="35"/>
        <v>1260694.7837479922</v>
      </c>
      <c r="P123" s="254">
        <f t="shared" si="31"/>
        <v>9061676.5000617784</v>
      </c>
      <c r="Q123" s="254"/>
    </row>
    <row r="124" spans="2:17" ht="15" x14ac:dyDescent="0.25">
      <c r="B124" s="251" t="s">
        <v>291</v>
      </c>
      <c r="C124" s="251">
        <v>87</v>
      </c>
      <c r="D124" s="254">
        <f>D109*D46</f>
        <v>2660893.212047223</v>
      </c>
      <c r="E124" s="254">
        <f t="shared" si="35"/>
        <v>2419309.425166667</v>
      </c>
      <c r="F124" s="254">
        <f t="shared" si="35"/>
        <v>2435102.1989916675</v>
      </c>
      <c r="G124" s="254">
        <f t="shared" si="35"/>
        <v>2110374.4265055545</v>
      </c>
      <c r="H124" s="254">
        <f t="shared" si="35"/>
        <v>1635960.537927778</v>
      </c>
      <c r="I124" s="254">
        <f t="shared" si="35"/>
        <v>1430551.095</v>
      </c>
      <c r="J124" s="254">
        <f t="shared" si="35"/>
        <v>1280281.31</v>
      </c>
      <c r="K124" s="254">
        <f t="shared" si="35"/>
        <v>1275025.321</v>
      </c>
      <c r="L124" s="254">
        <f t="shared" si="35"/>
        <v>1372715.9339999999</v>
      </c>
      <c r="M124" s="254">
        <f t="shared" si="35"/>
        <v>1773542.1690833336</v>
      </c>
      <c r="N124" s="254">
        <f t="shared" si="35"/>
        <v>2273957.288782638</v>
      </c>
      <c r="O124" s="254">
        <f t="shared" si="35"/>
        <v>2752076.5489958343</v>
      </c>
      <c r="P124" s="254">
        <f t="shared" si="31"/>
        <v>23419789.467500698</v>
      </c>
      <c r="Q124" s="254"/>
    </row>
    <row r="125" spans="2:17" ht="15" x14ac:dyDescent="0.25">
      <c r="B125" s="251" t="s">
        <v>272</v>
      </c>
      <c r="C125" s="251">
        <v>31</v>
      </c>
      <c r="D125" s="254">
        <f>D110*D47</f>
        <v>2182526.7770308005</v>
      </c>
      <c r="E125" s="254">
        <f t="shared" si="35"/>
        <v>1762705.1603846669</v>
      </c>
      <c r="F125" s="254">
        <f t="shared" si="35"/>
        <v>1689332.270067157</v>
      </c>
      <c r="G125" s="254">
        <f t="shared" si="35"/>
        <v>1108973.0441113326</v>
      </c>
      <c r="H125" s="254">
        <f t="shared" si="35"/>
        <v>690530.86233634467</v>
      </c>
      <c r="I125" s="254">
        <f t="shared" si="35"/>
        <v>452543.97374187497</v>
      </c>
      <c r="J125" s="254">
        <f t="shared" si="35"/>
        <v>369763.20400000003</v>
      </c>
      <c r="K125" s="254">
        <f t="shared" si="35"/>
        <v>382878.80199999997</v>
      </c>
      <c r="L125" s="254">
        <f t="shared" si="35"/>
        <v>551244.37834812456</v>
      </c>
      <c r="M125" s="254">
        <f t="shared" si="35"/>
        <v>973265.55754812527</v>
      </c>
      <c r="N125" s="254">
        <f t="shared" si="35"/>
        <v>1630391.2912647696</v>
      </c>
      <c r="O125" s="254">
        <f t="shared" si="35"/>
        <v>2065637.3238146012</v>
      </c>
      <c r="P125" s="254">
        <f t="shared" si="31"/>
        <v>13859792.644647796</v>
      </c>
      <c r="Q125" s="254"/>
    </row>
    <row r="126" spans="2:17" ht="15" x14ac:dyDescent="0.25">
      <c r="B126" s="251" t="s">
        <v>273</v>
      </c>
      <c r="C126" s="251">
        <v>41</v>
      </c>
      <c r="D126" s="254">
        <f>D111*D48</f>
        <v>979284.10775381129</v>
      </c>
      <c r="E126" s="254">
        <f t="shared" si="35"/>
        <v>886030.34358730563</v>
      </c>
      <c r="F126" s="254">
        <f t="shared" si="35"/>
        <v>920548.96862965578</v>
      </c>
      <c r="G126" s="254">
        <f t="shared" si="35"/>
        <v>819636.62209840002</v>
      </c>
      <c r="H126" s="254">
        <f t="shared" si="35"/>
        <v>727202.17770644999</v>
      </c>
      <c r="I126" s="254">
        <f t="shared" si="35"/>
        <v>670894.69999999995</v>
      </c>
      <c r="J126" s="254">
        <f t="shared" si="35"/>
        <v>638238.12899999996</v>
      </c>
      <c r="K126" s="254">
        <f t="shared" si="35"/>
        <v>644626.09299999999</v>
      </c>
      <c r="L126" s="254">
        <f t="shared" si="35"/>
        <v>662632.26500000001</v>
      </c>
      <c r="M126" s="254">
        <f t="shared" si="35"/>
        <v>802000.01692131953</v>
      </c>
      <c r="N126" s="254">
        <f t="shared" si="35"/>
        <v>903823.67652169219</v>
      </c>
      <c r="O126" s="254">
        <f t="shared" si="35"/>
        <v>926722.81887720013</v>
      </c>
      <c r="P126" s="254">
        <f>SUM(D126:O126)</f>
        <v>9581639.9190958347</v>
      </c>
      <c r="Q126" s="254"/>
    </row>
    <row r="127" spans="2:17" ht="15" x14ac:dyDescent="0.25">
      <c r="B127" s="251" t="s">
        <v>414</v>
      </c>
      <c r="C127" s="252" t="s">
        <v>33</v>
      </c>
      <c r="D127" s="254">
        <f t="shared" ref="D127:O127" si="36">D112*D58</f>
        <v>2627.7025658500002</v>
      </c>
      <c r="E127" s="254">
        <f t="shared" si="36"/>
        <v>3852.4195264166669</v>
      </c>
      <c r="F127" s="254">
        <f t="shared" si="36"/>
        <v>2824.0958210777785</v>
      </c>
      <c r="G127" s="254">
        <f t="shared" si="36"/>
        <v>2000.072557733333</v>
      </c>
      <c r="H127" s="254">
        <f t="shared" si="36"/>
        <v>653.12450639444455</v>
      </c>
      <c r="I127" s="254">
        <f t="shared" si="36"/>
        <v>37.518627625000008</v>
      </c>
      <c r="J127" s="254">
        <f t="shared" si="36"/>
        <v>0</v>
      </c>
      <c r="K127" s="254">
        <f t="shared" si="36"/>
        <v>0</v>
      </c>
      <c r="L127" s="254">
        <f t="shared" si="36"/>
        <v>0</v>
      </c>
      <c r="M127" s="254">
        <f t="shared" si="36"/>
        <v>0</v>
      </c>
      <c r="N127" s="254">
        <f t="shared" si="36"/>
        <v>0</v>
      </c>
      <c r="O127" s="254">
        <f t="shared" si="36"/>
        <v>0</v>
      </c>
      <c r="P127" s="254">
        <f>SUM(D127:O127)</f>
        <v>11994.933605097223</v>
      </c>
      <c r="Q127" s="254"/>
    </row>
    <row r="128" spans="2:17" s="270" customFormat="1" ht="15" x14ac:dyDescent="0.25">
      <c r="B128" s="257" t="s">
        <v>285</v>
      </c>
      <c r="C128" s="258" t="s">
        <v>259</v>
      </c>
      <c r="D128" s="261">
        <f>D113*D63</f>
        <v>4378598.3768111113</v>
      </c>
      <c r="E128" s="261">
        <f t="shared" ref="E128:O128" si="37">E113*E63</f>
        <v>3924099.8895694446</v>
      </c>
      <c r="F128" s="261">
        <f t="shared" si="37"/>
        <v>3817550.4852888915</v>
      </c>
      <c r="G128" s="261">
        <f t="shared" si="37"/>
        <v>3253044.1033999976</v>
      </c>
      <c r="H128" s="261">
        <f t="shared" si="37"/>
        <v>2670203.1353472224</v>
      </c>
      <c r="I128" s="261">
        <f t="shared" si="37"/>
        <v>2228392.6518999999</v>
      </c>
      <c r="J128" s="261">
        <f t="shared" si="37"/>
        <v>1816114.2500000002</v>
      </c>
      <c r="K128" s="261">
        <f t="shared" si="37"/>
        <v>1897095.87</v>
      </c>
      <c r="L128" s="261">
        <f t="shared" si="37"/>
        <v>2199417.4328986104</v>
      </c>
      <c r="M128" s="261">
        <f t="shared" si="37"/>
        <v>2955764.0604166668</v>
      </c>
      <c r="N128" s="261">
        <f t="shared" si="37"/>
        <v>3636127.8566291649</v>
      </c>
      <c r="O128" s="261">
        <f t="shared" si="37"/>
        <v>4280019.7421527794</v>
      </c>
      <c r="P128" s="260">
        <f t="shared" si="31"/>
        <v>37056427.854413889</v>
      </c>
      <c r="Q128" s="261"/>
    </row>
    <row r="129" spans="2:17" ht="15" x14ac:dyDescent="0.25">
      <c r="B129" s="251" t="s">
        <v>300</v>
      </c>
      <c r="C129" s="252"/>
      <c r="D129" s="262">
        <f t="shared" ref="D129:O129" si="38">SUM(D116:D128)</f>
        <v>152663555.96827939</v>
      </c>
      <c r="E129" s="262">
        <f t="shared" si="38"/>
        <v>123322945.28738081</v>
      </c>
      <c r="F129" s="262">
        <f t="shared" si="38"/>
        <v>124410110.60110621</v>
      </c>
      <c r="G129" s="262">
        <f t="shared" si="38"/>
        <v>87293117.336589649</v>
      </c>
      <c r="H129" s="262">
        <f t="shared" si="38"/>
        <v>59295126.925988711</v>
      </c>
      <c r="I129" s="262">
        <f t="shared" si="38"/>
        <v>40844842.009618483</v>
      </c>
      <c r="J129" s="262">
        <f t="shared" si="38"/>
        <v>32176190.137999997</v>
      </c>
      <c r="K129" s="262">
        <f t="shared" si="38"/>
        <v>32344588.977000002</v>
      </c>
      <c r="L129" s="262">
        <f t="shared" si="38"/>
        <v>44015343.128673971</v>
      </c>
      <c r="M129" s="262">
        <f t="shared" si="38"/>
        <v>77022493.693141609</v>
      </c>
      <c r="N129" s="262">
        <f t="shared" si="38"/>
        <v>121729060.14188844</v>
      </c>
      <c r="O129" s="262">
        <f t="shared" si="38"/>
        <v>151389910.70940226</v>
      </c>
      <c r="P129" s="254">
        <f t="shared" si="31"/>
        <v>1046507284.9170697</v>
      </c>
      <c r="Q129" s="261"/>
    </row>
    <row r="130" spans="2:17" ht="15" x14ac:dyDescent="0.25">
      <c r="B130" s="251"/>
      <c r="C130" s="251"/>
      <c r="D130" s="251"/>
      <c r="E130" s="251"/>
      <c r="F130" s="251"/>
      <c r="G130" s="251"/>
      <c r="H130" s="251"/>
      <c r="I130" s="251"/>
      <c r="J130" s="251"/>
      <c r="K130" s="251"/>
      <c r="L130" s="251"/>
      <c r="M130" s="251"/>
      <c r="N130" s="251"/>
      <c r="O130" s="251"/>
      <c r="P130" s="251"/>
      <c r="Q130" s="254"/>
    </row>
    <row r="131" spans="2:17" s="251" customFormat="1" x14ac:dyDescent="0.2">
      <c r="B131" s="263" t="s">
        <v>301</v>
      </c>
      <c r="D131" s="254"/>
      <c r="E131" s="254"/>
      <c r="F131" s="254"/>
      <c r="G131" s="254"/>
      <c r="H131" s="254"/>
      <c r="I131" s="254"/>
      <c r="J131" s="254"/>
      <c r="K131" s="254"/>
      <c r="L131" s="254"/>
      <c r="M131" s="254"/>
      <c r="N131" s="254"/>
      <c r="O131" s="254"/>
      <c r="P131" s="254"/>
      <c r="Q131" s="254"/>
    </row>
    <row r="132" spans="2:17" s="251" customFormat="1" x14ac:dyDescent="0.2">
      <c r="B132" s="242" t="s">
        <v>7</v>
      </c>
      <c r="C132" s="252">
        <v>23</v>
      </c>
      <c r="D132" s="254">
        <f>D116-D9</f>
        <v>10349646.235481814</v>
      </c>
      <c r="E132" s="254">
        <f t="shared" ref="E132:O132" si="39">E116-E9</f>
        <v>-5801929.3138459772</v>
      </c>
      <c r="F132" s="254">
        <f t="shared" si="39"/>
        <v>302564.95149619877</v>
      </c>
      <c r="G132" s="254">
        <f t="shared" si="39"/>
        <v>2336261.0261973441</v>
      </c>
      <c r="H132" s="254">
        <f t="shared" si="39"/>
        <v>7375270.5608480126</v>
      </c>
      <c r="I132" s="254">
        <f t="shared" si="39"/>
        <v>1432745.9976984002</v>
      </c>
      <c r="J132" s="254">
        <f t="shared" si="39"/>
        <v>0</v>
      </c>
      <c r="K132" s="254">
        <f t="shared" si="39"/>
        <v>0</v>
      </c>
      <c r="L132" s="254">
        <f t="shared" si="39"/>
        <v>951119.69252365083</v>
      </c>
      <c r="M132" s="254">
        <f t="shared" si="39"/>
        <v>1573508.5299375206</v>
      </c>
      <c r="N132" s="254">
        <f t="shared" si="39"/>
        <v>9164163.6516591534</v>
      </c>
      <c r="O132" s="254">
        <f t="shared" si="39"/>
        <v>10309603.432586104</v>
      </c>
      <c r="P132" s="254">
        <f>SUM(D132:O132)</f>
        <v>37992954.764582217</v>
      </c>
      <c r="Q132" s="254"/>
    </row>
    <row r="133" spans="2:17" s="251" customFormat="1" x14ac:dyDescent="0.2">
      <c r="B133" s="251" t="s">
        <v>267</v>
      </c>
      <c r="C133" s="256">
        <v>31</v>
      </c>
      <c r="D133" s="254">
        <f>D117-D11</f>
        <v>2725526.7334442846</v>
      </c>
      <c r="E133" s="254">
        <f t="shared" ref="E133:O134" si="40">E117-E11</f>
        <v>-1461243.7829480246</v>
      </c>
      <c r="F133" s="254">
        <f t="shared" si="40"/>
        <v>75908.50943941623</v>
      </c>
      <c r="G133" s="254">
        <f t="shared" si="40"/>
        <v>524494.81463926658</v>
      </c>
      <c r="H133" s="254">
        <f t="shared" si="40"/>
        <v>1385955.62272273</v>
      </c>
      <c r="I133" s="254">
        <f t="shared" si="40"/>
        <v>0</v>
      </c>
      <c r="J133" s="254">
        <f t="shared" si="40"/>
        <v>0</v>
      </c>
      <c r="K133" s="254">
        <f t="shared" si="40"/>
        <v>0</v>
      </c>
      <c r="L133" s="254">
        <f t="shared" si="40"/>
        <v>0</v>
      </c>
      <c r="M133" s="254">
        <f t="shared" si="40"/>
        <v>306235.24062125199</v>
      </c>
      <c r="N133" s="254">
        <f t="shared" si="40"/>
        <v>2162151.0587795377</v>
      </c>
      <c r="O133" s="254">
        <f t="shared" si="40"/>
        <v>2675575.3774901517</v>
      </c>
      <c r="P133" s="254">
        <f t="shared" ref="P133:P145" si="41">SUM(D133:O133)</f>
        <v>8394603.5741886143</v>
      </c>
      <c r="Q133" s="254"/>
    </row>
    <row r="134" spans="2:17" s="251" customFormat="1" x14ac:dyDescent="0.2">
      <c r="B134" s="251" t="s">
        <v>268</v>
      </c>
      <c r="C134" s="251">
        <v>41</v>
      </c>
      <c r="D134" s="254">
        <f>D118-D12</f>
        <v>538828.02042714506</v>
      </c>
      <c r="E134" s="254">
        <f t="shared" si="40"/>
        <v>-292406.89414833207</v>
      </c>
      <c r="F134" s="254">
        <f t="shared" si="40"/>
        <v>17234.839983078651</v>
      </c>
      <c r="G134" s="254">
        <f t="shared" si="40"/>
        <v>133095.68600166403</v>
      </c>
      <c r="H134" s="254">
        <f t="shared" si="40"/>
        <v>493546.36856280081</v>
      </c>
      <c r="I134" s="254">
        <f t="shared" si="40"/>
        <v>114406.8587199999</v>
      </c>
      <c r="J134" s="254">
        <f t="shared" si="40"/>
        <v>0</v>
      </c>
      <c r="K134" s="254">
        <f t="shared" si="40"/>
        <v>0</v>
      </c>
      <c r="L134" s="254">
        <f t="shared" si="40"/>
        <v>46635.095438831951</v>
      </c>
      <c r="M134" s="254">
        <f t="shared" si="40"/>
        <v>81014.135824098252</v>
      </c>
      <c r="N134" s="254">
        <f t="shared" si="40"/>
        <v>444035.76746865362</v>
      </c>
      <c r="O134" s="254">
        <f t="shared" si="40"/>
        <v>506314.24230037536</v>
      </c>
      <c r="P134" s="254">
        <f t="shared" si="41"/>
        <v>2082704.1205783156</v>
      </c>
      <c r="Q134" s="254"/>
    </row>
    <row r="135" spans="2:17" s="251" customFormat="1" x14ac:dyDescent="0.2">
      <c r="B135" s="242" t="s">
        <v>278</v>
      </c>
      <c r="C135" s="256" t="s">
        <v>35</v>
      </c>
      <c r="D135" s="254">
        <f>D119-D23</f>
        <v>45444.515849211253</v>
      </c>
      <c r="E135" s="254">
        <f t="shared" ref="E135:O137" si="42">E119-E23</f>
        <v>-24527.271445111139</v>
      </c>
      <c r="F135" s="254">
        <f t="shared" si="42"/>
        <v>1641.4171578448731</v>
      </c>
      <c r="G135" s="254">
        <f t="shared" si="42"/>
        <v>11023.833773333114</v>
      </c>
      <c r="H135" s="254">
        <f t="shared" si="42"/>
        <v>31592.199304125039</v>
      </c>
      <c r="I135" s="254">
        <f t="shared" si="42"/>
        <v>0</v>
      </c>
      <c r="J135" s="254">
        <f t="shared" si="42"/>
        <v>0</v>
      </c>
      <c r="K135" s="254">
        <f t="shared" si="42"/>
        <v>0</v>
      </c>
      <c r="L135" s="254">
        <f t="shared" si="42"/>
        <v>0</v>
      </c>
      <c r="M135" s="254">
        <f t="shared" si="42"/>
        <v>8100.6771358335391</v>
      </c>
      <c r="N135" s="254">
        <f t="shared" si="42"/>
        <v>37597.343675552635</v>
      </c>
      <c r="O135" s="254">
        <f t="shared" si="42"/>
        <v>46422.523623066954</v>
      </c>
      <c r="P135" s="254">
        <f t="shared" si="41"/>
        <v>157295.23907385627</v>
      </c>
      <c r="Q135" s="254"/>
    </row>
    <row r="136" spans="2:17" s="251" customFormat="1" x14ac:dyDescent="0.2">
      <c r="B136" s="242" t="s">
        <v>279</v>
      </c>
      <c r="C136" s="256" t="s">
        <v>37</v>
      </c>
      <c r="D136" s="254">
        <f>D120-D24</f>
        <v>80658.56942366669</v>
      </c>
      <c r="E136" s="254">
        <f t="shared" si="42"/>
        <v>-31232.019793333253</v>
      </c>
      <c r="F136" s="254">
        <f t="shared" si="42"/>
        <v>2425.8263617502525</v>
      </c>
      <c r="G136" s="254">
        <f t="shared" si="42"/>
        <v>18404.69219416636</v>
      </c>
      <c r="H136" s="254">
        <f t="shared" si="42"/>
        <v>75780.874172666809</v>
      </c>
      <c r="I136" s="254">
        <f t="shared" si="42"/>
        <v>19482.604127250146</v>
      </c>
      <c r="J136" s="254">
        <f t="shared" si="42"/>
        <v>0</v>
      </c>
      <c r="K136" s="254">
        <f t="shared" si="42"/>
        <v>0</v>
      </c>
      <c r="L136" s="254">
        <f t="shared" si="42"/>
        <v>0</v>
      </c>
      <c r="M136" s="254">
        <f t="shared" si="42"/>
        <v>12595.853027083445</v>
      </c>
      <c r="N136" s="254">
        <f t="shared" si="42"/>
        <v>61033.104533499805</v>
      </c>
      <c r="O136" s="254">
        <f t="shared" si="42"/>
        <v>78314.570924333762</v>
      </c>
      <c r="P136" s="254">
        <f t="shared" si="41"/>
        <v>317464.07497108402</v>
      </c>
      <c r="Q136" s="254"/>
    </row>
    <row r="137" spans="2:17" s="251" customFormat="1" x14ac:dyDescent="0.2">
      <c r="B137" s="242" t="s">
        <v>280</v>
      </c>
      <c r="C137" s="256" t="s">
        <v>41</v>
      </c>
      <c r="D137" s="254">
        <f>D121-D25</f>
        <v>141366.42824500031</v>
      </c>
      <c r="E137" s="254">
        <f t="shared" si="42"/>
        <v>-69394.240008332999</v>
      </c>
      <c r="F137" s="254">
        <f t="shared" si="42"/>
        <v>4134.0866233343259</v>
      </c>
      <c r="G137" s="254">
        <f t="shared" si="42"/>
        <v>32708.84475833294</v>
      </c>
      <c r="H137" s="254">
        <f t="shared" si="42"/>
        <v>133235.27574833366</v>
      </c>
      <c r="I137" s="254">
        <f t="shared" si="42"/>
        <v>26218.906560000032</v>
      </c>
      <c r="J137" s="254">
        <f t="shared" si="42"/>
        <v>0</v>
      </c>
      <c r="K137" s="254">
        <f t="shared" si="42"/>
        <v>0</v>
      </c>
      <c r="L137" s="254">
        <f t="shared" si="42"/>
        <v>0</v>
      </c>
      <c r="M137" s="254">
        <f t="shared" si="42"/>
        <v>17235.053750000196</v>
      </c>
      <c r="N137" s="254">
        <f t="shared" si="42"/>
        <v>109398.38130541588</v>
      </c>
      <c r="O137" s="254">
        <f t="shared" si="42"/>
        <v>138715.4677191677</v>
      </c>
      <c r="P137" s="254">
        <f t="shared" si="41"/>
        <v>533618.20470125205</v>
      </c>
      <c r="Q137" s="254"/>
    </row>
    <row r="138" spans="2:17" s="251" customFormat="1" x14ac:dyDescent="0.2">
      <c r="B138" s="251" t="s">
        <v>269</v>
      </c>
      <c r="C138" s="251">
        <v>85</v>
      </c>
      <c r="D138" s="254">
        <f>D122-D14</f>
        <v>129233.93733055564</v>
      </c>
      <c r="E138" s="254">
        <f t="shared" ref="E138:O142" si="43">E122-E14</f>
        <v>-72076.016499999911</v>
      </c>
      <c r="F138" s="254">
        <f t="shared" si="43"/>
        <v>4303.9467701397371</v>
      </c>
      <c r="G138" s="254">
        <f t="shared" si="43"/>
        <v>37253.156462499406</v>
      </c>
      <c r="H138" s="254">
        <f t="shared" si="43"/>
        <v>128266.94107222243</v>
      </c>
      <c r="I138" s="254">
        <f t="shared" si="43"/>
        <v>0</v>
      </c>
      <c r="J138" s="254">
        <f t="shared" si="43"/>
        <v>0</v>
      </c>
      <c r="K138" s="254">
        <f t="shared" si="43"/>
        <v>0</v>
      </c>
      <c r="L138" s="254">
        <f t="shared" si="43"/>
        <v>0</v>
      </c>
      <c r="M138" s="254">
        <f t="shared" si="43"/>
        <v>19917.62490000017</v>
      </c>
      <c r="N138" s="254">
        <f t="shared" si="43"/>
        <v>102330.50444299914</v>
      </c>
      <c r="O138" s="254">
        <f t="shared" si="43"/>
        <v>116741.91817066725</v>
      </c>
      <c r="P138" s="254">
        <f t="shared" si="41"/>
        <v>465972.01264908386</v>
      </c>
      <c r="Q138" s="254"/>
    </row>
    <row r="139" spans="2:17" s="251" customFormat="1" x14ac:dyDescent="0.2">
      <c r="B139" s="251" t="s">
        <v>270</v>
      </c>
      <c r="C139" s="251">
        <v>86</v>
      </c>
      <c r="D139" s="254">
        <f>D123-D15</f>
        <v>132309.34486890025</v>
      </c>
      <c r="E139" s="254">
        <f t="shared" si="43"/>
        <v>-78143.672164583229</v>
      </c>
      <c r="F139" s="254">
        <f t="shared" si="43"/>
        <v>4525.6234760009684</v>
      </c>
      <c r="G139" s="254">
        <f t="shared" si="43"/>
        <v>38802.506890032557</v>
      </c>
      <c r="H139" s="254">
        <f t="shared" si="43"/>
        <v>149640.25573361979</v>
      </c>
      <c r="I139" s="254">
        <f t="shared" si="43"/>
        <v>33843.728243325022</v>
      </c>
      <c r="J139" s="254">
        <f t="shared" si="43"/>
        <v>0</v>
      </c>
      <c r="K139" s="254">
        <f t="shared" si="43"/>
        <v>0</v>
      </c>
      <c r="L139" s="254">
        <f t="shared" si="43"/>
        <v>16896.649464749557</v>
      </c>
      <c r="M139" s="254">
        <f t="shared" si="43"/>
        <v>24013.98897638917</v>
      </c>
      <c r="N139" s="254">
        <f t="shared" si="43"/>
        <v>116589.30882535351</v>
      </c>
      <c r="O139" s="254">
        <f t="shared" si="43"/>
        <v>120442.8017479924</v>
      </c>
      <c r="P139" s="254">
        <f t="shared" si="41"/>
        <v>558920.53606178006</v>
      </c>
      <c r="Q139" s="254"/>
    </row>
    <row r="140" spans="2:17" s="251" customFormat="1" x14ac:dyDescent="0.2">
      <c r="B140" s="251" t="s">
        <v>291</v>
      </c>
      <c r="C140" s="251">
        <v>87</v>
      </c>
      <c r="D140" s="254">
        <f>D124-D16</f>
        <v>172819.80504722288</v>
      </c>
      <c r="E140" s="254">
        <f t="shared" si="43"/>
        <v>-86736.336833333131</v>
      </c>
      <c r="F140" s="254">
        <f t="shared" si="43"/>
        <v>5157.8219916676171</v>
      </c>
      <c r="G140" s="254">
        <f t="shared" si="43"/>
        <v>44123.510505554499</v>
      </c>
      <c r="H140" s="254">
        <f t="shared" si="43"/>
        <v>150250.33592777792</v>
      </c>
      <c r="I140" s="254">
        <f t="shared" si="43"/>
        <v>0</v>
      </c>
      <c r="J140" s="254">
        <f t="shared" si="43"/>
        <v>0</v>
      </c>
      <c r="K140" s="254">
        <f t="shared" si="43"/>
        <v>0</v>
      </c>
      <c r="L140" s="254">
        <f t="shared" si="43"/>
        <v>0</v>
      </c>
      <c r="M140" s="254">
        <f t="shared" si="43"/>
        <v>25771.277083333582</v>
      </c>
      <c r="N140" s="254">
        <f t="shared" si="43"/>
        <v>140515.02678263793</v>
      </c>
      <c r="O140" s="254">
        <f t="shared" si="43"/>
        <v>166581.36799583444</v>
      </c>
      <c r="P140" s="254">
        <f t="shared" si="41"/>
        <v>618482.80850069574</v>
      </c>
      <c r="Q140" s="254"/>
    </row>
    <row r="141" spans="2:17" s="251" customFormat="1" x14ac:dyDescent="0.2">
      <c r="B141" s="251" t="s">
        <v>272</v>
      </c>
      <c r="C141" s="251">
        <v>31</v>
      </c>
      <c r="D141" s="254">
        <f>D125-D17</f>
        <v>217679.60803080047</v>
      </c>
      <c r="E141" s="254">
        <f t="shared" si="43"/>
        <v>-120403.94461533311</v>
      </c>
      <c r="F141" s="254">
        <f t="shared" si="43"/>
        <v>6206.1090671569109</v>
      </c>
      <c r="G141" s="254">
        <f t="shared" si="43"/>
        <v>43603.642111332621</v>
      </c>
      <c r="H141" s="254">
        <f t="shared" si="43"/>
        <v>128274.92333634465</v>
      </c>
      <c r="I141" s="254">
        <f t="shared" si="43"/>
        <v>22525.732741874992</v>
      </c>
      <c r="J141" s="254">
        <f t="shared" si="43"/>
        <v>0</v>
      </c>
      <c r="K141" s="254">
        <f t="shared" si="43"/>
        <v>0</v>
      </c>
      <c r="L141" s="254">
        <f t="shared" si="43"/>
        <v>16234.424348124536</v>
      </c>
      <c r="M141" s="254">
        <f t="shared" si="43"/>
        <v>27160.521548125311</v>
      </c>
      <c r="N141" s="254">
        <f t="shared" si="43"/>
        <v>169492.18826476973</v>
      </c>
      <c r="O141" s="254">
        <f t="shared" si="43"/>
        <v>206750.8518146011</v>
      </c>
      <c r="P141" s="254">
        <f t="shared" si="41"/>
        <v>717524.05664779723</v>
      </c>
      <c r="Q141" s="254"/>
    </row>
    <row r="142" spans="2:17" s="251" customFormat="1" x14ac:dyDescent="0.2">
      <c r="B142" s="251" t="s">
        <v>273</v>
      </c>
      <c r="C142" s="251">
        <v>41</v>
      </c>
      <c r="D142" s="254">
        <f>D126-D18</f>
        <v>32848.186753811315</v>
      </c>
      <c r="E142" s="254">
        <f t="shared" si="43"/>
        <v>-15047.679412694415</v>
      </c>
      <c r="F142" s="254">
        <f t="shared" si="43"/>
        <v>1294.3416296557989</v>
      </c>
      <c r="G142" s="254">
        <f t="shared" si="43"/>
        <v>8190.5620983999688</v>
      </c>
      <c r="H142" s="254">
        <f t="shared" si="43"/>
        <v>27078.713706450071</v>
      </c>
      <c r="I142" s="254">
        <f t="shared" si="43"/>
        <v>0</v>
      </c>
      <c r="J142" s="254">
        <f t="shared" si="43"/>
        <v>0</v>
      </c>
      <c r="K142" s="254">
        <f t="shared" si="43"/>
        <v>0</v>
      </c>
      <c r="L142" s="254">
        <f t="shared" si="43"/>
        <v>0</v>
      </c>
      <c r="M142" s="254">
        <f t="shared" si="43"/>
        <v>6819.2279213195434</v>
      </c>
      <c r="N142" s="254">
        <f t="shared" si="43"/>
        <v>27064.753521692241</v>
      </c>
      <c r="O142" s="254">
        <f t="shared" si="43"/>
        <v>28593.592877200106</v>
      </c>
      <c r="P142" s="254">
        <f t="shared" si="41"/>
        <v>116841.69909583463</v>
      </c>
      <c r="Q142" s="254"/>
    </row>
    <row r="143" spans="2:17" s="251" customFormat="1" x14ac:dyDescent="0.2">
      <c r="B143" s="251" t="s">
        <v>414</v>
      </c>
      <c r="C143" s="252" t="s">
        <v>33</v>
      </c>
      <c r="D143" s="254">
        <f t="shared" ref="D143:O143" si="44">D127-D26</f>
        <v>96.832565850000265</v>
      </c>
      <c r="E143" s="254">
        <f t="shared" si="44"/>
        <v>-53.560473583333078</v>
      </c>
      <c r="F143" s="254">
        <f t="shared" si="44"/>
        <v>2.7558210777783643</v>
      </c>
      <c r="G143" s="254">
        <f t="shared" si="44"/>
        <v>19.422557733332951</v>
      </c>
      <c r="H143" s="254">
        <f t="shared" si="44"/>
        <v>57.214506394444584</v>
      </c>
      <c r="I143" s="254">
        <f t="shared" si="44"/>
        <v>10.078627625000006</v>
      </c>
      <c r="J143" s="254">
        <f t="shared" si="44"/>
        <v>0</v>
      </c>
      <c r="K143" s="254">
        <f t="shared" si="44"/>
        <v>0</v>
      </c>
      <c r="L143" s="254">
        <f t="shared" si="44"/>
        <v>0</v>
      </c>
      <c r="M143" s="254">
        <f t="shared" si="44"/>
        <v>0</v>
      </c>
      <c r="N143" s="254">
        <f t="shared" si="44"/>
        <v>0</v>
      </c>
      <c r="O143" s="254">
        <f t="shared" si="44"/>
        <v>0</v>
      </c>
      <c r="P143" s="254">
        <f t="shared" si="41"/>
        <v>132.74360509722308</v>
      </c>
      <c r="Q143" s="254"/>
    </row>
    <row r="144" spans="2:17" s="257" customFormat="1" ht="15" x14ac:dyDescent="0.25">
      <c r="B144" s="257" t="s">
        <v>285</v>
      </c>
      <c r="C144" s="258" t="s">
        <v>259</v>
      </c>
      <c r="D144" s="261">
        <f t="shared" ref="D144:O144" si="45">D128-D31</f>
        <v>346170.63681111159</v>
      </c>
      <c r="E144" s="261">
        <f t="shared" si="45"/>
        <v>-190798.38043055497</v>
      </c>
      <c r="F144" s="261">
        <f t="shared" si="45"/>
        <v>11139.555288891308</v>
      </c>
      <c r="G144" s="261">
        <f t="shared" si="45"/>
        <v>96675.693399997894</v>
      </c>
      <c r="H144" s="261">
        <f t="shared" si="45"/>
        <v>352801.09534722241</v>
      </c>
      <c r="I144" s="261">
        <f t="shared" si="45"/>
        <v>91507.601900000125</v>
      </c>
      <c r="J144" s="261">
        <f t="shared" si="45"/>
        <v>0</v>
      </c>
      <c r="K144" s="261">
        <f t="shared" si="45"/>
        <v>0</v>
      </c>
      <c r="L144" s="261">
        <f t="shared" si="45"/>
        <v>38491.482898610178</v>
      </c>
      <c r="M144" s="261">
        <f t="shared" si="45"/>
        <v>59848.250416667201</v>
      </c>
      <c r="N144" s="261">
        <f t="shared" si="45"/>
        <v>295126.66662916495</v>
      </c>
      <c r="O144" s="261">
        <f t="shared" si="45"/>
        <v>307047.50215277961</v>
      </c>
      <c r="P144" s="260">
        <f t="shared" si="41"/>
        <v>1408010.1044138903</v>
      </c>
      <c r="Q144" s="261"/>
    </row>
    <row r="145" spans="2:18" s="251" customFormat="1" x14ac:dyDescent="0.2">
      <c r="B145" s="251" t="s">
        <v>302</v>
      </c>
      <c r="C145" s="252"/>
      <c r="D145" s="262">
        <f t="shared" ref="D145:O145" si="46">SUM(D132:D144)</f>
        <v>14912628.854279371</v>
      </c>
      <c r="E145" s="262">
        <f t="shared" si="46"/>
        <v>-8243993.1126191942</v>
      </c>
      <c r="F145" s="262">
        <f t="shared" si="46"/>
        <v>436539.78510621324</v>
      </c>
      <c r="G145" s="262">
        <f t="shared" si="46"/>
        <v>3324657.3915896574</v>
      </c>
      <c r="H145" s="262">
        <f t="shared" si="46"/>
        <v>10431750.380988698</v>
      </c>
      <c r="I145" s="262">
        <f t="shared" si="46"/>
        <v>1740741.5086184754</v>
      </c>
      <c r="J145" s="262">
        <f t="shared" si="46"/>
        <v>0</v>
      </c>
      <c r="K145" s="262">
        <f t="shared" si="46"/>
        <v>0</v>
      </c>
      <c r="L145" s="262">
        <f t="shared" si="46"/>
        <v>1069377.344673967</v>
      </c>
      <c r="M145" s="262">
        <f t="shared" si="46"/>
        <v>2162220.381141623</v>
      </c>
      <c r="N145" s="262">
        <f t="shared" si="46"/>
        <v>12829497.755888429</v>
      </c>
      <c r="O145" s="262">
        <f t="shared" si="46"/>
        <v>14701103.649402278</v>
      </c>
      <c r="P145" s="254">
        <f t="shared" si="41"/>
        <v>53364523.93906951</v>
      </c>
      <c r="Q145" s="261"/>
    </row>
    <row r="146" spans="2:18" s="251" customFormat="1" x14ac:dyDescent="0.2">
      <c r="B146" s="251" t="s">
        <v>303</v>
      </c>
      <c r="C146" s="252"/>
      <c r="D146" s="273">
        <f t="shared" ref="D146:P146" si="47">IFERROR(D145/D32,0)</f>
        <v>9.9855609245049992E-2</v>
      </c>
      <c r="E146" s="273">
        <f t="shared" si="47"/>
        <v>-5.7501948272620784E-2</v>
      </c>
      <c r="F146" s="273">
        <f t="shared" si="47"/>
        <v>3.177380305046152E-3</v>
      </c>
      <c r="G146" s="273">
        <f t="shared" si="47"/>
        <v>3.4753170626418209E-2</v>
      </c>
      <c r="H146" s="273">
        <f t="shared" si="47"/>
        <v>0.1716744835376886</v>
      </c>
      <c r="I146" s="273">
        <f t="shared" si="47"/>
        <v>3.4481134339842547E-2</v>
      </c>
      <c r="J146" s="273">
        <f t="shared" si="47"/>
        <v>0</v>
      </c>
      <c r="K146" s="273">
        <f t="shared" si="47"/>
        <v>0</v>
      </c>
      <c r="L146" s="273">
        <f t="shared" si="47"/>
        <v>1.9648880443583146E-2</v>
      </c>
      <c r="M146" s="273">
        <f t="shared" si="47"/>
        <v>2.4860291971818604E-2</v>
      </c>
      <c r="N146" s="273">
        <f t="shared" si="47"/>
        <v>0.1075754500906079</v>
      </c>
      <c r="O146" s="273">
        <f t="shared" si="47"/>
        <v>9.9153035314444263E-2</v>
      </c>
      <c r="P146" s="273">
        <f t="shared" si="47"/>
        <v>4.7004647629739965E-2</v>
      </c>
      <c r="Q146" s="281"/>
    </row>
    <row r="147" spans="2:18" s="251" customFormat="1" x14ac:dyDescent="0.2">
      <c r="C147" s="252"/>
      <c r="D147" s="281"/>
      <c r="E147" s="281"/>
      <c r="F147" s="281"/>
      <c r="G147" s="281"/>
      <c r="H147" s="281"/>
      <c r="I147" s="281"/>
      <c r="J147" s="281"/>
      <c r="K147" s="281"/>
      <c r="L147" s="281"/>
      <c r="M147" s="281"/>
      <c r="N147" s="281"/>
      <c r="O147" s="281"/>
      <c r="P147" s="281"/>
      <c r="Q147" s="281"/>
    </row>
    <row r="148" spans="2:18" s="251" customFormat="1" x14ac:dyDescent="0.2">
      <c r="B148" s="263" t="s">
        <v>304</v>
      </c>
      <c r="C148" s="252"/>
      <c r="D148" s="281"/>
      <c r="E148" s="281"/>
      <c r="F148" s="281"/>
      <c r="G148" s="281"/>
      <c r="H148" s="281"/>
      <c r="I148" s="281"/>
      <c r="J148" s="281"/>
      <c r="K148" s="281"/>
      <c r="L148" s="281"/>
      <c r="M148" s="281"/>
      <c r="N148" s="281"/>
      <c r="O148" s="281"/>
      <c r="P148" s="281"/>
      <c r="Q148" s="281"/>
    </row>
    <row r="149" spans="2:18" s="251" customFormat="1" x14ac:dyDescent="0.2">
      <c r="B149" s="251" t="s">
        <v>305</v>
      </c>
      <c r="C149" s="252"/>
      <c r="D149" s="272">
        <f>[66]SystemWeatherAdj!$AV21</f>
        <v>16245071.132224679</v>
      </c>
      <c r="E149" s="272">
        <f>[66]SystemWeatherAdj!AV22</f>
        <v>-10094133.903440788</v>
      </c>
      <c r="F149" s="272">
        <f>[66]SystemWeatherAdj!$AV23</f>
        <v>630373.3332798481</v>
      </c>
      <c r="G149" s="272">
        <f>[66]SystemWeatherAdj!$AV24</f>
        <v>3139156.0031094402</v>
      </c>
      <c r="H149" s="272">
        <f>[66]SystemWeatherAdj!$AV25</f>
        <v>8688222.5962853134</v>
      </c>
      <c r="I149" s="272">
        <f>[66]SystemWeatherAdj!$AV26</f>
        <v>1709352.0919530019</v>
      </c>
      <c r="J149" s="272">
        <f>[66]SystemWeatherAdj!$AV27</f>
        <v>0</v>
      </c>
      <c r="K149" s="272">
        <f>[66]SystemWeatherAdj!$AV28</f>
        <v>0</v>
      </c>
      <c r="L149" s="272">
        <f>[66]SystemWeatherAdj!$AV29</f>
        <v>1067915.4227778688</v>
      </c>
      <c r="M149" s="272">
        <f>[66]SystemWeatherAdj!$AV30</f>
        <v>2175033.5573171079</v>
      </c>
      <c r="N149" s="272">
        <f>[66]SystemWeatherAdj!$AV31</f>
        <v>14656763.599435285</v>
      </c>
      <c r="O149" s="272">
        <f>[66]SystemWeatherAdj!$AV32</f>
        <v>15822092.234883398</v>
      </c>
      <c r="P149" s="254">
        <f>SUM(D149:O149)</f>
        <v>54039846.067825153</v>
      </c>
      <c r="Q149" s="254"/>
    </row>
    <row r="150" spans="2:18" s="251" customFormat="1" x14ac:dyDescent="0.2">
      <c r="B150" s="251" t="s">
        <v>10</v>
      </c>
      <c r="C150" s="252"/>
      <c r="D150" s="272">
        <f>[66]SystemWeatherAdj!AW21</f>
        <v>236312.47551807761</v>
      </c>
      <c r="E150" s="272">
        <f>[66]SystemWeatherAdj!$AW22</f>
        <v>-142539.83520227671</v>
      </c>
      <c r="F150" s="272">
        <f>[66]SystemWeatherAdj!$AW23</f>
        <v>5630.268187135458</v>
      </c>
      <c r="G150" s="272">
        <f>[66]SystemWeatherAdj!$AW24</f>
        <v>22930.327251821756</v>
      </c>
      <c r="H150" s="272">
        <f>[66]SystemWeatherAdj!$AW25</f>
        <v>0</v>
      </c>
      <c r="I150" s="272">
        <f>[66]SystemWeatherAdj!$AW26</f>
        <v>0</v>
      </c>
      <c r="J150" s="272">
        <f>[66]SystemWeatherAdj!$AW27</f>
        <v>0</v>
      </c>
      <c r="K150" s="272">
        <f>[66]SystemWeatherAdj!$AW28</f>
        <v>0</v>
      </c>
      <c r="L150" s="272">
        <f>[66]SystemWeatherAdj!$AW29</f>
        <v>0</v>
      </c>
      <c r="M150" s="272">
        <f>[66]SystemWeatherAdj!$AW30</f>
        <v>24555.848958472256</v>
      </c>
      <c r="N150" s="272">
        <f>[66]SystemWeatherAdj!$AW31</f>
        <v>48593.865574755706</v>
      </c>
      <c r="O150" s="272">
        <f>[66]SystemWeatherAdj!$AW32</f>
        <v>0</v>
      </c>
      <c r="P150" s="254">
        <f>SUM(D150:O150)</f>
        <v>195482.95028798608</v>
      </c>
      <c r="Q150" s="254"/>
    </row>
    <row r="151" spans="2:18" s="251" customFormat="1" x14ac:dyDescent="0.2">
      <c r="B151" s="251" t="s">
        <v>118</v>
      </c>
      <c r="C151" s="252"/>
      <c r="D151" s="272">
        <f>[66]SystemWeatherAdj!AX21</f>
        <v>728746.42588699982</v>
      </c>
      <c r="E151" s="272">
        <f>[66]SystemWeatherAdj!$AX22</f>
        <v>-409771.28147083148</v>
      </c>
      <c r="F151" s="272">
        <f>[66]SystemWeatherAdj!$AX23</f>
        <v>12863.452807337046</v>
      </c>
      <c r="G151" s="272">
        <f>[66]SystemWeatherAdj!$AX24</f>
        <v>180403.77861916646</v>
      </c>
      <c r="H151" s="272">
        <f>[66]SystemWeatherAdj!$AX25</f>
        <v>488124.25953488797</v>
      </c>
      <c r="I151" s="272">
        <f>[66]SystemWeatherAdj!$AX26</f>
        <v>130561.97256299853</v>
      </c>
      <c r="J151" s="272">
        <f>[66]SystemWeatherAdj!$AX27</f>
        <v>0</v>
      </c>
      <c r="K151" s="272">
        <f>[66]SystemWeatherAdj!$AX28</f>
        <v>0</v>
      </c>
      <c r="L151" s="272">
        <f>[66]SystemWeatherAdj!$AX29</f>
        <v>76403.046457555145</v>
      </c>
      <c r="M151" s="272">
        <f>[66]SystemWeatherAdj!$AX30</f>
        <v>79407.407077778131</v>
      </c>
      <c r="N151" s="272">
        <f>[66]SystemWeatherAdj!$AX31</f>
        <v>703675.8156241551</v>
      </c>
      <c r="O151" s="272">
        <f>[66]SystemWeatherAdj!$AX32</f>
        <v>458214.37069199979</v>
      </c>
      <c r="P151" s="254">
        <f>SUM(D151:O151)</f>
        <v>2448629.2477920465</v>
      </c>
      <c r="Q151" s="254"/>
    </row>
    <row r="152" spans="2:18" s="251" customFormat="1" x14ac:dyDescent="0.2">
      <c r="B152" s="251" t="s">
        <v>302</v>
      </c>
      <c r="C152" s="252"/>
      <c r="D152" s="262">
        <f t="shared" ref="D152:P152" si="48">SUM(D149:D151)</f>
        <v>17210130.033629756</v>
      </c>
      <c r="E152" s="262">
        <f t="shared" si="48"/>
        <v>-10646445.020113897</v>
      </c>
      <c r="F152" s="262">
        <f t="shared" si="48"/>
        <v>648867.0542743206</v>
      </c>
      <c r="G152" s="262">
        <f t="shared" si="48"/>
        <v>3342490.1089804284</v>
      </c>
      <c r="H152" s="262">
        <f t="shared" si="48"/>
        <v>9176346.8558202013</v>
      </c>
      <c r="I152" s="262">
        <f t="shared" si="48"/>
        <v>1839914.0645160004</v>
      </c>
      <c r="J152" s="262">
        <f t="shared" si="48"/>
        <v>0</v>
      </c>
      <c r="K152" s="262">
        <f t="shared" si="48"/>
        <v>0</v>
      </c>
      <c r="L152" s="262">
        <f t="shared" si="48"/>
        <v>1144318.469235424</v>
      </c>
      <c r="M152" s="262">
        <f t="shared" si="48"/>
        <v>2278996.8133533583</v>
      </c>
      <c r="N152" s="262">
        <f t="shared" si="48"/>
        <v>15409033.280634195</v>
      </c>
      <c r="O152" s="262">
        <f>SUM(O149:O151)</f>
        <v>16280306.605575398</v>
      </c>
      <c r="P152" s="262">
        <f t="shared" si="48"/>
        <v>56683958.265905187</v>
      </c>
      <c r="Q152" s="261"/>
    </row>
    <row r="153" spans="2:18" s="251" customFormat="1" x14ac:dyDescent="0.2">
      <c r="C153" s="252"/>
      <c r="D153" s="281"/>
      <c r="E153" s="281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</row>
    <row r="154" spans="2:18" s="251" customFormat="1" x14ac:dyDescent="0.2">
      <c r="B154" s="263" t="s">
        <v>306</v>
      </c>
      <c r="C154" s="252"/>
      <c r="D154" s="281"/>
      <c r="E154" s="281"/>
      <c r="F154" s="281"/>
      <c r="G154" s="281"/>
      <c r="H154" s="281"/>
      <c r="I154" s="281"/>
      <c r="J154" s="281"/>
      <c r="K154" s="281"/>
      <c r="L154" s="281"/>
      <c r="M154" s="281"/>
      <c r="N154" s="281"/>
      <c r="O154" s="281"/>
      <c r="P154" s="281"/>
      <c r="Q154" s="281"/>
    </row>
    <row r="155" spans="2:18" s="251" customFormat="1" x14ac:dyDescent="0.2">
      <c r="B155" s="251" t="s">
        <v>7</v>
      </c>
      <c r="C155" s="252">
        <v>23</v>
      </c>
      <c r="D155" s="254">
        <f>ROUND(IF(SUM(D$132:D$134,D$141:D$142)&lt;&gt;0,D$149*D132/SUM(D$132:D$134,D$141:D$142),0),0)</f>
        <v>12126683</v>
      </c>
      <c r="E155" s="254">
        <f t="shared" ref="E155:O155" si="49">ROUND(IF(SUM(E$132:E$134,E$141:E$142)&lt;&gt;0,E$149*E132/SUM(E$132:E$134,E$141:E$142),0),0)</f>
        <v>-7614772</v>
      </c>
      <c r="F155" s="254">
        <f t="shared" si="49"/>
        <v>473028</v>
      </c>
      <c r="G155" s="254">
        <f t="shared" si="49"/>
        <v>2407991</v>
      </c>
      <c r="H155" s="254">
        <f t="shared" si="49"/>
        <v>6809472</v>
      </c>
      <c r="I155" s="254">
        <f t="shared" si="49"/>
        <v>1560235</v>
      </c>
      <c r="J155" s="254">
        <f t="shared" si="49"/>
        <v>0</v>
      </c>
      <c r="K155" s="254">
        <f t="shared" si="49"/>
        <v>0</v>
      </c>
      <c r="L155" s="254">
        <f t="shared" si="49"/>
        <v>1001702</v>
      </c>
      <c r="M155" s="254">
        <f t="shared" si="49"/>
        <v>1715731</v>
      </c>
      <c r="N155" s="254">
        <f t="shared" si="49"/>
        <v>11224034</v>
      </c>
      <c r="O155" s="254">
        <f t="shared" si="49"/>
        <v>11883254</v>
      </c>
      <c r="P155" s="254">
        <f t="shared" ref="P155:P167" si="50">SUM(D155:O155)</f>
        <v>41587358</v>
      </c>
      <c r="Q155" s="254"/>
      <c r="R155" s="255"/>
    </row>
    <row r="156" spans="2:18" s="251" customFormat="1" x14ac:dyDescent="0.2">
      <c r="B156" s="251" t="s">
        <v>267</v>
      </c>
      <c r="C156" s="252">
        <v>31</v>
      </c>
      <c r="D156" s="254">
        <f t="shared" ref="D156:O157" si="51">ROUND(IF(SUM(D$132:D$134,D$141:D$142)&lt;&gt;0,D$149*D133/SUM(D$132:D$134,D$141:D$142),0),0)</f>
        <v>3193500</v>
      </c>
      <c r="E156" s="254">
        <f t="shared" si="51"/>
        <v>-1917817</v>
      </c>
      <c r="F156" s="254">
        <f t="shared" si="51"/>
        <v>118675</v>
      </c>
      <c r="G156" s="254">
        <f t="shared" si="51"/>
        <v>540598</v>
      </c>
      <c r="H156" s="254">
        <f t="shared" si="51"/>
        <v>1279631</v>
      </c>
      <c r="I156" s="254">
        <f t="shared" si="51"/>
        <v>0</v>
      </c>
      <c r="J156" s="254">
        <f t="shared" si="51"/>
        <v>0</v>
      </c>
      <c r="K156" s="254">
        <f t="shared" si="51"/>
        <v>0</v>
      </c>
      <c r="L156" s="254">
        <f t="shared" si="51"/>
        <v>0</v>
      </c>
      <c r="M156" s="254">
        <f t="shared" si="51"/>
        <v>333915</v>
      </c>
      <c r="N156" s="254">
        <f t="shared" si="51"/>
        <v>2648148</v>
      </c>
      <c r="O156" s="254">
        <f t="shared" si="51"/>
        <v>3083973</v>
      </c>
      <c r="P156" s="254">
        <f t="shared" si="50"/>
        <v>9280623</v>
      </c>
      <c r="Q156" s="254"/>
    </row>
    <row r="157" spans="2:18" s="251" customFormat="1" x14ac:dyDescent="0.2">
      <c r="B157" s="251" t="s">
        <v>268</v>
      </c>
      <c r="C157" s="251">
        <v>41</v>
      </c>
      <c r="D157" s="254">
        <f t="shared" si="51"/>
        <v>631345</v>
      </c>
      <c r="E157" s="254">
        <f t="shared" si="51"/>
        <v>-383771</v>
      </c>
      <c r="F157" s="254">
        <f t="shared" si="51"/>
        <v>26945</v>
      </c>
      <c r="G157" s="254">
        <f t="shared" si="51"/>
        <v>137182</v>
      </c>
      <c r="H157" s="254">
        <f t="shared" si="51"/>
        <v>455684</v>
      </c>
      <c r="I157" s="254">
        <f t="shared" si="51"/>
        <v>124587</v>
      </c>
      <c r="J157" s="254">
        <f t="shared" si="51"/>
        <v>0</v>
      </c>
      <c r="K157" s="254">
        <f t="shared" si="51"/>
        <v>0</v>
      </c>
      <c r="L157" s="254">
        <f t="shared" si="51"/>
        <v>49115</v>
      </c>
      <c r="M157" s="254">
        <f t="shared" si="51"/>
        <v>88337</v>
      </c>
      <c r="N157" s="254">
        <f t="shared" si="51"/>
        <v>543844</v>
      </c>
      <c r="O157" s="254">
        <f t="shared" si="51"/>
        <v>583598</v>
      </c>
      <c r="P157" s="254">
        <f>SUM(D157:O157)</f>
        <v>2256866</v>
      </c>
      <c r="Q157" s="254"/>
    </row>
    <row r="158" spans="2:18" s="251" customFormat="1" x14ac:dyDescent="0.2">
      <c r="B158" s="251" t="s">
        <v>278</v>
      </c>
      <c r="C158" s="252" t="s">
        <v>35</v>
      </c>
      <c r="D158" s="254">
        <f>ROUND(IF(SUM(D$135:D$137,D$143:D$144)&lt;&gt;0,D$151*D135/SUM(D$135:D$137,D$143:D$144),0),0)</f>
        <v>53960</v>
      </c>
      <c r="E158" s="254">
        <f t="shared" ref="E158:O160" si="52">ROUND(IF(SUM(E$135:E$137,E$143:E$144)&lt;&gt;0,E$151*E135/SUM(E$135:E$137,E$143:E$144),0),0)</f>
        <v>-31805</v>
      </c>
      <c r="F158" s="254">
        <f t="shared" si="52"/>
        <v>1092</v>
      </c>
      <c r="G158" s="254">
        <f t="shared" si="52"/>
        <v>12521</v>
      </c>
      <c r="H158" s="254">
        <f t="shared" si="52"/>
        <v>25984</v>
      </c>
      <c r="I158" s="254">
        <f t="shared" si="52"/>
        <v>0</v>
      </c>
      <c r="J158" s="254">
        <f t="shared" si="52"/>
        <v>0</v>
      </c>
      <c r="K158" s="254">
        <f t="shared" si="52"/>
        <v>0</v>
      </c>
      <c r="L158" s="254">
        <f t="shared" si="52"/>
        <v>0</v>
      </c>
      <c r="M158" s="254">
        <f t="shared" si="52"/>
        <v>6579</v>
      </c>
      <c r="N158" s="254">
        <f t="shared" si="52"/>
        <v>52581</v>
      </c>
      <c r="O158" s="254">
        <f t="shared" si="52"/>
        <v>37286</v>
      </c>
      <c r="P158" s="254">
        <f t="shared" ref="P158:P160" si="53">SUM(D158:O158)</f>
        <v>158198</v>
      </c>
      <c r="Q158" s="254"/>
    </row>
    <row r="159" spans="2:18" s="251" customFormat="1" x14ac:dyDescent="0.2">
      <c r="B159" s="251" t="s">
        <v>279</v>
      </c>
      <c r="C159" s="252" t="s">
        <v>37</v>
      </c>
      <c r="D159" s="254">
        <f>ROUND(IF(SUM(D$135:D$137,D$143:D$144)&lt;&gt;0,D$151*D136/SUM(D$135:D$137,D$143:D$144),0),0)</f>
        <v>95773</v>
      </c>
      <c r="E159" s="254">
        <f t="shared" si="52"/>
        <v>-40499</v>
      </c>
      <c r="F159" s="254">
        <f t="shared" si="52"/>
        <v>1613</v>
      </c>
      <c r="G159" s="254">
        <f t="shared" si="52"/>
        <v>20904</v>
      </c>
      <c r="H159" s="254">
        <f t="shared" si="52"/>
        <v>62330</v>
      </c>
      <c r="I159" s="254">
        <f t="shared" si="52"/>
        <v>18537</v>
      </c>
      <c r="J159" s="254">
        <f t="shared" si="52"/>
        <v>0</v>
      </c>
      <c r="K159" s="254">
        <f t="shared" si="52"/>
        <v>0</v>
      </c>
      <c r="L159" s="254">
        <f t="shared" si="52"/>
        <v>0</v>
      </c>
      <c r="M159" s="254">
        <f t="shared" si="52"/>
        <v>10229</v>
      </c>
      <c r="N159" s="254">
        <f t="shared" si="52"/>
        <v>85356</v>
      </c>
      <c r="O159" s="254">
        <f t="shared" si="52"/>
        <v>62901</v>
      </c>
      <c r="P159" s="254">
        <f>SUM(D159:O159)</f>
        <v>317144</v>
      </c>
      <c r="Q159" s="254"/>
    </row>
    <row r="160" spans="2:18" s="251" customFormat="1" x14ac:dyDescent="0.2">
      <c r="B160" s="251" t="s">
        <v>280</v>
      </c>
      <c r="C160" s="252" t="s">
        <v>41</v>
      </c>
      <c r="D160" s="254">
        <f>ROUND(IF(SUM(D$135:D$137,D$143:D$144)&lt;&gt;0,D$151*D137/SUM(D$135:D$137,D$143:D$144),0),0)</f>
        <v>167857</v>
      </c>
      <c r="E160" s="254">
        <f t="shared" si="52"/>
        <v>-89985</v>
      </c>
      <c r="F160" s="254">
        <f t="shared" si="52"/>
        <v>2749</v>
      </c>
      <c r="G160" s="254">
        <f t="shared" si="52"/>
        <v>37151</v>
      </c>
      <c r="H160" s="254">
        <f t="shared" si="52"/>
        <v>109586</v>
      </c>
      <c r="I160" s="254">
        <f t="shared" si="52"/>
        <v>24947</v>
      </c>
      <c r="J160" s="254">
        <f t="shared" si="52"/>
        <v>0</v>
      </c>
      <c r="K160" s="254">
        <f t="shared" si="52"/>
        <v>0</v>
      </c>
      <c r="L160" s="254">
        <f t="shared" si="52"/>
        <v>0</v>
      </c>
      <c r="M160" s="254">
        <f t="shared" si="52"/>
        <v>13997</v>
      </c>
      <c r="N160" s="254">
        <f t="shared" si="52"/>
        <v>152996</v>
      </c>
      <c r="O160" s="254">
        <f t="shared" si="52"/>
        <v>111414</v>
      </c>
      <c r="P160" s="254">
        <f t="shared" si="53"/>
        <v>530712</v>
      </c>
      <c r="Q160" s="254"/>
    </row>
    <row r="161" spans="2:17" s="251" customFormat="1" x14ac:dyDescent="0.2">
      <c r="B161" s="251" t="s">
        <v>269</v>
      </c>
      <c r="C161" s="251">
        <v>85</v>
      </c>
      <c r="D161" s="254">
        <f t="shared" ref="D161:O161" si="54">ROUND(IF(SUM(D$138:D$140)&lt;&gt;0,D$150*D138/SUM(D$138:D$140),0),0)</f>
        <v>70309</v>
      </c>
      <c r="E161" s="254">
        <f t="shared" si="54"/>
        <v>-43357</v>
      </c>
      <c r="F161" s="254">
        <f t="shared" si="54"/>
        <v>1732</v>
      </c>
      <c r="G161" s="254">
        <f t="shared" si="54"/>
        <v>7108</v>
      </c>
      <c r="H161" s="254">
        <f t="shared" si="54"/>
        <v>0</v>
      </c>
      <c r="I161" s="254">
        <f t="shared" si="54"/>
        <v>0</v>
      </c>
      <c r="J161" s="254">
        <f t="shared" si="54"/>
        <v>0</v>
      </c>
      <c r="K161" s="254">
        <f t="shared" si="54"/>
        <v>0</v>
      </c>
      <c r="L161" s="254">
        <f t="shared" si="54"/>
        <v>0</v>
      </c>
      <c r="M161" s="254">
        <f t="shared" si="54"/>
        <v>7017</v>
      </c>
      <c r="N161" s="254">
        <f t="shared" si="54"/>
        <v>13835</v>
      </c>
      <c r="O161" s="254">
        <f t="shared" si="54"/>
        <v>0</v>
      </c>
      <c r="P161" s="254">
        <f t="shared" si="50"/>
        <v>56644</v>
      </c>
      <c r="Q161" s="254"/>
    </row>
    <row r="162" spans="2:17" s="251" customFormat="1" x14ac:dyDescent="0.2">
      <c r="B162" s="251" t="s">
        <v>270</v>
      </c>
      <c r="C162" s="251">
        <v>86</v>
      </c>
      <c r="D162" s="254">
        <f t="shared" ref="D162:O163" si="55">ROUND(IF(SUM(D$138:D$140)&lt;&gt;0,D$150*D139/SUM(D$138:D$140),0),0)</f>
        <v>71982</v>
      </c>
      <c r="E162" s="254">
        <f t="shared" si="55"/>
        <v>-47007</v>
      </c>
      <c r="F162" s="254">
        <f t="shared" si="55"/>
        <v>1822</v>
      </c>
      <c r="G162" s="254">
        <f t="shared" si="55"/>
        <v>7404</v>
      </c>
      <c r="H162" s="254">
        <f t="shared" si="55"/>
        <v>0</v>
      </c>
      <c r="I162" s="254">
        <f t="shared" si="55"/>
        <v>0</v>
      </c>
      <c r="J162" s="254">
        <f t="shared" si="55"/>
        <v>0</v>
      </c>
      <c r="K162" s="254">
        <f t="shared" si="55"/>
        <v>0</v>
      </c>
      <c r="L162" s="254">
        <f t="shared" si="55"/>
        <v>0</v>
      </c>
      <c r="M162" s="254">
        <f t="shared" si="55"/>
        <v>8460</v>
      </c>
      <c r="N162" s="254">
        <f t="shared" si="55"/>
        <v>15762</v>
      </c>
      <c r="O162" s="254">
        <f t="shared" si="55"/>
        <v>0</v>
      </c>
      <c r="P162" s="254">
        <f t="shared" si="50"/>
        <v>58423</v>
      </c>
      <c r="Q162" s="254"/>
    </row>
    <row r="163" spans="2:17" s="251" customFormat="1" x14ac:dyDescent="0.2">
      <c r="B163" s="251" t="s">
        <v>291</v>
      </c>
      <c r="C163" s="251">
        <v>87</v>
      </c>
      <c r="D163" s="254">
        <f t="shared" si="55"/>
        <v>94022</v>
      </c>
      <c r="E163" s="254">
        <f t="shared" si="55"/>
        <v>-52176</v>
      </c>
      <c r="F163" s="254">
        <f t="shared" si="55"/>
        <v>2076</v>
      </c>
      <c r="G163" s="254">
        <f t="shared" si="55"/>
        <v>8419</v>
      </c>
      <c r="H163" s="254">
        <f t="shared" si="55"/>
        <v>0</v>
      </c>
      <c r="I163" s="254">
        <f t="shared" si="55"/>
        <v>0</v>
      </c>
      <c r="J163" s="254">
        <f t="shared" si="55"/>
        <v>0</v>
      </c>
      <c r="K163" s="254">
        <f t="shared" si="55"/>
        <v>0</v>
      </c>
      <c r="L163" s="254">
        <f t="shared" si="55"/>
        <v>0</v>
      </c>
      <c r="M163" s="254">
        <f t="shared" si="55"/>
        <v>9079</v>
      </c>
      <c r="N163" s="254">
        <f t="shared" si="55"/>
        <v>18997</v>
      </c>
      <c r="O163" s="254">
        <f t="shared" si="55"/>
        <v>0</v>
      </c>
      <c r="P163" s="254">
        <f t="shared" si="50"/>
        <v>80417</v>
      </c>
      <c r="Q163" s="254"/>
    </row>
    <row r="164" spans="2:17" s="251" customFormat="1" x14ac:dyDescent="0.2">
      <c r="B164" s="251" t="s">
        <v>272</v>
      </c>
      <c r="C164" s="251">
        <v>31</v>
      </c>
      <c r="D164" s="254">
        <f t="shared" ref="D164:O165" si="56">ROUND(IF(SUM(D$132:D$134,D$141:D$142)&lt;&gt;0,D$149*D141/SUM(D$132:D$134,D$141:D$142),0),0)</f>
        <v>255055</v>
      </c>
      <c r="E164" s="254">
        <f t="shared" si="56"/>
        <v>-158025</v>
      </c>
      <c r="F164" s="254">
        <f t="shared" si="56"/>
        <v>9703</v>
      </c>
      <c r="G164" s="254">
        <f t="shared" si="56"/>
        <v>44942</v>
      </c>
      <c r="H164" s="254">
        <f t="shared" si="56"/>
        <v>118434</v>
      </c>
      <c r="I164" s="254">
        <f t="shared" si="56"/>
        <v>24530</v>
      </c>
      <c r="J164" s="254">
        <f t="shared" si="56"/>
        <v>0</v>
      </c>
      <c r="K164" s="254">
        <f t="shared" si="56"/>
        <v>0</v>
      </c>
      <c r="L164" s="254">
        <f t="shared" si="56"/>
        <v>17098</v>
      </c>
      <c r="M164" s="254">
        <f t="shared" si="56"/>
        <v>29615</v>
      </c>
      <c r="N164" s="254">
        <f t="shared" si="56"/>
        <v>207590</v>
      </c>
      <c r="O164" s="254">
        <f t="shared" si="56"/>
        <v>238309</v>
      </c>
      <c r="P164" s="254">
        <f t="shared" si="50"/>
        <v>787251</v>
      </c>
      <c r="Q164" s="254"/>
    </row>
    <row r="165" spans="2:17" s="251" customFormat="1" x14ac:dyDescent="0.2">
      <c r="B165" s="251" t="s">
        <v>273</v>
      </c>
      <c r="C165" s="251">
        <v>41</v>
      </c>
      <c r="D165" s="254">
        <f t="shared" si="56"/>
        <v>38488</v>
      </c>
      <c r="E165" s="254">
        <f t="shared" si="56"/>
        <v>-19749</v>
      </c>
      <c r="F165" s="254">
        <f t="shared" si="56"/>
        <v>2024</v>
      </c>
      <c r="G165" s="254">
        <f t="shared" si="56"/>
        <v>8442</v>
      </c>
      <c r="H165" s="254">
        <f t="shared" si="56"/>
        <v>25001</v>
      </c>
      <c r="I165" s="254">
        <f t="shared" si="56"/>
        <v>0</v>
      </c>
      <c r="J165" s="254">
        <f t="shared" si="56"/>
        <v>0</v>
      </c>
      <c r="K165" s="254">
        <f t="shared" si="56"/>
        <v>0</v>
      </c>
      <c r="L165" s="254">
        <f t="shared" si="56"/>
        <v>0</v>
      </c>
      <c r="M165" s="254">
        <f t="shared" si="56"/>
        <v>7436</v>
      </c>
      <c r="N165" s="254">
        <f t="shared" si="56"/>
        <v>33148</v>
      </c>
      <c r="O165" s="254">
        <f t="shared" si="56"/>
        <v>32958</v>
      </c>
      <c r="P165" s="254">
        <f t="shared" si="50"/>
        <v>127748</v>
      </c>
      <c r="Q165" s="254"/>
    </row>
    <row r="166" spans="2:17" s="251" customFormat="1" x14ac:dyDescent="0.2">
      <c r="B166" s="251" t="s">
        <v>414</v>
      </c>
      <c r="C166" s="252" t="s">
        <v>33</v>
      </c>
      <c r="D166" s="254">
        <f>ROUND(IF(SUM(D$135:D$137,D$143:D$144)&lt;&gt;0,D$151*D143/SUM(D$135:D$137,D$143:D$144),0),0)</f>
        <v>115</v>
      </c>
      <c r="E166" s="254">
        <f t="shared" ref="E166:O167" si="57">ROUND(IF(SUM(E$135:E$137,E$143:E$144)&lt;&gt;0,E$151*E143/SUM(E$135:E$137,E$143:E$144),0),0)</f>
        <v>-69</v>
      </c>
      <c r="F166" s="254">
        <f t="shared" si="57"/>
        <v>2</v>
      </c>
      <c r="G166" s="254">
        <f t="shared" si="57"/>
        <v>22</v>
      </c>
      <c r="H166" s="254">
        <f t="shared" si="57"/>
        <v>47</v>
      </c>
      <c r="I166" s="254">
        <f t="shared" si="57"/>
        <v>10</v>
      </c>
      <c r="J166" s="254">
        <f t="shared" si="57"/>
        <v>0</v>
      </c>
      <c r="K166" s="254">
        <f t="shared" si="57"/>
        <v>0</v>
      </c>
      <c r="L166" s="254">
        <f t="shared" si="57"/>
        <v>0</v>
      </c>
      <c r="M166" s="254">
        <f t="shared" si="57"/>
        <v>0</v>
      </c>
      <c r="N166" s="254">
        <f t="shared" si="57"/>
        <v>0</v>
      </c>
      <c r="O166" s="254">
        <f t="shared" si="57"/>
        <v>0</v>
      </c>
      <c r="P166" s="261">
        <f t="shared" si="50"/>
        <v>127</v>
      </c>
      <c r="Q166" s="254"/>
    </row>
    <row r="167" spans="2:17" s="257" customFormat="1" ht="15" x14ac:dyDescent="0.25">
      <c r="B167" s="257" t="s">
        <v>285</v>
      </c>
      <c r="C167" s="258" t="s">
        <v>259</v>
      </c>
      <c r="D167" s="261">
        <f>ROUND(IF(SUM(D$135:D$137,D$143:D$144)&lt;&gt;0,D$151*D144/SUM(D$135:D$137,D$143:D$144),0),0)</f>
        <v>411040</v>
      </c>
      <c r="E167" s="261">
        <f t="shared" si="57"/>
        <v>-247412</v>
      </c>
      <c r="F167" s="261">
        <f t="shared" si="57"/>
        <v>7408</v>
      </c>
      <c r="G167" s="261">
        <f t="shared" si="57"/>
        <v>109805</v>
      </c>
      <c r="H167" s="261">
        <f t="shared" si="57"/>
        <v>290178</v>
      </c>
      <c r="I167" s="261">
        <f t="shared" si="57"/>
        <v>87068</v>
      </c>
      <c r="J167" s="261">
        <f t="shared" si="57"/>
        <v>0</v>
      </c>
      <c r="K167" s="261">
        <f t="shared" si="57"/>
        <v>0</v>
      </c>
      <c r="L167" s="261">
        <f t="shared" si="57"/>
        <v>76403</v>
      </c>
      <c r="M167" s="261">
        <f t="shared" si="57"/>
        <v>48603</v>
      </c>
      <c r="N167" s="261">
        <f t="shared" si="57"/>
        <v>412742</v>
      </c>
      <c r="O167" s="261">
        <f t="shared" si="57"/>
        <v>246614</v>
      </c>
      <c r="P167" s="261">
        <f t="shared" si="50"/>
        <v>1442449</v>
      </c>
      <c r="Q167" s="261"/>
    </row>
    <row r="168" spans="2:17" s="251" customFormat="1" x14ac:dyDescent="0.2">
      <c r="B168" s="251" t="s">
        <v>302</v>
      </c>
      <c r="C168" s="252"/>
      <c r="D168" s="262">
        <f>SUM(D155:D167)</f>
        <v>17210129</v>
      </c>
      <c r="E168" s="262">
        <f t="shared" ref="E168:O168" si="58">SUM(E155:E167)</f>
        <v>-10646444</v>
      </c>
      <c r="F168" s="262">
        <f t="shared" si="58"/>
        <v>648869</v>
      </c>
      <c r="G168" s="262">
        <f t="shared" si="58"/>
        <v>3342489</v>
      </c>
      <c r="H168" s="262">
        <f t="shared" si="58"/>
        <v>9176347</v>
      </c>
      <c r="I168" s="262">
        <f t="shared" si="58"/>
        <v>1839914</v>
      </c>
      <c r="J168" s="262">
        <f t="shared" si="58"/>
        <v>0</v>
      </c>
      <c r="K168" s="262">
        <f t="shared" si="58"/>
        <v>0</v>
      </c>
      <c r="L168" s="262">
        <f t="shared" si="58"/>
        <v>1144318</v>
      </c>
      <c r="M168" s="262">
        <f t="shared" si="58"/>
        <v>2278998</v>
      </c>
      <c r="N168" s="262">
        <f t="shared" si="58"/>
        <v>15409033</v>
      </c>
      <c r="O168" s="262">
        <f t="shared" si="58"/>
        <v>16280307</v>
      </c>
      <c r="P168" s="262">
        <f>SUM(P155:P167)</f>
        <v>56683960</v>
      </c>
      <c r="Q168" s="261"/>
    </row>
    <row r="169" spans="2:17" s="251" customFormat="1" x14ac:dyDescent="0.2">
      <c r="B169" s="251" t="s">
        <v>303</v>
      </c>
      <c r="C169" s="252"/>
      <c r="D169" s="273">
        <f t="shared" ref="D169:O169" si="59">IFERROR(D168/D32,0)</f>
        <v>0.11523976981347252</v>
      </c>
      <c r="E169" s="273">
        <f t="shared" si="59"/>
        <v>-7.4259071279215924E-2</v>
      </c>
      <c r="F169" s="273">
        <f t="shared" si="59"/>
        <v>4.7228308884913308E-3</v>
      </c>
      <c r="G169" s="273">
        <f t="shared" si="59"/>
        <v>3.4939567255194384E-2</v>
      </c>
      <c r="H169" s="273">
        <f t="shared" si="59"/>
        <v>0.15101441028138468</v>
      </c>
      <c r="I169" s="273">
        <f t="shared" si="59"/>
        <v>3.6445573046688315E-2</v>
      </c>
      <c r="J169" s="273">
        <f t="shared" si="59"/>
        <v>0</v>
      </c>
      <c r="K169" s="273">
        <f t="shared" si="59"/>
        <v>0</v>
      </c>
      <c r="L169" s="273">
        <f t="shared" si="59"/>
        <v>2.1025849933538007E-2</v>
      </c>
      <c r="M169" s="273">
        <f t="shared" si="59"/>
        <v>2.6202951455520349E-2</v>
      </c>
      <c r="N169" s="273">
        <f t="shared" si="59"/>
        <v>0.12920487551238835</v>
      </c>
      <c r="O169" s="273">
        <f t="shared" si="59"/>
        <v>0.10980412718650728</v>
      </c>
      <c r="P169" s="273">
        <f>P168/P32</f>
        <v>4.992847999731885E-2</v>
      </c>
      <c r="Q169" s="273"/>
    </row>
    <row r="170" spans="2:17" s="251" customFormat="1" x14ac:dyDescent="0.2">
      <c r="C170" s="252"/>
      <c r="D170" s="261"/>
      <c r="E170" s="261"/>
      <c r="F170" s="261"/>
      <c r="G170" s="261"/>
      <c r="H170" s="261"/>
      <c r="I170" s="261"/>
      <c r="J170" s="261"/>
      <c r="K170" s="261"/>
      <c r="L170" s="261"/>
      <c r="M170" s="261"/>
      <c r="N170" s="261"/>
      <c r="O170" s="261"/>
      <c r="P170" s="261"/>
      <c r="Q170" s="261"/>
    </row>
    <row r="171" spans="2:17" s="251" customFormat="1" x14ac:dyDescent="0.2">
      <c r="B171" s="263" t="s">
        <v>307</v>
      </c>
      <c r="C171" s="252"/>
      <c r="D171" s="261"/>
      <c r="E171" s="261"/>
      <c r="F171" s="261"/>
      <c r="G171" s="261"/>
      <c r="H171" s="261"/>
      <c r="I171" s="261"/>
      <c r="J171" s="261"/>
      <c r="K171" s="261"/>
      <c r="L171" s="261"/>
      <c r="M171" s="261"/>
      <c r="N171" s="261"/>
      <c r="O171" s="261"/>
      <c r="P171" s="261"/>
      <c r="Q171" s="261"/>
    </row>
    <row r="172" spans="2:17" s="251" customFormat="1" x14ac:dyDescent="0.2">
      <c r="B172" s="251" t="s">
        <v>7</v>
      </c>
      <c r="C172" s="252">
        <v>23</v>
      </c>
      <c r="D172" s="254">
        <f t="shared" ref="D172:O172" si="60">D9+D155</f>
        <v>97231115.094999999</v>
      </c>
      <c r="E172" s="254">
        <f t="shared" si="60"/>
        <v>73373166.540999994</v>
      </c>
      <c r="F172" s="254">
        <f t="shared" si="60"/>
        <v>75850006.523000002</v>
      </c>
      <c r="G172" s="254">
        <f t="shared" si="60"/>
        <v>50273385.369000003</v>
      </c>
      <c r="H172" s="254">
        <f t="shared" si="60"/>
        <v>30885641.842999998</v>
      </c>
      <c r="I172" s="254">
        <f t="shared" si="60"/>
        <v>19280944.662999999</v>
      </c>
      <c r="J172" s="254">
        <f t="shared" si="60"/>
        <v>13445152.333000001</v>
      </c>
      <c r="K172" s="254">
        <f t="shared" si="60"/>
        <v>13243856.593</v>
      </c>
      <c r="L172" s="254">
        <f t="shared" si="60"/>
        <v>21691921.379000001</v>
      </c>
      <c r="M172" s="254">
        <f t="shared" si="60"/>
        <v>44274554.725000001</v>
      </c>
      <c r="N172" s="254">
        <f t="shared" si="60"/>
        <v>77701213.745000005</v>
      </c>
      <c r="O172" s="254">
        <f t="shared" si="60"/>
        <v>96411150.341000006</v>
      </c>
      <c r="P172" s="254">
        <f t="shared" ref="P172:P184" si="61">SUM(D172:O172)</f>
        <v>613662109.14999998</v>
      </c>
      <c r="Q172" s="254"/>
    </row>
    <row r="173" spans="2:17" s="251" customFormat="1" x14ac:dyDescent="0.2">
      <c r="B173" s="251" t="s">
        <v>267</v>
      </c>
      <c r="C173" s="256">
        <v>31</v>
      </c>
      <c r="D173" s="254">
        <f t="shared" ref="D173:O174" si="62">D11+D156</f>
        <v>31599790.447999999</v>
      </c>
      <c r="E173" s="254">
        <f t="shared" si="62"/>
        <v>25012813.162999999</v>
      </c>
      <c r="F173" s="254">
        <f t="shared" si="62"/>
        <v>25673601.024</v>
      </c>
      <c r="G173" s="254">
        <f t="shared" si="62"/>
        <v>18118326.907000002</v>
      </c>
      <c r="H173" s="254">
        <f t="shared" si="62"/>
        <v>12139669.619000001</v>
      </c>
      <c r="I173" s="254">
        <f t="shared" si="62"/>
        <v>8913208.3239999991</v>
      </c>
      <c r="J173" s="254">
        <f t="shared" si="62"/>
        <v>7744332.8169999998</v>
      </c>
      <c r="K173" s="254">
        <f t="shared" si="62"/>
        <v>7814835.7249999996</v>
      </c>
      <c r="L173" s="254">
        <f t="shared" si="62"/>
        <v>9638896.5759999994</v>
      </c>
      <c r="M173" s="254">
        <f t="shared" si="62"/>
        <v>15665379.589</v>
      </c>
      <c r="N173" s="254">
        <f t="shared" si="62"/>
        <v>24779677.57</v>
      </c>
      <c r="O173" s="254">
        <f t="shared" si="62"/>
        <v>31215171.552999999</v>
      </c>
      <c r="P173" s="254">
        <f t="shared" si="61"/>
        <v>218315703.315</v>
      </c>
      <c r="Q173" s="254"/>
    </row>
    <row r="174" spans="2:17" s="251" customFormat="1" x14ac:dyDescent="0.2">
      <c r="B174" s="251" t="s">
        <v>268</v>
      </c>
      <c r="C174" s="251">
        <v>41</v>
      </c>
      <c r="D174" s="254">
        <f t="shared" si="62"/>
        <v>7214330.9359999998</v>
      </c>
      <c r="E174" s="254">
        <f t="shared" si="62"/>
        <v>5993204.6500000004</v>
      </c>
      <c r="F174" s="254">
        <f t="shared" si="62"/>
        <v>6265431.6940000001</v>
      </c>
      <c r="G174" s="254">
        <f t="shared" si="62"/>
        <v>4928872.6160000004</v>
      </c>
      <c r="H174" s="254">
        <f t="shared" si="62"/>
        <v>3787247.0380000006</v>
      </c>
      <c r="I174" s="254">
        <f t="shared" si="62"/>
        <v>2913206.142</v>
      </c>
      <c r="J174" s="254">
        <f t="shared" si="62"/>
        <v>2291089.585</v>
      </c>
      <c r="K174" s="254">
        <f t="shared" si="62"/>
        <v>2322664.8089999999</v>
      </c>
      <c r="L174" s="254">
        <f t="shared" si="62"/>
        <v>2910931.1799999997</v>
      </c>
      <c r="M174" s="254">
        <f t="shared" si="62"/>
        <v>4284148.7210000008</v>
      </c>
      <c r="N174" s="254">
        <f t="shared" si="62"/>
        <v>5931243.1579999998</v>
      </c>
      <c r="O174" s="254">
        <f t="shared" si="62"/>
        <v>7062947.8090000004</v>
      </c>
      <c r="P174" s="254">
        <f t="shared" si="61"/>
        <v>55905318.338</v>
      </c>
      <c r="Q174" s="254"/>
    </row>
    <row r="175" spans="2:17" s="251" customFormat="1" x14ac:dyDescent="0.2">
      <c r="B175" s="242" t="s">
        <v>278</v>
      </c>
      <c r="C175" s="256" t="s">
        <v>35</v>
      </c>
      <c r="D175" s="254">
        <f t="shared" ref="D175:O177" si="63">D23+D158</f>
        <v>1309932.3900000001</v>
      </c>
      <c r="E175" s="254">
        <f t="shared" si="63"/>
        <v>1187686.01</v>
      </c>
      <c r="F175" s="254">
        <f t="shared" si="63"/>
        <v>1250467.8599999999</v>
      </c>
      <c r="G175" s="254">
        <f t="shared" si="63"/>
        <v>1133840.93</v>
      </c>
      <c r="H175" s="254">
        <f t="shared" si="63"/>
        <v>1082136.8500000001</v>
      </c>
      <c r="I175" s="254">
        <f t="shared" si="63"/>
        <v>1066639.25</v>
      </c>
      <c r="J175" s="254">
        <f t="shared" si="63"/>
        <v>1034134.1400000001</v>
      </c>
      <c r="K175" s="254">
        <f t="shared" si="63"/>
        <v>1072055.8500000001</v>
      </c>
      <c r="L175" s="254">
        <f t="shared" si="63"/>
        <v>1024131.41</v>
      </c>
      <c r="M175" s="254">
        <f t="shared" si="63"/>
        <v>1221207.47</v>
      </c>
      <c r="N175" s="254">
        <f t="shared" si="63"/>
        <v>1315468.25</v>
      </c>
      <c r="O175" s="254">
        <f t="shared" si="63"/>
        <v>1430166.51</v>
      </c>
      <c r="P175" s="254">
        <f t="shared" si="61"/>
        <v>14127866.920000002</v>
      </c>
      <c r="Q175" s="254"/>
    </row>
    <row r="176" spans="2:17" s="251" customFormat="1" x14ac:dyDescent="0.2">
      <c r="B176" s="242" t="s">
        <v>279</v>
      </c>
      <c r="C176" s="256" t="s">
        <v>37</v>
      </c>
      <c r="D176" s="254">
        <f t="shared" si="63"/>
        <v>2213984.92</v>
      </c>
      <c r="E176" s="254">
        <f t="shared" si="63"/>
        <v>1964790.4500000002</v>
      </c>
      <c r="F176" s="254">
        <f t="shared" si="63"/>
        <v>2105813.58</v>
      </c>
      <c r="G176" s="254">
        <f t="shared" si="63"/>
        <v>1852946.1</v>
      </c>
      <c r="H176" s="254">
        <f t="shared" si="63"/>
        <v>1863363.12</v>
      </c>
      <c r="I176" s="254">
        <f t="shared" si="63"/>
        <v>1750711.3499999999</v>
      </c>
      <c r="J176" s="254">
        <f t="shared" si="63"/>
        <v>1682576.31</v>
      </c>
      <c r="K176" s="254">
        <f t="shared" si="63"/>
        <v>1684575.62</v>
      </c>
      <c r="L176" s="254">
        <f t="shared" si="63"/>
        <v>1685124.68</v>
      </c>
      <c r="M176" s="254">
        <f t="shared" si="63"/>
        <v>1965727.8</v>
      </c>
      <c r="N176" s="254">
        <f t="shared" si="63"/>
        <v>2082837.5599999998</v>
      </c>
      <c r="O176" s="254">
        <f t="shared" si="63"/>
        <v>2203010.7199999997</v>
      </c>
      <c r="P176" s="254">
        <f t="shared" si="61"/>
        <v>23055462.210000001</v>
      </c>
      <c r="Q176" s="254"/>
    </row>
    <row r="177" spans="2:17" s="251" customFormat="1" x14ac:dyDescent="0.2">
      <c r="B177" s="242" t="s">
        <v>280</v>
      </c>
      <c r="C177" s="256" t="s">
        <v>41</v>
      </c>
      <c r="D177" s="254">
        <f t="shared" si="63"/>
        <v>2119316.87</v>
      </c>
      <c r="E177" s="254">
        <f t="shared" si="63"/>
        <v>1871108.9500000002</v>
      </c>
      <c r="F177" s="254">
        <f t="shared" si="63"/>
        <v>1860191.65</v>
      </c>
      <c r="G177" s="254">
        <f t="shared" si="63"/>
        <v>1637011.8800000001</v>
      </c>
      <c r="H177" s="254">
        <f t="shared" si="63"/>
        <v>1388275.8499999999</v>
      </c>
      <c r="I177" s="254">
        <f t="shared" si="63"/>
        <v>1192987.95</v>
      </c>
      <c r="J177" s="254">
        <f t="shared" si="63"/>
        <v>1014527.5199999999</v>
      </c>
      <c r="K177" s="254">
        <f t="shared" si="63"/>
        <v>1093444.0699999998</v>
      </c>
      <c r="L177" s="254">
        <f t="shared" si="63"/>
        <v>1127081.6299999999</v>
      </c>
      <c r="M177" s="254">
        <f t="shared" si="63"/>
        <v>1451825.25</v>
      </c>
      <c r="N177" s="254">
        <f t="shared" si="63"/>
        <v>1692684.79</v>
      </c>
      <c r="O177" s="254">
        <f t="shared" si="63"/>
        <v>2024831.47</v>
      </c>
      <c r="P177" s="254">
        <f t="shared" si="61"/>
        <v>18473287.879999999</v>
      </c>
      <c r="Q177" s="254"/>
    </row>
    <row r="178" spans="2:17" s="251" customFormat="1" x14ac:dyDescent="0.2">
      <c r="B178" s="251" t="s">
        <v>269</v>
      </c>
      <c r="C178" s="251">
        <v>85</v>
      </c>
      <c r="D178" s="254">
        <f t="shared" ref="D178:O182" si="64">D14+D161</f>
        <v>1780824.939</v>
      </c>
      <c r="E178" s="254">
        <f t="shared" si="64"/>
        <v>1536379.5380000002</v>
      </c>
      <c r="F178" s="254">
        <f t="shared" si="64"/>
        <v>1643991.1359999999</v>
      </c>
      <c r="G178" s="254">
        <f t="shared" si="64"/>
        <v>1250763.1359999999</v>
      </c>
      <c r="H178" s="254">
        <f t="shared" si="64"/>
        <v>920234.88600000006</v>
      </c>
      <c r="I178" s="254">
        <f t="shared" si="64"/>
        <v>733125.50200000009</v>
      </c>
      <c r="J178" s="254">
        <f t="shared" si="64"/>
        <v>646476.62700000009</v>
      </c>
      <c r="K178" s="254">
        <f t="shared" si="64"/>
        <v>706237.19299999997</v>
      </c>
      <c r="L178" s="254">
        <f t="shared" si="64"/>
        <v>840775.34</v>
      </c>
      <c r="M178" s="254">
        <f t="shared" si="64"/>
        <v>1118634.04</v>
      </c>
      <c r="N178" s="254">
        <f t="shared" si="64"/>
        <v>1393486.9010000001</v>
      </c>
      <c r="O178" s="254">
        <f t="shared" si="64"/>
        <v>1648219.5559999999</v>
      </c>
      <c r="P178" s="254">
        <f t="shared" si="61"/>
        <v>14219148.794000002</v>
      </c>
      <c r="Q178" s="254"/>
    </row>
    <row r="179" spans="2:17" s="251" customFormat="1" x14ac:dyDescent="0.2">
      <c r="B179" s="251" t="s">
        <v>270</v>
      </c>
      <c r="C179" s="251">
        <v>86</v>
      </c>
      <c r="D179" s="254">
        <f t="shared" si="64"/>
        <v>1258725.409</v>
      </c>
      <c r="E179" s="254">
        <f t="shared" si="64"/>
        <v>1049738.9580000001</v>
      </c>
      <c r="F179" s="254">
        <f t="shared" si="64"/>
        <v>1110165.9139999999</v>
      </c>
      <c r="G179" s="254">
        <f t="shared" si="64"/>
        <v>842756.56900000002</v>
      </c>
      <c r="H179" s="254">
        <f t="shared" si="64"/>
        <v>473406.78399999999</v>
      </c>
      <c r="I179" s="254">
        <f t="shared" si="64"/>
        <v>313206.79399999999</v>
      </c>
      <c r="J179" s="254">
        <f t="shared" si="64"/>
        <v>213503.913</v>
      </c>
      <c r="K179" s="254">
        <f t="shared" si="64"/>
        <v>207293.03100000002</v>
      </c>
      <c r="L179" s="254">
        <f t="shared" si="64"/>
        <v>346636.48600000003</v>
      </c>
      <c r="M179" s="254">
        <f t="shared" si="64"/>
        <v>678088.19</v>
      </c>
      <c r="N179" s="254">
        <f t="shared" si="64"/>
        <v>927404.93400000001</v>
      </c>
      <c r="O179" s="254">
        <f t="shared" si="64"/>
        <v>1140251.9819999998</v>
      </c>
      <c r="P179" s="254">
        <f t="shared" si="61"/>
        <v>8561178.9639999978</v>
      </c>
      <c r="Q179" s="254"/>
    </row>
    <row r="180" spans="2:17" s="251" customFormat="1" x14ac:dyDescent="0.2">
      <c r="B180" s="251" t="s">
        <v>291</v>
      </c>
      <c r="C180" s="251">
        <v>87</v>
      </c>
      <c r="D180" s="254">
        <f t="shared" si="64"/>
        <v>2582095.4070000001</v>
      </c>
      <c r="E180" s="254">
        <f t="shared" si="64"/>
        <v>2453869.7620000001</v>
      </c>
      <c r="F180" s="254">
        <f t="shared" si="64"/>
        <v>2432020.3769999999</v>
      </c>
      <c r="G180" s="254">
        <f t="shared" si="64"/>
        <v>2074669.916</v>
      </c>
      <c r="H180" s="254">
        <f t="shared" si="64"/>
        <v>1485710.202</v>
      </c>
      <c r="I180" s="254">
        <f t="shared" si="64"/>
        <v>1430551.095</v>
      </c>
      <c r="J180" s="254">
        <f t="shared" si="64"/>
        <v>1280281.31</v>
      </c>
      <c r="K180" s="254">
        <f t="shared" si="64"/>
        <v>1275025.321</v>
      </c>
      <c r="L180" s="254">
        <f t="shared" si="64"/>
        <v>1372715.9339999999</v>
      </c>
      <c r="M180" s="254">
        <f t="shared" si="64"/>
        <v>1756849.892</v>
      </c>
      <c r="N180" s="254">
        <f t="shared" si="64"/>
        <v>2152439.2620000001</v>
      </c>
      <c r="O180" s="254">
        <f t="shared" si="64"/>
        <v>2585495.1809999999</v>
      </c>
      <c r="P180" s="254">
        <f t="shared" si="61"/>
        <v>22881723.659000002</v>
      </c>
      <c r="Q180" s="254"/>
    </row>
    <row r="181" spans="2:17" s="251" customFormat="1" x14ac:dyDescent="0.2">
      <c r="B181" s="251" t="s">
        <v>272</v>
      </c>
      <c r="C181" s="251">
        <v>31</v>
      </c>
      <c r="D181" s="254">
        <f t="shared" si="64"/>
        <v>2219902.1689999998</v>
      </c>
      <c r="E181" s="254">
        <f t="shared" si="64"/>
        <v>1725084.105</v>
      </c>
      <c r="F181" s="254">
        <f t="shared" si="64"/>
        <v>1692829.1610000001</v>
      </c>
      <c r="G181" s="254">
        <f t="shared" si="64"/>
        <v>1110311.402</v>
      </c>
      <c r="H181" s="254">
        <f t="shared" si="64"/>
        <v>680689.93900000001</v>
      </c>
      <c r="I181" s="254">
        <f t="shared" si="64"/>
        <v>454548.24099999998</v>
      </c>
      <c r="J181" s="254">
        <f t="shared" si="64"/>
        <v>369763.20400000003</v>
      </c>
      <c r="K181" s="254">
        <f t="shared" si="64"/>
        <v>382878.80200000003</v>
      </c>
      <c r="L181" s="254">
        <f t="shared" si="64"/>
        <v>552107.95400000003</v>
      </c>
      <c r="M181" s="254">
        <f t="shared" si="64"/>
        <v>975720.03599999996</v>
      </c>
      <c r="N181" s="254">
        <f t="shared" si="64"/>
        <v>1668489.1029999999</v>
      </c>
      <c r="O181" s="254">
        <f t="shared" si="64"/>
        <v>2097195.4720000001</v>
      </c>
      <c r="P181" s="254">
        <f t="shared" si="61"/>
        <v>13929519.588</v>
      </c>
      <c r="Q181" s="254"/>
    </row>
    <row r="182" spans="2:17" s="251" customFormat="1" x14ac:dyDescent="0.2">
      <c r="B182" s="251" t="s">
        <v>273</v>
      </c>
      <c r="C182" s="251">
        <v>41</v>
      </c>
      <c r="D182" s="254">
        <f t="shared" si="64"/>
        <v>984923.92099999997</v>
      </c>
      <c r="E182" s="254">
        <f t="shared" si="64"/>
        <v>881329.02300000004</v>
      </c>
      <c r="F182" s="254">
        <f t="shared" si="64"/>
        <v>921278.62699999998</v>
      </c>
      <c r="G182" s="254">
        <f t="shared" si="64"/>
        <v>819888.06</v>
      </c>
      <c r="H182" s="254">
        <f t="shared" si="64"/>
        <v>725124.46399999992</v>
      </c>
      <c r="I182" s="254">
        <f t="shared" si="64"/>
        <v>670894.69999999995</v>
      </c>
      <c r="J182" s="254">
        <f t="shared" si="64"/>
        <v>638238.12899999996</v>
      </c>
      <c r="K182" s="254">
        <f t="shared" si="64"/>
        <v>644626.09299999999</v>
      </c>
      <c r="L182" s="254">
        <f t="shared" si="64"/>
        <v>662632.26500000001</v>
      </c>
      <c r="M182" s="254">
        <f t="shared" si="64"/>
        <v>802616.78899999999</v>
      </c>
      <c r="N182" s="254">
        <f t="shared" si="64"/>
        <v>909906.92299999995</v>
      </c>
      <c r="O182" s="254">
        <f t="shared" si="64"/>
        <v>931087.22600000002</v>
      </c>
      <c r="P182" s="254">
        <f t="shared" si="61"/>
        <v>9592546.2199999988</v>
      </c>
      <c r="Q182" s="254"/>
    </row>
    <row r="183" spans="2:17" s="251" customFormat="1" x14ac:dyDescent="0.2">
      <c r="B183" s="251" t="s">
        <v>414</v>
      </c>
      <c r="C183" s="252" t="s">
        <v>33</v>
      </c>
      <c r="D183" s="254">
        <f>D26+D166</f>
        <v>2645.87</v>
      </c>
      <c r="E183" s="254">
        <f t="shared" ref="E183:O183" si="65">E26+E166</f>
        <v>3836.98</v>
      </c>
      <c r="F183" s="254">
        <f t="shared" si="65"/>
        <v>2823.34</v>
      </c>
      <c r="G183" s="254">
        <f t="shared" si="65"/>
        <v>2002.65</v>
      </c>
      <c r="H183" s="254">
        <f t="shared" si="65"/>
        <v>642.91</v>
      </c>
      <c r="I183" s="254">
        <f t="shared" si="65"/>
        <v>37.44</v>
      </c>
      <c r="J183" s="254">
        <f t="shared" si="65"/>
        <v>0</v>
      </c>
      <c r="K183" s="254">
        <f t="shared" si="65"/>
        <v>0</v>
      </c>
      <c r="L183" s="254">
        <f t="shared" si="65"/>
        <v>0</v>
      </c>
      <c r="M183" s="254">
        <f t="shared" si="65"/>
        <v>0</v>
      </c>
      <c r="N183" s="254">
        <f t="shared" si="65"/>
        <v>0</v>
      </c>
      <c r="O183" s="254">
        <f t="shared" si="65"/>
        <v>0</v>
      </c>
      <c r="P183" s="254">
        <f t="shared" si="61"/>
        <v>11989.19</v>
      </c>
      <c r="Q183" s="254"/>
    </row>
    <row r="184" spans="2:17" s="257" customFormat="1" ht="15" x14ac:dyDescent="0.25">
      <c r="B184" s="257" t="s">
        <v>285</v>
      </c>
      <c r="C184" s="258" t="s">
        <v>259</v>
      </c>
      <c r="D184" s="261">
        <f t="shared" ref="D184:O184" si="66">D31+D167</f>
        <v>4443467.74</v>
      </c>
      <c r="E184" s="261">
        <f t="shared" si="66"/>
        <v>3867486.2699999996</v>
      </c>
      <c r="F184" s="261">
        <f t="shared" si="66"/>
        <v>3813818.93</v>
      </c>
      <c r="G184" s="261">
        <f t="shared" si="66"/>
        <v>3266173.4099999997</v>
      </c>
      <c r="H184" s="261">
        <f t="shared" si="66"/>
        <v>2607580.04</v>
      </c>
      <c r="I184" s="261">
        <f t="shared" si="66"/>
        <v>2223953.0499999998</v>
      </c>
      <c r="J184" s="261">
        <f t="shared" si="66"/>
        <v>1816114.2500000002</v>
      </c>
      <c r="K184" s="261">
        <f t="shared" si="66"/>
        <v>1897095.8699999999</v>
      </c>
      <c r="L184" s="261">
        <f t="shared" si="66"/>
        <v>2237328.9500000002</v>
      </c>
      <c r="M184" s="261">
        <f t="shared" si="66"/>
        <v>2944518.8099999996</v>
      </c>
      <c r="N184" s="261">
        <f t="shared" si="66"/>
        <v>3753743.19</v>
      </c>
      <c r="O184" s="261">
        <f t="shared" si="66"/>
        <v>4219586.24</v>
      </c>
      <c r="P184" s="261">
        <f t="shared" si="61"/>
        <v>37090866.75</v>
      </c>
      <c r="Q184" s="261"/>
    </row>
    <row r="185" spans="2:17" s="251" customFormat="1" x14ac:dyDescent="0.2">
      <c r="B185" s="251" t="s">
        <v>300</v>
      </c>
      <c r="C185" s="252"/>
      <c r="D185" s="262">
        <f t="shared" ref="D185:P185" si="67">SUM(D172:D184)</f>
        <v>154961056.11400002</v>
      </c>
      <c r="E185" s="262">
        <f t="shared" si="67"/>
        <v>120920494.40000002</v>
      </c>
      <c r="F185" s="262">
        <f t="shared" si="67"/>
        <v>124622439.81600003</v>
      </c>
      <c r="G185" s="262">
        <f t="shared" si="67"/>
        <v>87310948.944999993</v>
      </c>
      <c r="H185" s="262">
        <f t="shared" si="67"/>
        <v>58039723.545000002</v>
      </c>
      <c r="I185" s="262">
        <f t="shared" si="67"/>
        <v>40944014.500999987</v>
      </c>
      <c r="J185" s="262">
        <f t="shared" si="67"/>
        <v>32176190.137999997</v>
      </c>
      <c r="K185" s="262">
        <f t="shared" si="67"/>
        <v>32344588.977000002</v>
      </c>
      <c r="L185" s="262">
        <f t="shared" si="67"/>
        <v>44090283.784000009</v>
      </c>
      <c r="M185" s="262">
        <f t="shared" si="67"/>
        <v>77139271.312000021</v>
      </c>
      <c r="N185" s="262">
        <f t="shared" si="67"/>
        <v>124308595.38599998</v>
      </c>
      <c r="O185" s="262">
        <f t="shared" si="67"/>
        <v>152969114.06</v>
      </c>
      <c r="P185" s="262">
        <f t="shared" si="67"/>
        <v>1049826720.9780002</v>
      </c>
      <c r="Q185" s="261"/>
    </row>
    <row r="186" spans="2:17" s="251" customFormat="1" x14ac:dyDescent="0.2">
      <c r="D186" s="254"/>
      <c r="E186" s="254"/>
      <c r="F186" s="254"/>
      <c r="G186" s="254"/>
      <c r="H186" s="254"/>
      <c r="I186" s="254"/>
      <c r="J186" s="254"/>
      <c r="K186" s="254"/>
      <c r="L186" s="254"/>
      <c r="M186" s="254"/>
      <c r="N186" s="254"/>
      <c r="O186" s="254"/>
      <c r="P186" s="254"/>
      <c r="Q186" s="254"/>
    </row>
    <row r="187" spans="2:17" s="251" customFormat="1" x14ac:dyDescent="0.2">
      <c r="B187" s="251" t="s">
        <v>308</v>
      </c>
      <c r="C187" s="251">
        <v>16</v>
      </c>
      <c r="D187" s="254">
        <f t="shared" ref="D187:O187" si="68">D8</f>
        <v>797.62900000000002</v>
      </c>
      <c r="E187" s="254">
        <f t="shared" si="68"/>
        <v>723.62300000000005</v>
      </c>
      <c r="F187" s="254">
        <f t="shared" si="68"/>
        <v>835.85599999999999</v>
      </c>
      <c r="G187" s="254">
        <f t="shared" si="68"/>
        <v>821.65099999999995</v>
      </c>
      <c r="H187" s="254">
        <f t="shared" si="68"/>
        <v>818.67499999999995</v>
      </c>
      <c r="I187" s="254">
        <f t="shared" si="68"/>
        <v>776.11900000000003</v>
      </c>
      <c r="J187" s="254">
        <f t="shared" si="68"/>
        <v>813.22500000000002</v>
      </c>
      <c r="K187" s="254">
        <f t="shared" si="68"/>
        <v>791.37</v>
      </c>
      <c r="L187" s="254">
        <f t="shared" si="68"/>
        <v>794.43100000000004</v>
      </c>
      <c r="M187" s="254">
        <f t="shared" si="68"/>
        <v>846.26900000000001</v>
      </c>
      <c r="N187" s="254">
        <f t="shared" si="68"/>
        <v>670.62199999999996</v>
      </c>
      <c r="O187" s="254">
        <f t="shared" si="68"/>
        <v>654.63400000000001</v>
      </c>
      <c r="P187" s="254">
        <f t="shared" ref="P187:P197" si="69">SUM(D187:O187)</f>
        <v>9344.1039999999994</v>
      </c>
      <c r="Q187" s="254"/>
    </row>
    <row r="188" spans="2:17" s="251" customFormat="1" x14ac:dyDescent="0.2">
      <c r="B188" s="251" t="str">
        <f t="shared" ref="B188:O188" si="70">B10</f>
        <v>Propane</v>
      </c>
      <c r="C188" s="252">
        <f t="shared" si="70"/>
        <v>53</v>
      </c>
      <c r="D188" s="254">
        <f t="shared" si="70"/>
        <v>56.914999999999999</v>
      </c>
      <c r="E188" s="254">
        <f t="shared" si="70"/>
        <v>7.5629999999999997</v>
      </c>
      <c r="F188" s="254">
        <f t="shared" si="70"/>
        <v>0</v>
      </c>
      <c r="G188" s="254">
        <f t="shared" si="70"/>
        <v>0</v>
      </c>
      <c r="H188" s="254">
        <f t="shared" si="70"/>
        <v>0</v>
      </c>
      <c r="I188" s="254">
        <f t="shared" si="70"/>
        <v>0</v>
      </c>
      <c r="J188" s="254">
        <f t="shared" si="70"/>
        <v>0</v>
      </c>
      <c r="K188" s="254">
        <f t="shared" si="70"/>
        <v>0</v>
      </c>
      <c r="L188" s="254">
        <f t="shared" si="70"/>
        <v>0</v>
      </c>
      <c r="M188" s="254">
        <f t="shared" si="70"/>
        <v>0</v>
      </c>
      <c r="N188" s="254">
        <f t="shared" si="70"/>
        <v>0</v>
      </c>
      <c r="O188" s="254">
        <f t="shared" si="70"/>
        <v>0</v>
      </c>
      <c r="P188" s="254">
        <f t="shared" si="69"/>
        <v>64.477999999999994</v>
      </c>
      <c r="Q188" s="254"/>
    </row>
    <row r="189" spans="2:17" s="251" customFormat="1" x14ac:dyDescent="0.2">
      <c r="B189" s="251" t="s">
        <v>354</v>
      </c>
      <c r="C189" s="251">
        <v>50</v>
      </c>
      <c r="D189" s="254">
        <f t="shared" ref="D189:O189" si="71">D13</f>
        <v>0</v>
      </c>
      <c r="E189" s="254">
        <f t="shared" si="71"/>
        <v>0</v>
      </c>
      <c r="F189" s="254">
        <f t="shared" si="71"/>
        <v>0</v>
      </c>
      <c r="G189" s="254">
        <f t="shared" si="71"/>
        <v>0</v>
      </c>
      <c r="H189" s="254">
        <f t="shared" si="71"/>
        <v>0</v>
      </c>
      <c r="I189" s="254">
        <f t="shared" si="71"/>
        <v>0</v>
      </c>
      <c r="J189" s="254">
        <f t="shared" si="71"/>
        <v>0</v>
      </c>
      <c r="K189" s="254">
        <f t="shared" si="71"/>
        <v>0</v>
      </c>
      <c r="L189" s="254">
        <f t="shared" si="71"/>
        <v>0</v>
      </c>
      <c r="M189" s="254">
        <f t="shared" si="71"/>
        <v>0</v>
      </c>
      <c r="N189" s="254">
        <f t="shared" si="71"/>
        <v>0</v>
      </c>
      <c r="O189" s="254">
        <f t="shared" si="71"/>
        <v>0</v>
      </c>
      <c r="P189" s="254">
        <f t="shared" si="69"/>
        <v>0</v>
      </c>
      <c r="Q189" s="254"/>
    </row>
    <row r="190" spans="2:17" s="251" customFormat="1" x14ac:dyDescent="0.2">
      <c r="B190" s="251" t="s">
        <v>309</v>
      </c>
      <c r="C190" s="252" t="s">
        <v>33</v>
      </c>
      <c r="D190" s="254">
        <f t="shared" ref="D190:O190" si="72">D22</f>
        <v>2356.8000000000002</v>
      </c>
      <c r="E190" s="254">
        <f t="shared" si="72"/>
        <v>2713.47</v>
      </c>
      <c r="F190" s="254">
        <f t="shared" si="72"/>
        <v>2240.84</v>
      </c>
      <c r="G190" s="254">
        <f t="shared" si="72"/>
        <v>1514.91</v>
      </c>
      <c r="H190" s="254">
        <f t="shared" si="72"/>
        <v>975.42</v>
      </c>
      <c r="I190" s="254">
        <f t="shared" si="72"/>
        <v>955</v>
      </c>
      <c r="J190" s="254">
        <f t="shared" si="72"/>
        <v>798.62</v>
      </c>
      <c r="K190" s="254">
        <f t="shared" si="72"/>
        <v>838.78</v>
      </c>
      <c r="L190" s="254">
        <f t="shared" si="72"/>
        <v>1047.7</v>
      </c>
      <c r="M190" s="254">
        <f t="shared" si="72"/>
        <v>1466.72</v>
      </c>
      <c r="N190" s="254">
        <f t="shared" si="72"/>
        <v>2139.9299999999998</v>
      </c>
      <c r="O190" s="254">
        <f t="shared" si="72"/>
        <v>2460.83</v>
      </c>
      <c r="P190" s="254">
        <f t="shared" si="69"/>
        <v>19509.020000000004</v>
      </c>
      <c r="Q190" s="254"/>
    </row>
    <row r="191" spans="2:17" s="251" customFormat="1" x14ac:dyDescent="0.2">
      <c r="B191" s="251" t="str">
        <f t="shared" ref="B191:O193" si="73">B19</f>
        <v>Interruptible with firm option - ind</v>
      </c>
      <c r="C191" s="252">
        <f t="shared" si="73"/>
        <v>85</v>
      </c>
      <c r="D191" s="254">
        <f t="shared" si="73"/>
        <v>152783.32999999999</v>
      </c>
      <c r="E191" s="254">
        <f t="shared" si="73"/>
        <v>144144.49599999998</v>
      </c>
      <c r="F191" s="254">
        <f t="shared" si="73"/>
        <v>145396.611</v>
      </c>
      <c r="G191" s="254">
        <f t="shared" si="73"/>
        <v>149688.77699999997</v>
      </c>
      <c r="H191" s="254">
        <f t="shared" si="73"/>
        <v>126713.5</v>
      </c>
      <c r="I191" s="254">
        <f t="shared" si="73"/>
        <v>113441.361</v>
      </c>
      <c r="J191" s="254">
        <f t="shared" si="73"/>
        <v>104798.53</v>
      </c>
      <c r="K191" s="254">
        <f t="shared" si="73"/>
        <v>112355.647</v>
      </c>
      <c r="L191" s="254">
        <f t="shared" si="73"/>
        <v>110712.698</v>
      </c>
      <c r="M191" s="254">
        <f t="shared" si="73"/>
        <v>127995.837</v>
      </c>
      <c r="N191" s="254">
        <f t="shared" si="73"/>
        <v>132757.14499999999</v>
      </c>
      <c r="O191" s="254">
        <f t="shared" si="73"/>
        <v>148061.82799999998</v>
      </c>
      <c r="P191" s="254">
        <f t="shared" si="69"/>
        <v>1568849.7600000002</v>
      </c>
      <c r="Q191" s="254"/>
    </row>
    <row r="192" spans="2:17" s="251" customFormat="1" x14ac:dyDescent="0.2">
      <c r="B192" s="251" t="str">
        <f t="shared" si="73"/>
        <v>Limited interrupt w/ firm option - ind</v>
      </c>
      <c r="C192" s="252">
        <f t="shared" si="73"/>
        <v>86</v>
      </c>
      <c r="D192" s="254">
        <f t="shared" si="73"/>
        <v>17702.267</v>
      </c>
      <c r="E192" s="254">
        <f t="shared" si="73"/>
        <v>18723.310999999998</v>
      </c>
      <c r="F192" s="254">
        <f t="shared" si="73"/>
        <v>17030.457000000002</v>
      </c>
      <c r="G192" s="254">
        <f t="shared" si="73"/>
        <v>21970.927</v>
      </c>
      <c r="H192" s="254">
        <f t="shared" si="73"/>
        <v>11131.916000000001</v>
      </c>
      <c r="I192" s="254">
        <f t="shared" si="73"/>
        <v>8571.3490000000002</v>
      </c>
      <c r="J192" s="254">
        <f t="shared" si="73"/>
        <v>6458.3860000000004</v>
      </c>
      <c r="K192" s="254">
        <f t="shared" si="73"/>
        <v>7712.2290000000003</v>
      </c>
      <c r="L192" s="254">
        <f t="shared" si="73"/>
        <v>16207.902</v>
      </c>
      <c r="M192" s="254">
        <f t="shared" si="73"/>
        <v>24308.588</v>
      </c>
      <c r="N192" s="254">
        <f t="shared" si="73"/>
        <v>21355.864999999998</v>
      </c>
      <c r="O192" s="254">
        <f t="shared" si="73"/>
        <v>20284.632000000001</v>
      </c>
      <c r="P192" s="254">
        <f t="shared" si="69"/>
        <v>191457.829</v>
      </c>
      <c r="Q192" s="254"/>
    </row>
    <row r="193" spans="2:17" s="251" customFormat="1" x14ac:dyDescent="0.2">
      <c r="B193" s="251" t="str">
        <f t="shared" si="73"/>
        <v>Non-excl interrupt w/ firm option - ind</v>
      </c>
      <c r="C193" s="252">
        <f t="shared" si="73"/>
        <v>87</v>
      </c>
      <c r="D193" s="254">
        <f t="shared" si="73"/>
        <v>0</v>
      </c>
      <c r="E193" s="254">
        <f t="shared" si="73"/>
        <v>0</v>
      </c>
      <c r="F193" s="254">
        <f t="shared" si="73"/>
        <v>0</v>
      </c>
      <c r="G193" s="254">
        <f t="shared" si="73"/>
        <v>0</v>
      </c>
      <c r="H193" s="254">
        <f t="shared" si="73"/>
        <v>0</v>
      </c>
      <c r="I193" s="254">
        <f t="shared" si="73"/>
        <v>0</v>
      </c>
      <c r="J193" s="254">
        <f t="shared" si="73"/>
        <v>0</v>
      </c>
      <c r="K193" s="254">
        <f t="shared" si="73"/>
        <v>0</v>
      </c>
      <c r="L193" s="254">
        <f t="shared" si="73"/>
        <v>0</v>
      </c>
      <c r="M193" s="254">
        <f t="shared" si="73"/>
        <v>0</v>
      </c>
      <c r="N193" s="254">
        <f t="shared" si="73"/>
        <v>0</v>
      </c>
      <c r="O193" s="254">
        <f t="shared" si="73"/>
        <v>0</v>
      </c>
      <c r="P193" s="254">
        <f t="shared" si="69"/>
        <v>0</v>
      </c>
      <c r="Q193" s="254"/>
    </row>
    <row r="194" spans="2:17" s="251" customFormat="1" x14ac:dyDescent="0.2">
      <c r="B194" s="251" t="s">
        <v>281</v>
      </c>
      <c r="C194" s="252" t="s">
        <v>35</v>
      </c>
      <c r="D194" s="254">
        <f t="shared" ref="D194:O197" si="74">D27</f>
        <v>587041.71</v>
      </c>
      <c r="E194" s="254">
        <f t="shared" si="74"/>
        <v>560063.15999999992</v>
      </c>
      <c r="F194" s="254">
        <f t="shared" si="74"/>
        <v>653291.67999999993</v>
      </c>
      <c r="G194" s="254">
        <f t="shared" si="74"/>
        <v>562059.31000000006</v>
      </c>
      <c r="H194" s="254">
        <f t="shared" si="74"/>
        <v>533050.39999999991</v>
      </c>
      <c r="I194" s="254">
        <f t="shared" si="74"/>
        <v>518939.12</v>
      </c>
      <c r="J194" s="254">
        <f t="shared" si="74"/>
        <v>498241.05999999994</v>
      </c>
      <c r="K194" s="254">
        <f t="shared" si="74"/>
        <v>524995.74</v>
      </c>
      <c r="L194" s="254">
        <f t="shared" si="74"/>
        <v>494198.93</v>
      </c>
      <c r="M194" s="254">
        <f t="shared" si="74"/>
        <v>563272.6</v>
      </c>
      <c r="N194" s="254">
        <f t="shared" si="74"/>
        <v>523358.36</v>
      </c>
      <c r="O194" s="254">
        <f t="shared" si="74"/>
        <v>470635.43000000005</v>
      </c>
      <c r="P194" s="254">
        <f t="shared" si="69"/>
        <v>6489147.4999999991</v>
      </c>
      <c r="Q194" s="254"/>
    </row>
    <row r="195" spans="2:17" s="251" customFormat="1" x14ac:dyDescent="0.2">
      <c r="B195" s="251" t="s">
        <v>282</v>
      </c>
      <c r="C195" s="252" t="s">
        <v>37</v>
      </c>
      <c r="D195" s="254">
        <f t="shared" si="74"/>
        <v>4463633.12</v>
      </c>
      <c r="E195" s="254">
        <f t="shared" si="74"/>
        <v>4116771.16</v>
      </c>
      <c r="F195" s="254">
        <f t="shared" si="74"/>
        <v>4871480.7699999996</v>
      </c>
      <c r="G195" s="254">
        <f t="shared" si="74"/>
        <v>4319936.82</v>
      </c>
      <c r="H195" s="254">
        <f t="shared" si="74"/>
        <v>4256767.37</v>
      </c>
      <c r="I195" s="254">
        <f t="shared" si="74"/>
        <v>4233782.51</v>
      </c>
      <c r="J195" s="254">
        <f t="shared" si="74"/>
        <v>4106046.0300000003</v>
      </c>
      <c r="K195" s="254">
        <f t="shared" si="74"/>
        <v>4244638.33</v>
      </c>
      <c r="L195" s="254">
        <f t="shared" si="74"/>
        <v>4278513.0999999996</v>
      </c>
      <c r="M195" s="254">
        <f t="shared" si="74"/>
        <v>4815407.16</v>
      </c>
      <c r="N195" s="254">
        <f t="shared" si="74"/>
        <v>4153524.94</v>
      </c>
      <c r="O195" s="254">
        <f t="shared" si="74"/>
        <v>3916194.69</v>
      </c>
      <c r="P195" s="254">
        <f t="shared" si="69"/>
        <v>51776696</v>
      </c>
      <c r="Q195" s="254"/>
    </row>
    <row r="196" spans="2:17" s="251" customFormat="1" x14ac:dyDescent="0.2">
      <c r="B196" s="251" t="s">
        <v>283</v>
      </c>
      <c r="C196" s="252" t="s">
        <v>39</v>
      </c>
      <c r="D196" s="254">
        <f t="shared" si="74"/>
        <v>49343.94</v>
      </c>
      <c r="E196" s="254">
        <f t="shared" si="74"/>
        <v>52603.87</v>
      </c>
      <c r="F196" s="254">
        <f t="shared" si="74"/>
        <v>40825.67</v>
      </c>
      <c r="G196" s="254">
        <f t="shared" si="74"/>
        <v>24785.5</v>
      </c>
      <c r="H196" s="254">
        <f t="shared" si="74"/>
        <v>18363.18</v>
      </c>
      <c r="I196" s="254">
        <f t="shared" si="74"/>
        <v>20942.59</v>
      </c>
      <c r="J196" s="254">
        <f t="shared" si="74"/>
        <v>16363.51</v>
      </c>
      <c r="K196" s="254">
        <f t="shared" si="74"/>
        <v>13568.14</v>
      </c>
      <c r="L196" s="254">
        <f t="shared" si="74"/>
        <v>18972.219999999998</v>
      </c>
      <c r="M196" s="254">
        <f t="shared" si="74"/>
        <v>33141.14</v>
      </c>
      <c r="N196" s="254">
        <f t="shared" si="74"/>
        <v>34143.08</v>
      </c>
      <c r="O196" s="254">
        <f t="shared" si="74"/>
        <v>28235.31</v>
      </c>
      <c r="P196" s="254">
        <f t="shared" si="69"/>
        <v>351288.14999999997</v>
      </c>
      <c r="Q196" s="254"/>
    </row>
    <row r="197" spans="2:17" s="251" customFormat="1" x14ac:dyDescent="0.2">
      <c r="B197" s="251" t="s">
        <v>284</v>
      </c>
      <c r="C197" s="252" t="s">
        <v>41</v>
      </c>
      <c r="D197" s="254">
        <f t="shared" si="74"/>
        <v>6317281.6500000004</v>
      </c>
      <c r="E197" s="254">
        <f t="shared" si="74"/>
        <v>6906246.4400000004</v>
      </c>
      <c r="F197" s="254">
        <f t="shared" si="74"/>
        <v>7685171.5099999998</v>
      </c>
      <c r="G197" s="254">
        <f t="shared" si="74"/>
        <v>6615627.5999999996</v>
      </c>
      <c r="H197" s="254">
        <f t="shared" si="74"/>
        <v>6953514.0099999998</v>
      </c>
      <c r="I197" s="254">
        <f t="shared" si="74"/>
        <v>6482373.2000000002</v>
      </c>
      <c r="J197" s="254">
        <f t="shared" si="74"/>
        <v>7603945.8300000001</v>
      </c>
      <c r="K197" s="254">
        <f t="shared" si="74"/>
        <v>7599367.4900000002</v>
      </c>
      <c r="L197" s="254">
        <f t="shared" si="74"/>
        <v>6557926.9699999997</v>
      </c>
      <c r="M197" s="254">
        <f t="shared" si="74"/>
        <v>6548147.0600000005</v>
      </c>
      <c r="N197" s="254">
        <f t="shared" si="74"/>
        <v>5492948.540000001</v>
      </c>
      <c r="O197" s="254">
        <f t="shared" si="74"/>
        <v>6991469.5500000007</v>
      </c>
      <c r="P197" s="254">
        <f t="shared" si="69"/>
        <v>81754019.850000009</v>
      </c>
      <c r="Q197" s="254"/>
    </row>
    <row r="198" spans="2:17" s="251" customFormat="1" x14ac:dyDescent="0.2">
      <c r="B198" s="251" t="s">
        <v>310</v>
      </c>
      <c r="C198" s="252"/>
      <c r="D198" s="262">
        <f>SUM(D187:D197)</f>
        <v>11590997.361000001</v>
      </c>
      <c r="E198" s="262">
        <f t="shared" ref="E198:O198" si="75">SUM(E187:E197)</f>
        <v>11801997.093</v>
      </c>
      <c r="F198" s="262">
        <f t="shared" si="75"/>
        <v>13416273.393999999</v>
      </c>
      <c r="G198" s="262">
        <f t="shared" si="75"/>
        <v>11696405.495000001</v>
      </c>
      <c r="H198" s="262">
        <f t="shared" si="75"/>
        <v>11901334.470999999</v>
      </c>
      <c r="I198" s="262">
        <f t="shared" si="75"/>
        <v>11379781.249</v>
      </c>
      <c r="J198" s="262">
        <f t="shared" si="75"/>
        <v>12337465.191</v>
      </c>
      <c r="K198" s="262">
        <f t="shared" si="75"/>
        <v>12504267.726</v>
      </c>
      <c r="L198" s="262">
        <f t="shared" si="75"/>
        <v>11478373.950999999</v>
      </c>
      <c r="M198" s="262">
        <f t="shared" si="75"/>
        <v>12114585.374000002</v>
      </c>
      <c r="N198" s="262">
        <f t="shared" si="75"/>
        <v>10360898.482000001</v>
      </c>
      <c r="O198" s="262">
        <f t="shared" si="75"/>
        <v>11577996.903999999</v>
      </c>
      <c r="P198" s="262">
        <f>SUM(P187:P197)</f>
        <v>142160376.69100001</v>
      </c>
      <c r="Q198" s="261"/>
    </row>
    <row r="199" spans="2:17" s="251" customFormat="1" x14ac:dyDescent="0.2">
      <c r="B199" s="251" t="s">
        <v>311</v>
      </c>
      <c r="C199" s="252"/>
      <c r="D199" s="262">
        <f>D185+D198</f>
        <v>166552053.47500002</v>
      </c>
      <c r="E199" s="262">
        <f t="shared" ref="E199:O199" si="76">E185+E198</f>
        <v>132722491.49300002</v>
      </c>
      <c r="F199" s="262">
        <f t="shared" si="76"/>
        <v>138038713.21000004</v>
      </c>
      <c r="G199" s="262">
        <f t="shared" si="76"/>
        <v>99007354.439999998</v>
      </c>
      <c r="H199" s="262">
        <f t="shared" si="76"/>
        <v>69941058.016000003</v>
      </c>
      <c r="I199" s="262">
        <f t="shared" si="76"/>
        <v>52323795.749999985</v>
      </c>
      <c r="J199" s="262">
        <f t="shared" si="76"/>
        <v>44513655.328999996</v>
      </c>
      <c r="K199" s="262">
        <f t="shared" si="76"/>
        <v>44848856.703000002</v>
      </c>
      <c r="L199" s="262">
        <f t="shared" si="76"/>
        <v>55568657.735000007</v>
      </c>
      <c r="M199" s="262">
        <f t="shared" si="76"/>
        <v>89253856.686000019</v>
      </c>
      <c r="N199" s="262">
        <f t="shared" si="76"/>
        <v>134669493.86799997</v>
      </c>
      <c r="O199" s="262">
        <f t="shared" si="76"/>
        <v>164547110.96399999</v>
      </c>
      <c r="P199" s="262">
        <f>P185+P198</f>
        <v>1191987097.6690001</v>
      </c>
      <c r="Q199" s="261"/>
    </row>
    <row r="200" spans="2:17" ht="15" x14ac:dyDescent="0.25">
      <c r="B200" s="251"/>
      <c r="C200" s="252"/>
      <c r="D200" s="261"/>
      <c r="E200" s="261"/>
      <c r="F200" s="261"/>
      <c r="G200" s="261"/>
      <c r="H200" s="261"/>
      <c r="I200" s="261"/>
      <c r="J200" s="261"/>
      <c r="K200" s="261"/>
      <c r="L200" s="261"/>
      <c r="M200" s="261"/>
      <c r="N200" s="261"/>
      <c r="O200" s="261"/>
      <c r="P200" s="261"/>
      <c r="Q200" s="261"/>
    </row>
    <row r="201" spans="2:17" ht="15" x14ac:dyDescent="0.25">
      <c r="B201" s="263" t="s">
        <v>312</v>
      </c>
      <c r="C201" s="252"/>
      <c r="D201" s="261"/>
      <c r="E201" s="261"/>
      <c r="F201" s="261"/>
      <c r="G201" s="261"/>
      <c r="H201" s="261"/>
      <c r="I201" s="261"/>
      <c r="J201" s="261"/>
      <c r="K201" s="261"/>
      <c r="L201" s="261"/>
      <c r="M201" s="261"/>
      <c r="N201" s="261"/>
      <c r="O201" s="261"/>
      <c r="P201" s="261"/>
      <c r="Q201" s="261"/>
    </row>
    <row r="202" spans="2:17" ht="15" x14ac:dyDescent="0.25">
      <c r="B202" s="369" t="s">
        <v>191</v>
      </c>
      <c r="C202" s="252"/>
      <c r="D202" s="261">
        <v>0</v>
      </c>
      <c r="E202" s="261">
        <v>0</v>
      </c>
      <c r="F202" s="261">
        <v>0</v>
      </c>
      <c r="G202" s="261">
        <v>0</v>
      </c>
      <c r="H202" s="261">
        <v>0</v>
      </c>
      <c r="I202" s="261">
        <v>0</v>
      </c>
      <c r="J202" s="261">
        <v>0</v>
      </c>
      <c r="K202" s="261">
        <v>0</v>
      </c>
      <c r="L202" s="261">
        <v>0</v>
      </c>
      <c r="M202" s="261">
        <v>0</v>
      </c>
      <c r="N202" s="261">
        <v>0</v>
      </c>
      <c r="O202" s="261">
        <v>0</v>
      </c>
      <c r="P202" s="254">
        <f t="shared" ref="P202:P216" si="77">SUM(D202:O202)</f>
        <v>0</v>
      </c>
      <c r="Q202" s="254"/>
    </row>
    <row r="203" spans="2:17" ht="15" x14ac:dyDescent="0.25">
      <c r="B203" s="369" t="s">
        <v>313</v>
      </c>
      <c r="C203" s="252"/>
      <c r="D203" s="261">
        <f>D155</f>
        <v>12126683</v>
      </c>
      <c r="E203" s="261">
        <f t="shared" ref="E203:O203" si="78">E155</f>
        <v>-7614772</v>
      </c>
      <c r="F203" s="261">
        <f t="shared" si="78"/>
        <v>473028</v>
      </c>
      <c r="G203" s="261">
        <f t="shared" si="78"/>
        <v>2407991</v>
      </c>
      <c r="H203" s="261">
        <f t="shared" si="78"/>
        <v>6809472</v>
      </c>
      <c r="I203" s="261">
        <f t="shared" si="78"/>
        <v>1560235</v>
      </c>
      <c r="J203" s="261">
        <f t="shared" si="78"/>
        <v>0</v>
      </c>
      <c r="K203" s="261">
        <f t="shared" si="78"/>
        <v>0</v>
      </c>
      <c r="L203" s="261">
        <f t="shared" si="78"/>
        <v>1001702</v>
      </c>
      <c r="M203" s="261">
        <f t="shared" si="78"/>
        <v>1715731</v>
      </c>
      <c r="N203" s="261">
        <f t="shared" si="78"/>
        <v>11224034</v>
      </c>
      <c r="O203" s="261">
        <f t="shared" si="78"/>
        <v>11883254</v>
      </c>
      <c r="P203" s="254">
        <f t="shared" si="77"/>
        <v>41587358</v>
      </c>
      <c r="Q203" s="254"/>
    </row>
    <row r="204" spans="2:17" ht="15" x14ac:dyDescent="0.25">
      <c r="B204" s="283" t="s">
        <v>194</v>
      </c>
      <c r="C204" s="252"/>
      <c r="D204" s="261">
        <f>SUM(D156:D156)+D164</f>
        <v>3448555</v>
      </c>
      <c r="E204" s="261">
        <f t="shared" ref="E204:O204" si="79">SUM(E156:E156)+E164</f>
        <v>-2075842</v>
      </c>
      <c r="F204" s="261">
        <f t="shared" si="79"/>
        <v>128378</v>
      </c>
      <c r="G204" s="261">
        <f t="shared" si="79"/>
        <v>585540</v>
      </c>
      <c r="H204" s="261">
        <f t="shared" si="79"/>
        <v>1398065</v>
      </c>
      <c r="I204" s="261">
        <f t="shared" si="79"/>
        <v>24530</v>
      </c>
      <c r="J204" s="261">
        <f t="shared" si="79"/>
        <v>0</v>
      </c>
      <c r="K204" s="261">
        <f t="shared" si="79"/>
        <v>0</v>
      </c>
      <c r="L204" s="261">
        <f t="shared" si="79"/>
        <v>17098</v>
      </c>
      <c r="M204" s="261">
        <f t="shared" si="79"/>
        <v>363530</v>
      </c>
      <c r="N204" s="261">
        <f t="shared" si="79"/>
        <v>2855738</v>
      </c>
      <c r="O204" s="261">
        <f t="shared" si="79"/>
        <v>3322282</v>
      </c>
      <c r="P204" s="254">
        <f t="shared" si="77"/>
        <v>10067874</v>
      </c>
      <c r="Q204" s="254"/>
    </row>
    <row r="205" spans="2:17" ht="15" x14ac:dyDescent="0.25">
      <c r="B205" s="369" t="s">
        <v>195</v>
      </c>
      <c r="C205" s="252"/>
      <c r="D205" s="261">
        <f>SUM(D157:D157)+D165</f>
        <v>669833</v>
      </c>
      <c r="E205" s="261">
        <f t="shared" ref="E205:O205" si="80">SUM(E157:E157)+E165</f>
        <v>-403520</v>
      </c>
      <c r="F205" s="261">
        <f t="shared" si="80"/>
        <v>28969</v>
      </c>
      <c r="G205" s="261">
        <f t="shared" si="80"/>
        <v>145624</v>
      </c>
      <c r="H205" s="261">
        <f t="shared" si="80"/>
        <v>480685</v>
      </c>
      <c r="I205" s="261">
        <f t="shared" si="80"/>
        <v>124587</v>
      </c>
      <c r="J205" s="261">
        <f t="shared" si="80"/>
        <v>0</v>
      </c>
      <c r="K205" s="261">
        <f t="shared" si="80"/>
        <v>0</v>
      </c>
      <c r="L205" s="261">
        <f t="shared" si="80"/>
        <v>49115</v>
      </c>
      <c r="M205" s="261">
        <f t="shared" si="80"/>
        <v>95773</v>
      </c>
      <c r="N205" s="261">
        <f t="shared" si="80"/>
        <v>576992</v>
      </c>
      <c r="O205" s="261">
        <f t="shared" si="80"/>
        <v>616556</v>
      </c>
      <c r="P205" s="254">
        <f t="shared" si="77"/>
        <v>2384614</v>
      </c>
      <c r="Q205" s="254"/>
    </row>
    <row r="206" spans="2:17" ht="15" x14ac:dyDescent="0.25">
      <c r="B206" s="369" t="s">
        <v>415</v>
      </c>
      <c r="C206" s="252"/>
      <c r="D206" s="261">
        <v>0</v>
      </c>
      <c r="E206" s="261">
        <v>0</v>
      </c>
      <c r="F206" s="261">
        <v>0</v>
      </c>
      <c r="G206" s="261">
        <v>0</v>
      </c>
      <c r="H206" s="261">
        <v>0</v>
      </c>
      <c r="I206" s="261">
        <v>0</v>
      </c>
      <c r="J206" s="261">
        <v>0</v>
      </c>
      <c r="K206" s="261">
        <v>0</v>
      </c>
      <c r="L206" s="261">
        <v>0</v>
      </c>
      <c r="M206" s="261">
        <v>0</v>
      </c>
      <c r="N206" s="261">
        <v>0</v>
      </c>
      <c r="O206" s="261">
        <v>0</v>
      </c>
      <c r="P206" s="254">
        <f t="shared" si="77"/>
        <v>0</v>
      </c>
      <c r="Q206" s="254"/>
    </row>
    <row r="207" spans="2:17" ht="15" x14ac:dyDescent="0.25">
      <c r="B207" s="369" t="s">
        <v>314</v>
      </c>
      <c r="C207" s="252"/>
      <c r="D207" s="261">
        <v>0</v>
      </c>
      <c r="E207" s="261">
        <v>0</v>
      </c>
      <c r="F207" s="261">
        <v>0</v>
      </c>
      <c r="G207" s="261">
        <v>0</v>
      </c>
      <c r="H207" s="261">
        <v>0</v>
      </c>
      <c r="I207" s="261">
        <v>0</v>
      </c>
      <c r="J207" s="261">
        <v>0</v>
      </c>
      <c r="K207" s="261">
        <v>0</v>
      </c>
      <c r="L207" s="261">
        <v>0</v>
      </c>
      <c r="M207" s="261">
        <v>0</v>
      </c>
      <c r="N207" s="261">
        <v>0</v>
      </c>
      <c r="O207" s="261">
        <v>0</v>
      </c>
      <c r="P207" s="254">
        <f t="shared" si="77"/>
        <v>0</v>
      </c>
      <c r="Q207" s="254"/>
    </row>
    <row r="208" spans="2:17" ht="15" x14ac:dyDescent="0.25">
      <c r="B208" s="369" t="s">
        <v>198</v>
      </c>
      <c r="C208" s="252"/>
      <c r="D208" s="261">
        <f>D161</f>
        <v>70309</v>
      </c>
      <c r="E208" s="261">
        <f t="shared" ref="E208:O210" si="81">E161</f>
        <v>-43357</v>
      </c>
      <c r="F208" s="261">
        <f t="shared" si="81"/>
        <v>1732</v>
      </c>
      <c r="G208" s="261">
        <f t="shared" si="81"/>
        <v>7108</v>
      </c>
      <c r="H208" s="261">
        <f t="shared" si="81"/>
        <v>0</v>
      </c>
      <c r="I208" s="261">
        <f t="shared" si="81"/>
        <v>0</v>
      </c>
      <c r="J208" s="261">
        <f t="shared" si="81"/>
        <v>0</v>
      </c>
      <c r="K208" s="261">
        <f t="shared" si="81"/>
        <v>0</v>
      </c>
      <c r="L208" s="261">
        <f t="shared" si="81"/>
        <v>0</v>
      </c>
      <c r="M208" s="261">
        <f t="shared" si="81"/>
        <v>7017</v>
      </c>
      <c r="N208" s="261">
        <f t="shared" si="81"/>
        <v>13835</v>
      </c>
      <c r="O208" s="261">
        <f t="shared" si="81"/>
        <v>0</v>
      </c>
      <c r="P208" s="254">
        <f t="shared" si="77"/>
        <v>56644</v>
      </c>
      <c r="Q208" s="254"/>
    </row>
    <row r="209" spans="2:17" ht="15" x14ac:dyDescent="0.25">
      <c r="B209" s="369" t="s">
        <v>200</v>
      </c>
      <c r="C209" s="252"/>
      <c r="D209" s="261">
        <f>D162</f>
        <v>71982</v>
      </c>
      <c r="E209" s="261">
        <f t="shared" si="81"/>
        <v>-47007</v>
      </c>
      <c r="F209" s="261">
        <f t="shared" si="81"/>
        <v>1822</v>
      </c>
      <c r="G209" s="261">
        <f t="shared" si="81"/>
        <v>7404</v>
      </c>
      <c r="H209" s="261">
        <f t="shared" si="81"/>
        <v>0</v>
      </c>
      <c r="I209" s="261">
        <f t="shared" si="81"/>
        <v>0</v>
      </c>
      <c r="J209" s="261">
        <f t="shared" si="81"/>
        <v>0</v>
      </c>
      <c r="K209" s="261">
        <f t="shared" si="81"/>
        <v>0</v>
      </c>
      <c r="L209" s="261">
        <f t="shared" si="81"/>
        <v>0</v>
      </c>
      <c r="M209" s="261">
        <f t="shared" si="81"/>
        <v>8460</v>
      </c>
      <c r="N209" s="261">
        <f t="shared" si="81"/>
        <v>15762</v>
      </c>
      <c r="O209" s="261">
        <f t="shared" si="81"/>
        <v>0</v>
      </c>
      <c r="P209" s="254">
        <f t="shared" si="77"/>
        <v>58423</v>
      </c>
      <c r="Q209" s="254"/>
    </row>
    <row r="210" spans="2:17" ht="15" x14ac:dyDescent="0.25">
      <c r="B210" s="369" t="s">
        <v>202</v>
      </c>
      <c r="C210" s="252"/>
      <c r="D210" s="261">
        <f>D163</f>
        <v>94022</v>
      </c>
      <c r="E210" s="261">
        <f t="shared" si="81"/>
        <v>-52176</v>
      </c>
      <c r="F210" s="261">
        <f t="shared" si="81"/>
        <v>2076</v>
      </c>
      <c r="G210" s="261">
        <f t="shared" si="81"/>
        <v>8419</v>
      </c>
      <c r="H210" s="261">
        <f t="shared" si="81"/>
        <v>0</v>
      </c>
      <c r="I210" s="261">
        <f t="shared" si="81"/>
        <v>0</v>
      </c>
      <c r="J210" s="261">
        <f t="shared" si="81"/>
        <v>0</v>
      </c>
      <c r="K210" s="261">
        <f t="shared" si="81"/>
        <v>0</v>
      </c>
      <c r="L210" s="261">
        <f t="shared" si="81"/>
        <v>0</v>
      </c>
      <c r="M210" s="261">
        <f t="shared" si="81"/>
        <v>9079</v>
      </c>
      <c r="N210" s="261">
        <f t="shared" si="81"/>
        <v>18997</v>
      </c>
      <c r="O210" s="261">
        <f t="shared" si="81"/>
        <v>0</v>
      </c>
      <c r="P210" s="254">
        <f t="shared" si="77"/>
        <v>80417</v>
      </c>
      <c r="Q210" s="254"/>
    </row>
    <row r="211" spans="2:17" ht="15" x14ac:dyDescent="0.25">
      <c r="B211" s="251" t="s">
        <v>315</v>
      </c>
      <c r="C211" s="252"/>
      <c r="D211" s="261">
        <f>D166</f>
        <v>115</v>
      </c>
      <c r="E211" s="261">
        <f t="shared" ref="E211:O211" si="82">E166</f>
        <v>-69</v>
      </c>
      <c r="F211" s="261">
        <f t="shared" si="82"/>
        <v>2</v>
      </c>
      <c r="G211" s="261">
        <f t="shared" si="82"/>
        <v>22</v>
      </c>
      <c r="H211" s="261">
        <f t="shared" si="82"/>
        <v>47</v>
      </c>
      <c r="I211" s="261">
        <f t="shared" si="82"/>
        <v>10</v>
      </c>
      <c r="J211" s="261">
        <f t="shared" si="82"/>
        <v>0</v>
      </c>
      <c r="K211" s="261">
        <f t="shared" si="82"/>
        <v>0</v>
      </c>
      <c r="L211" s="261">
        <f t="shared" si="82"/>
        <v>0</v>
      </c>
      <c r="M211" s="261">
        <f t="shared" si="82"/>
        <v>0</v>
      </c>
      <c r="N211" s="261">
        <f t="shared" si="82"/>
        <v>0</v>
      </c>
      <c r="O211" s="261">
        <f t="shared" si="82"/>
        <v>0</v>
      </c>
      <c r="P211" s="254">
        <f>SUM(D211:O211)</f>
        <v>127</v>
      </c>
      <c r="Q211" s="254"/>
    </row>
    <row r="212" spans="2:17" ht="15" x14ac:dyDescent="0.25">
      <c r="B212" s="251" t="s">
        <v>316</v>
      </c>
      <c r="C212" s="252"/>
      <c r="D212" s="261">
        <f>D158</f>
        <v>53960</v>
      </c>
      <c r="E212" s="261">
        <f t="shared" ref="E212:O213" si="83">E158</f>
        <v>-31805</v>
      </c>
      <c r="F212" s="261">
        <f t="shared" si="83"/>
        <v>1092</v>
      </c>
      <c r="G212" s="261">
        <f t="shared" si="83"/>
        <v>12521</v>
      </c>
      <c r="H212" s="261">
        <f t="shared" si="83"/>
        <v>25984</v>
      </c>
      <c r="I212" s="261">
        <f t="shared" si="83"/>
        <v>0</v>
      </c>
      <c r="J212" s="261">
        <f t="shared" si="83"/>
        <v>0</v>
      </c>
      <c r="K212" s="261">
        <f t="shared" si="83"/>
        <v>0</v>
      </c>
      <c r="L212" s="261">
        <f t="shared" si="83"/>
        <v>0</v>
      </c>
      <c r="M212" s="261">
        <f t="shared" si="83"/>
        <v>6579</v>
      </c>
      <c r="N212" s="261">
        <f t="shared" si="83"/>
        <v>52581</v>
      </c>
      <c r="O212" s="261">
        <f t="shared" si="83"/>
        <v>37286</v>
      </c>
      <c r="P212" s="254">
        <f t="shared" si="77"/>
        <v>158198</v>
      </c>
      <c r="Q212" s="254"/>
    </row>
    <row r="213" spans="2:17" ht="15" x14ac:dyDescent="0.25">
      <c r="B213" s="251" t="s">
        <v>317</v>
      </c>
      <c r="C213" s="252"/>
      <c r="D213" s="261">
        <f>D159</f>
        <v>95773</v>
      </c>
      <c r="E213" s="261">
        <f t="shared" si="83"/>
        <v>-40499</v>
      </c>
      <c r="F213" s="261">
        <f t="shared" si="83"/>
        <v>1613</v>
      </c>
      <c r="G213" s="261">
        <f t="shared" si="83"/>
        <v>20904</v>
      </c>
      <c r="H213" s="261">
        <f t="shared" si="83"/>
        <v>62330</v>
      </c>
      <c r="I213" s="261">
        <f t="shared" si="83"/>
        <v>18537</v>
      </c>
      <c r="J213" s="261">
        <f t="shared" si="83"/>
        <v>0</v>
      </c>
      <c r="K213" s="261">
        <f t="shared" si="83"/>
        <v>0</v>
      </c>
      <c r="L213" s="261">
        <f t="shared" si="83"/>
        <v>0</v>
      </c>
      <c r="M213" s="261">
        <f t="shared" si="83"/>
        <v>10229</v>
      </c>
      <c r="N213" s="261">
        <f t="shared" si="83"/>
        <v>85356</v>
      </c>
      <c r="O213" s="261">
        <f t="shared" si="83"/>
        <v>62901</v>
      </c>
      <c r="P213" s="254">
        <f t="shared" si="77"/>
        <v>317144</v>
      </c>
      <c r="Q213" s="254"/>
    </row>
    <row r="214" spans="2:17" ht="15" x14ac:dyDescent="0.25">
      <c r="B214" s="251" t="s">
        <v>318</v>
      </c>
      <c r="C214" s="252"/>
      <c r="D214" s="261">
        <v>0</v>
      </c>
      <c r="E214" s="261">
        <v>0</v>
      </c>
      <c r="F214" s="261">
        <v>0</v>
      </c>
      <c r="G214" s="261">
        <v>0</v>
      </c>
      <c r="H214" s="261">
        <v>0</v>
      </c>
      <c r="I214" s="261">
        <v>0</v>
      </c>
      <c r="J214" s="261">
        <v>0</v>
      </c>
      <c r="K214" s="261">
        <v>0</v>
      </c>
      <c r="L214" s="261">
        <v>0</v>
      </c>
      <c r="M214" s="261">
        <v>0</v>
      </c>
      <c r="N214" s="261">
        <v>0</v>
      </c>
      <c r="O214" s="261">
        <v>0</v>
      </c>
      <c r="P214" s="254">
        <f t="shared" si="77"/>
        <v>0</v>
      </c>
      <c r="Q214" s="254"/>
    </row>
    <row r="215" spans="2:17" ht="15" x14ac:dyDescent="0.25">
      <c r="B215" s="251" t="s">
        <v>319</v>
      </c>
      <c r="C215" s="252"/>
      <c r="D215" s="261">
        <f>D160</f>
        <v>167857</v>
      </c>
      <c r="E215" s="261">
        <f t="shared" ref="E215:O215" si="84">E160</f>
        <v>-89985</v>
      </c>
      <c r="F215" s="261">
        <f t="shared" si="84"/>
        <v>2749</v>
      </c>
      <c r="G215" s="261">
        <f t="shared" si="84"/>
        <v>37151</v>
      </c>
      <c r="H215" s="261">
        <f t="shared" si="84"/>
        <v>109586</v>
      </c>
      <c r="I215" s="261">
        <f t="shared" si="84"/>
        <v>24947</v>
      </c>
      <c r="J215" s="261">
        <f t="shared" si="84"/>
        <v>0</v>
      </c>
      <c r="K215" s="261">
        <f t="shared" si="84"/>
        <v>0</v>
      </c>
      <c r="L215" s="261">
        <f t="shared" si="84"/>
        <v>0</v>
      </c>
      <c r="M215" s="261">
        <f t="shared" si="84"/>
        <v>13997</v>
      </c>
      <c r="N215" s="261">
        <f t="shared" si="84"/>
        <v>152996</v>
      </c>
      <c r="O215" s="261">
        <f t="shared" si="84"/>
        <v>111414</v>
      </c>
      <c r="P215" s="254">
        <f t="shared" si="77"/>
        <v>530712</v>
      </c>
      <c r="Q215" s="254"/>
    </row>
    <row r="216" spans="2:17" s="270" customFormat="1" x14ac:dyDescent="0.2">
      <c r="B216" s="283" t="s">
        <v>13</v>
      </c>
      <c r="C216" s="370"/>
      <c r="D216" s="261">
        <f>D167</f>
        <v>411040</v>
      </c>
      <c r="E216" s="261">
        <f t="shared" ref="E216:O216" si="85">E167</f>
        <v>-247412</v>
      </c>
      <c r="F216" s="261">
        <f t="shared" si="85"/>
        <v>7408</v>
      </c>
      <c r="G216" s="261">
        <f t="shared" si="85"/>
        <v>109805</v>
      </c>
      <c r="H216" s="261">
        <f t="shared" si="85"/>
        <v>290178</v>
      </c>
      <c r="I216" s="261">
        <f t="shared" si="85"/>
        <v>87068</v>
      </c>
      <c r="J216" s="261">
        <f t="shared" si="85"/>
        <v>0</v>
      </c>
      <c r="K216" s="261">
        <f t="shared" si="85"/>
        <v>0</v>
      </c>
      <c r="L216" s="261">
        <f t="shared" si="85"/>
        <v>76403</v>
      </c>
      <c r="M216" s="261">
        <f t="shared" si="85"/>
        <v>48603</v>
      </c>
      <c r="N216" s="261">
        <f t="shared" si="85"/>
        <v>412742</v>
      </c>
      <c r="O216" s="261">
        <f t="shared" si="85"/>
        <v>246614</v>
      </c>
      <c r="P216" s="261">
        <f t="shared" si="77"/>
        <v>1442449</v>
      </c>
      <c r="Q216" s="261"/>
    </row>
    <row r="217" spans="2:17" ht="15" x14ac:dyDescent="0.25">
      <c r="B217" s="282" t="s">
        <v>302</v>
      </c>
      <c r="C217" s="256"/>
      <c r="D217" s="280">
        <f>SUM(D202:D216)</f>
        <v>17210129</v>
      </c>
      <c r="E217" s="280">
        <f t="shared" ref="E217:P217" si="86">SUM(E202:E216)</f>
        <v>-10646444</v>
      </c>
      <c r="F217" s="280">
        <f t="shared" si="86"/>
        <v>648869</v>
      </c>
      <c r="G217" s="280">
        <f t="shared" si="86"/>
        <v>3342489</v>
      </c>
      <c r="H217" s="280">
        <f t="shared" si="86"/>
        <v>9176347</v>
      </c>
      <c r="I217" s="280">
        <f t="shared" si="86"/>
        <v>1839914</v>
      </c>
      <c r="J217" s="280">
        <f t="shared" si="86"/>
        <v>0</v>
      </c>
      <c r="K217" s="280">
        <f t="shared" si="86"/>
        <v>0</v>
      </c>
      <c r="L217" s="280">
        <f t="shared" si="86"/>
        <v>1144318</v>
      </c>
      <c r="M217" s="280">
        <f t="shared" si="86"/>
        <v>2278998</v>
      </c>
      <c r="N217" s="280">
        <f t="shared" si="86"/>
        <v>15409033</v>
      </c>
      <c r="O217" s="280">
        <f t="shared" si="86"/>
        <v>16280307</v>
      </c>
      <c r="P217" s="280">
        <f t="shared" si="86"/>
        <v>56683960</v>
      </c>
      <c r="Q217" s="269"/>
    </row>
    <row r="218" spans="2:17" ht="15" x14ac:dyDescent="0.25">
      <c r="B218" s="286" t="s">
        <v>49</v>
      </c>
      <c r="C218" s="287"/>
      <c r="D218" s="288">
        <f>D217-D152</f>
        <v>-1.0336297564208508</v>
      </c>
      <c r="E218" s="288">
        <f t="shared" ref="E218:O218" si="87">E217-E152</f>
        <v>1.0201138965785503</v>
      </c>
      <c r="F218" s="288">
        <f t="shared" si="87"/>
        <v>1.945725679397583</v>
      </c>
      <c r="G218" s="288">
        <f t="shared" si="87"/>
        <v>-1.1089804284274578</v>
      </c>
      <c r="H218" s="288">
        <v>-0.57264885306358304</v>
      </c>
      <c r="I218" s="288">
        <f t="shared" si="87"/>
        <v>-6.451600044965744E-2</v>
      </c>
      <c r="J218" s="288">
        <f t="shared" si="87"/>
        <v>0</v>
      </c>
      <c r="K218" s="288">
        <f t="shared" si="87"/>
        <v>0</v>
      </c>
      <c r="L218" s="288">
        <f>L217-L152</f>
        <v>-0.46923542395234108</v>
      </c>
      <c r="M218" s="288">
        <f t="shared" si="87"/>
        <v>1.1866466416977346</v>
      </c>
      <c r="N218" s="288">
        <f t="shared" si="87"/>
        <v>-0.28063419461250305</v>
      </c>
      <c r="O218" s="288">
        <f t="shared" si="87"/>
        <v>0.39442460238933563</v>
      </c>
      <c r="P218" s="288">
        <f>P217-P152</f>
        <v>1.7340948134660721</v>
      </c>
      <c r="Q218" s="269"/>
    </row>
    <row r="219" spans="2:17" ht="15" x14ac:dyDescent="0.25">
      <c r="C219" s="256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</row>
    <row r="220" spans="2:17" ht="15" x14ac:dyDescent="0.25">
      <c r="B220" s="263" t="s">
        <v>320</v>
      </c>
      <c r="C220" s="256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69"/>
      <c r="O220" s="269"/>
      <c r="P220" s="269"/>
      <c r="Q220" s="269"/>
    </row>
    <row r="221" spans="2:17" ht="15" x14ac:dyDescent="0.25">
      <c r="B221" s="282" t="s">
        <v>191</v>
      </c>
      <c r="C221" s="256"/>
      <c r="D221" s="269">
        <f>D187</f>
        <v>797.62900000000002</v>
      </c>
      <c r="E221" s="269">
        <f t="shared" ref="E221:O221" si="88">E187</f>
        <v>723.62300000000005</v>
      </c>
      <c r="F221" s="269">
        <f t="shared" si="88"/>
        <v>835.85599999999999</v>
      </c>
      <c r="G221" s="269">
        <f t="shared" si="88"/>
        <v>821.65099999999995</v>
      </c>
      <c r="H221" s="269">
        <f t="shared" si="88"/>
        <v>818.67499999999995</v>
      </c>
      <c r="I221" s="269">
        <f t="shared" si="88"/>
        <v>776.11900000000003</v>
      </c>
      <c r="J221" s="269">
        <f t="shared" si="88"/>
        <v>813.22500000000002</v>
      </c>
      <c r="K221" s="269">
        <f t="shared" si="88"/>
        <v>791.37</v>
      </c>
      <c r="L221" s="269">
        <f t="shared" si="88"/>
        <v>794.43100000000004</v>
      </c>
      <c r="M221" s="269">
        <f t="shared" si="88"/>
        <v>846.26900000000001</v>
      </c>
      <c r="N221" s="269">
        <f t="shared" si="88"/>
        <v>670.62199999999996</v>
      </c>
      <c r="O221" s="269">
        <f t="shared" si="88"/>
        <v>654.63400000000001</v>
      </c>
      <c r="P221" s="264">
        <f t="shared" ref="P221:P234" si="89">SUM(D221:O221)</f>
        <v>9344.1039999999994</v>
      </c>
      <c r="Q221" s="264"/>
    </row>
    <row r="222" spans="2:17" ht="15" x14ac:dyDescent="0.25">
      <c r="B222" s="282" t="s">
        <v>313</v>
      </c>
      <c r="C222" s="256"/>
      <c r="D222" s="269">
        <f>D172+D188</f>
        <v>97231172.010000005</v>
      </c>
      <c r="E222" s="269">
        <f t="shared" ref="E222:O222" si="90">E172+E188</f>
        <v>73373174.103999987</v>
      </c>
      <c r="F222" s="269">
        <f t="shared" si="90"/>
        <v>75850006.523000002</v>
      </c>
      <c r="G222" s="269">
        <f t="shared" si="90"/>
        <v>50273385.369000003</v>
      </c>
      <c r="H222" s="269">
        <f t="shared" si="90"/>
        <v>30885641.842999998</v>
      </c>
      <c r="I222" s="269">
        <f t="shared" si="90"/>
        <v>19280944.662999999</v>
      </c>
      <c r="J222" s="269">
        <f t="shared" si="90"/>
        <v>13445152.333000001</v>
      </c>
      <c r="K222" s="269">
        <f t="shared" si="90"/>
        <v>13243856.593</v>
      </c>
      <c r="L222" s="269">
        <f t="shared" si="90"/>
        <v>21691921.379000001</v>
      </c>
      <c r="M222" s="269">
        <f t="shared" si="90"/>
        <v>44274554.725000001</v>
      </c>
      <c r="N222" s="269">
        <f t="shared" si="90"/>
        <v>77701213.745000005</v>
      </c>
      <c r="O222" s="269">
        <f t="shared" si="90"/>
        <v>96411150.341000006</v>
      </c>
      <c r="P222" s="264">
        <f t="shared" si="89"/>
        <v>613662173.62800002</v>
      </c>
      <c r="Q222" s="264"/>
    </row>
    <row r="223" spans="2:17" ht="15" x14ac:dyDescent="0.25">
      <c r="B223" s="283" t="s">
        <v>194</v>
      </c>
      <c r="C223" s="256"/>
      <c r="D223" s="269">
        <f>SUM(D173:D173)+D181</f>
        <v>33819692.616999999</v>
      </c>
      <c r="E223" s="269">
        <f t="shared" ref="E223:O223" si="91">SUM(E173:E173)+E181</f>
        <v>26737897.267999999</v>
      </c>
      <c r="F223" s="269">
        <f t="shared" si="91"/>
        <v>27366430.184999999</v>
      </c>
      <c r="G223" s="269">
        <f t="shared" si="91"/>
        <v>19228638.309</v>
      </c>
      <c r="H223" s="269">
        <f t="shared" si="91"/>
        <v>12820359.558</v>
      </c>
      <c r="I223" s="269">
        <f t="shared" si="91"/>
        <v>9367756.5649999995</v>
      </c>
      <c r="J223" s="269">
        <f t="shared" si="91"/>
        <v>8114096.0209999997</v>
      </c>
      <c r="K223" s="269">
        <f t="shared" si="91"/>
        <v>8197714.5269999998</v>
      </c>
      <c r="L223" s="269">
        <f t="shared" si="91"/>
        <v>10191004.529999999</v>
      </c>
      <c r="M223" s="269">
        <f t="shared" si="91"/>
        <v>16641099.625</v>
      </c>
      <c r="N223" s="269">
        <f t="shared" si="91"/>
        <v>26448166.673</v>
      </c>
      <c r="O223" s="269">
        <f t="shared" si="91"/>
        <v>33312367.024999999</v>
      </c>
      <c r="P223" s="264">
        <f t="shared" si="89"/>
        <v>232245222.90300003</v>
      </c>
      <c r="Q223" s="264"/>
    </row>
    <row r="224" spans="2:17" ht="15" x14ac:dyDescent="0.25">
      <c r="B224" s="282" t="s">
        <v>195</v>
      </c>
      <c r="C224" s="256"/>
      <c r="D224" s="269">
        <f>D174+D182</f>
        <v>8199254.8569999998</v>
      </c>
      <c r="E224" s="269">
        <f t="shared" ref="E224:O224" si="92">E174+E182</f>
        <v>6874533.6730000004</v>
      </c>
      <c r="F224" s="269">
        <f t="shared" si="92"/>
        <v>7186710.3210000005</v>
      </c>
      <c r="G224" s="269">
        <f t="shared" si="92"/>
        <v>5748760.6760000009</v>
      </c>
      <c r="H224" s="269">
        <f t="shared" si="92"/>
        <v>4512371.5020000003</v>
      </c>
      <c r="I224" s="269">
        <f t="shared" si="92"/>
        <v>3584100.8420000002</v>
      </c>
      <c r="J224" s="269">
        <f t="shared" si="92"/>
        <v>2929327.7139999997</v>
      </c>
      <c r="K224" s="269">
        <f t="shared" si="92"/>
        <v>2967290.9019999998</v>
      </c>
      <c r="L224" s="269">
        <f t="shared" si="92"/>
        <v>3573563.4449999998</v>
      </c>
      <c r="M224" s="269">
        <f t="shared" si="92"/>
        <v>5086765.5100000007</v>
      </c>
      <c r="N224" s="269">
        <f t="shared" si="92"/>
        <v>6841150.0810000002</v>
      </c>
      <c r="O224" s="269">
        <f t="shared" si="92"/>
        <v>7994035.0350000001</v>
      </c>
      <c r="P224" s="264">
        <f t="shared" si="89"/>
        <v>65497864.558000013</v>
      </c>
      <c r="Q224" s="264"/>
    </row>
    <row r="225" spans="2:17" ht="15" x14ac:dyDescent="0.25">
      <c r="B225" s="282" t="s">
        <v>415</v>
      </c>
      <c r="C225" s="256"/>
      <c r="D225" s="269">
        <f>D189</f>
        <v>0</v>
      </c>
      <c r="E225" s="269">
        <f t="shared" ref="E225:O225" si="93">E189</f>
        <v>0</v>
      </c>
      <c r="F225" s="269">
        <f t="shared" si="93"/>
        <v>0</v>
      </c>
      <c r="G225" s="269">
        <f t="shared" si="93"/>
        <v>0</v>
      </c>
      <c r="H225" s="269">
        <f t="shared" si="93"/>
        <v>0</v>
      </c>
      <c r="I225" s="269">
        <f t="shared" si="93"/>
        <v>0</v>
      </c>
      <c r="J225" s="269">
        <f t="shared" si="93"/>
        <v>0</v>
      </c>
      <c r="K225" s="269">
        <f t="shared" si="93"/>
        <v>0</v>
      </c>
      <c r="L225" s="269">
        <f t="shared" si="93"/>
        <v>0</v>
      </c>
      <c r="M225" s="269">
        <f t="shared" si="93"/>
        <v>0</v>
      </c>
      <c r="N225" s="269">
        <f t="shared" si="93"/>
        <v>0</v>
      </c>
      <c r="O225" s="269">
        <f t="shared" si="93"/>
        <v>0</v>
      </c>
      <c r="P225" s="264">
        <f t="shared" si="89"/>
        <v>0</v>
      </c>
      <c r="Q225" s="264"/>
    </row>
    <row r="226" spans="2:17" ht="15" x14ac:dyDescent="0.25">
      <c r="B226" s="282" t="s">
        <v>314</v>
      </c>
      <c r="C226" s="256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69"/>
      <c r="O226" s="269"/>
      <c r="P226" s="264">
        <f t="shared" si="89"/>
        <v>0</v>
      </c>
      <c r="Q226" s="264"/>
    </row>
    <row r="227" spans="2:17" ht="15" x14ac:dyDescent="0.25">
      <c r="B227" s="369" t="s">
        <v>198</v>
      </c>
      <c r="C227" s="252"/>
      <c r="D227" s="261">
        <f>D178+D191</f>
        <v>1933608.2690000001</v>
      </c>
      <c r="E227" s="261">
        <f t="shared" ref="E227:O229" si="94">E178+E191</f>
        <v>1680524.0340000002</v>
      </c>
      <c r="F227" s="261">
        <f t="shared" si="94"/>
        <v>1789387.747</v>
      </c>
      <c r="G227" s="261">
        <f t="shared" si="94"/>
        <v>1400451.9129999999</v>
      </c>
      <c r="H227" s="261">
        <f t="shared" si="94"/>
        <v>1046948.3860000001</v>
      </c>
      <c r="I227" s="261">
        <f t="shared" si="94"/>
        <v>846566.86300000013</v>
      </c>
      <c r="J227" s="261">
        <f t="shared" si="94"/>
        <v>751275.15700000012</v>
      </c>
      <c r="K227" s="261">
        <f t="shared" si="94"/>
        <v>818592.84</v>
      </c>
      <c r="L227" s="261">
        <f t="shared" si="94"/>
        <v>951488.03799999994</v>
      </c>
      <c r="M227" s="261">
        <f t="shared" si="94"/>
        <v>1246629.8770000001</v>
      </c>
      <c r="N227" s="261">
        <f t="shared" si="94"/>
        <v>1526244.0460000001</v>
      </c>
      <c r="O227" s="261">
        <f t="shared" si="94"/>
        <v>1796281.3839999998</v>
      </c>
      <c r="P227" s="254">
        <f t="shared" si="89"/>
        <v>15787998.554000001</v>
      </c>
      <c r="Q227" s="254"/>
    </row>
    <row r="228" spans="2:17" ht="15" x14ac:dyDescent="0.25">
      <c r="B228" s="369" t="s">
        <v>200</v>
      </c>
      <c r="C228" s="252"/>
      <c r="D228" s="261">
        <f>D179+D192</f>
        <v>1276427.676</v>
      </c>
      <c r="E228" s="261">
        <f t="shared" si="94"/>
        <v>1068462.2690000001</v>
      </c>
      <c r="F228" s="261">
        <f t="shared" si="94"/>
        <v>1127196.3709999998</v>
      </c>
      <c r="G228" s="261">
        <f t="shared" si="94"/>
        <v>864727.49600000004</v>
      </c>
      <c r="H228" s="261">
        <f t="shared" si="94"/>
        <v>484538.7</v>
      </c>
      <c r="I228" s="261">
        <f t="shared" si="94"/>
        <v>321778.14299999998</v>
      </c>
      <c r="J228" s="261">
        <f t="shared" si="94"/>
        <v>219962.299</v>
      </c>
      <c r="K228" s="261">
        <f t="shared" si="94"/>
        <v>215005.26</v>
      </c>
      <c r="L228" s="261">
        <f t="shared" si="94"/>
        <v>362844.38800000004</v>
      </c>
      <c r="M228" s="261">
        <f t="shared" si="94"/>
        <v>702396.77799999993</v>
      </c>
      <c r="N228" s="261">
        <f t="shared" si="94"/>
        <v>948760.799</v>
      </c>
      <c r="O228" s="261">
        <f t="shared" si="94"/>
        <v>1160536.6139999998</v>
      </c>
      <c r="P228" s="254">
        <f t="shared" si="89"/>
        <v>8752636.7929999996</v>
      </c>
      <c r="Q228" s="254"/>
    </row>
    <row r="229" spans="2:17" ht="15" x14ac:dyDescent="0.25">
      <c r="B229" s="369" t="s">
        <v>202</v>
      </c>
      <c r="C229" s="252"/>
      <c r="D229" s="261">
        <f>D180+D193</f>
        <v>2582095.4070000001</v>
      </c>
      <c r="E229" s="261">
        <f t="shared" si="94"/>
        <v>2453869.7620000001</v>
      </c>
      <c r="F229" s="261">
        <f t="shared" si="94"/>
        <v>2432020.3769999999</v>
      </c>
      <c r="G229" s="261">
        <f t="shared" si="94"/>
        <v>2074669.916</v>
      </c>
      <c r="H229" s="261">
        <f t="shared" si="94"/>
        <v>1485710.202</v>
      </c>
      <c r="I229" s="261">
        <f t="shared" si="94"/>
        <v>1430551.095</v>
      </c>
      <c r="J229" s="261">
        <f t="shared" si="94"/>
        <v>1280281.31</v>
      </c>
      <c r="K229" s="261">
        <f t="shared" si="94"/>
        <v>1275025.321</v>
      </c>
      <c r="L229" s="261">
        <f t="shared" si="94"/>
        <v>1372715.9339999999</v>
      </c>
      <c r="M229" s="261">
        <f t="shared" si="94"/>
        <v>1756849.892</v>
      </c>
      <c r="N229" s="261">
        <f t="shared" si="94"/>
        <v>2152439.2620000001</v>
      </c>
      <c r="O229" s="261">
        <f t="shared" si="94"/>
        <v>2585495.1809999999</v>
      </c>
      <c r="P229" s="254">
        <f t="shared" si="89"/>
        <v>22881723.659000002</v>
      </c>
      <c r="Q229" s="254"/>
    </row>
    <row r="230" spans="2:17" ht="15" x14ac:dyDescent="0.25">
      <c r="B230" s="251" t="s">
        <v>315</v>
      </c>
      <c r="C230" s="252"/>
      <c r="D230" s="261">
        <f>D183+D190</f>
        <v>5002.67</v>
      </c>
      <c r="E230" s="261">
        <f t="shared" ref="E230:O230" si="95">E183+E190</f>
        <v>6550.45</v>
      </c>
      <c r="F230" s="261">
        <f t="shared" si="95"/>
        <v>5064.18</v>
      </c>
      <c r="G230" s="261">
        <f t="shared" si="95"/>
        <v>3517.5600000000004</v>
      </c>
      <c r="H230" s="261">
        <f t="shared" si="95"/>
        <v>1618.33</v>
      </c>
      <c r="I230" s="261">
        <f t="shared" si="95"/>
        <v>992.44</v>
      </c>
      <c r="J230" s="261">
        <f t="shared" si="95"/>
        <v>798.62</v>
      </c>
      <c r="K230" s="261">
        <f t="shared" si="95"/>
        <v>838.78</v>
      </c>
      <c r="L230" s="261">
        <f t="shared" si="95"/>
        <v>1047.7</v>
      </c>
      <c r="M230" s="261">
        <f t="shared" si="95"/>
        <v>1466.72</v>
      </c>
      <c r="N230" s="261">
        <f t="shared" si="95"/>
        <v>2139.9299999999998</v>
      </c>
      <c r="O230" s="261">
        <f t="shared" si="95"/>
        <v>2460.83</v>
      </c>
      <c r="P230" s="254">
        <f t="shared" si="89"/>
        <v>31498.21</v>
      </c>
      <c r="Q230" s="254"/>
    </row>
    <row r="231" spans="2:17" ht="15" x14ac:dyDescent="0.25">
      <c r="B231" s="251" t="s">
        <v>316</v>
      </c>
      <c r="C231" s="252"/>
      <c r="D231" s="261">
        <f>D175+D194</f>
        <v>1896974.1</v>
      </c>
      <c r="E231" s="261">
        <f t="shared" ref="E231:O232" si="96">E175+E194</f>
        <v>1747749.17</v>
      </c>
      <c r="F231" s="261">
        <f t="shared" si="96"/>
        <v>1903759.5399999998</v>
      </c>
      <c r="G231" s="261">
        <f t="shared" si="96"/>
        <v>1695900.24</v>
      </c>
      <c r="H231" s="261">
        <f t="shared" si="96"/>
        <v>1615187.25</v>
      </c>
      <c r="I231" s="261">
        <f t="shared" si="96"/>
        <v>1585578.37</v>
      </c>
      <c r="J231" s="261">
        <f t="shared" si="96"/>
        <v>1532375.2000000002</v>
      </c>
      <c r="K231" s="261">
        <f t="shared" si="96"/>
        <v>1597051.59</v>
      </c>
      <c r="L231" s="261">
        <f t="shared" si="96"/>
        <v>1518330.34</v>
      </c>
      <c r="M231" s="261">
        <f t="shared" si="96"/>
        <v>1784480.0699999998</v>
      </c>
      <c r="N231" s="261">
        <f t="shared" si="96"/>
        <v>1838826.6099999999</v>
      </c>
      <c r="O231" s="261">
        <f t="shared" si="96"/>
        <v>1900801.94</v>
      </c>
      <c r="P231" s="254">
        <f t="shared" si="89"/>
        <v>20617014.420000002</v>
      </c>
      <c r="Q231" s="254"/>
    </row>
    <row r="232" spans="2:17" ht="15" x14ac:dyDescent="0.25">
      <c r="B232" s="251" t="s">
        <v>317</v>
      </c>
      <c r="C232" s="252"/>
      <c r="D232" s="261">
        <f>D176+D195</f>
        <v>6677618.04</v>
      </c>
      <c r="E232" s="261">
        <f t="shared" si="96"/>
        <v>6081561.6100000003</v>
      </c>
      <c r="F232" s="261">
        <f t="shared" si="96"/>
        <v>6977294.3499999996</v>
      </c>
      <c r="G232" s="261">
        <f t="shared" si="96"/>
        <v>6172882.9199999999</v>
      </c>
      <c r="H232" s="261">
        <f t="shared" si="96"/>
        <v>6120130.4900000002</v>
      </c>
      <c r="I232" s="261">
        <f t="shared" si="96"/>
        <v>5984493.8599999994</v>
      </c>
      <c r="J232" s="261">
        <f t="shared" si="96"/>
        <v>5788622.3399999999</v>
      </c>
      <c r="K232" s="261">
        <f t="shared" si="96"/>
        <v>5929213.9500000002</v>
      </c>
      <c r="L232" s="261">
        <f t="shared" si="96"/>
        <v>5963637.7799999993</v>
      </c>
      <c r="M232" s="261">
        <f t="shared" si="96"/>
        <v>6781134.96</v>
      </c>
      <c r="N232" s="261">
        <f t="shared" si="96"/>
        <v>6236362.5</v>
      </c>
      <c r="O232" s="261">
        <f t="shared" si="96"/>
        <v>6119205.4100000001</v>
      </c>
      <c r="P232" s="254">
        <f t="shared" si="89"/>
        <v>74832158.210000008</v>
      </c>
      <c r="Q232" s="254"/>
    </row>
    <row r="233" spans="2:17" ht="15" x14ac:dyDescent="0.25">
      <c r="B233" s="251" t="s">
        <v>321</v>
      </c>
      <c r="C233" s="252"/>
      <c r="D233" s="261">
        <f>D196</f>
        <v>49343.94</v>
      </c>
      <c r="E233" s="261">
        <f t="shared" ref="E233:O233" si="97">E196</f>
        <v>52603.87</v>
      </c>
      <c r="F233" s="261">
        <f t="shared" si="97"/>
        <v>40825.67</v>
      </c>
      <c r="G233" s="261">
        <f t="shared" si="97"/>
        <v>24785.5</v>
      </c>
      <c r="H233" s="261">
        <f t="shared" si="97"/>
        <v>18363.18</v>
      </c>
      <c r="I233" s="261">
        <f t="shared" si="97"/>
        <v>20942.59</v>
      </c>
      <c r="J233" s="261">
        <f t="shared" si="97"/>
        <v>16363.51</v>
      </c>
      <c r="K233" s="261">
        <f t="shared" si="97"/>
        <v>13568.14</v>
      </c>
      <c r="L233" s="261">
        <f t="shared" si="97"/>
        <v>18972.219999999998</v>
      </c>
      <c r="M233" s="261">
        <f t="shared" si="97"/>
        <v>33141.14</v>
      </c>
      <c r="N233" s="261">
        <f t="shared" si="97"/>
        <v>34143.08</v>
      </c>
      <c r="O233" s="261">
        <f t="shared" si="97"/>
        <v>28235.31</v>
      </c>
      <c r="P233" s="254">
        <f t="shared" si="89"/>
        <v>351288.14999999997</v>
      </c>
      <c r="Q233" s="254"/>
    </row>
    <row r="234" spans="2:17" ht="15" x14ac:dyDescent="0.25">
      <c r="B234" s="251" t="s">
        <v>319</v>
      </c>
      <c r="C234" s="252"/>
      <c r="D234" s="261">
        <f>D177+D197</f>
        <v>8436598.5199999996</v>
      </c>
      <c r="E234" s="261">
        <f t="shared" ref="E234:O234" si="98">E177+E197</f>
        <v>8777355.3900000006</v>
      </c>
      <c r="F234" s="261">
        <f t="shared" si="98"/>
        <v>9545363.1600000001</v>
      </c>
      <c r="G234" s="261">
        <f t="shared" si="98"/>
        <v>8252639.4799999995</v>
      </c>
      <c r="H234" s="261">
        <f t="shared" si="98"/>
        <v>8341789.8599999994</v>
      </c>
      <c r="I234" s="261">
        <f t="shared" si="98"/>
        <v>7675361.1500000004</v>
      </c>
      <c r="J234" s="261">
        <f t="shared" si="98"/>
        <v>8618473.3499999996</v>
      </c>
      <c r="K234" s="261">
        <f t="shared" si="98"/>
        <v>8692811.5600000005</v>
      </c>
      <c r="L234" s="261">
        <f t="shared" si="98"/>
        <v>7685008.5999999996</v>
      </c>
      <c r="M234" s="261">
        <f t="shared" si="98"/>
        <v>7999972.3100000005</v>
      </c>
      <c r="N234" s="261">
        <f t="shared" si="98"/>
        <v>7185633.330000001</v>
      </c>
      <c r="O234" s="261">
        <f t="shared" si="98"/>
        <v>9016301.0200000014</v>
      </c>
      <c r="P234" s="254">
        <f t="shared" si="89"/>
        <v>100227307.72999999</v>
      </c>
      <c r="Q234" s="254"/>
    </row>
    <row r="235" spans="2:17" s="270" customFormat="1" x14ac:dyDescent="0.2">
      <c r="B235" s="283" t="s">
        <v>13</v>
      </c>
      <c r="C235" s="370"/>
      <c r="D235" s="261">
        <f>D184</f>
        <v>4443467.74</v>
      </c>
      <c r="E235" s="261">
        <f t="shared" ref="E235:O235" si="99">E184</f>
        <v>3867486.2699999996</v>
      </c>
      <c r="F235" s="261">
        <f t="shared" si="99"/>
        <v>3813818.93</v>
      </c>
      <c r="G235" s="261">
        <f t="shared" si="99"/>
        <v>3266173.4099999997</v>
      </c>
      <c r="H235" s="261">
        <f t="shared" si="99"/>
        <v>2607580.04</v>
      </c>
      <c r="I235" s="261">
        <f t="shared" si="99"/>
        <v>2223953.0499999998</v>
      </c>
      <c r="J235" s="261">
        <f t="shared" si="99"/>
        <v>1816114.2500000002</v>
      </c>
      <c r="K235" s="261">
        <f t="shared" si="99"/>
        <v>1897095.8699999999</v>
      </c>
      <c r="L235" s="261">
        <f t="shared" si="99"/>
        <v>2237328.9500000002</v>
      </c>
      <c r="M235" s="261">
        <f t="shared" si="99"/>
        <v>2944518.8099999996</v>
      </c>
      <c r="N235" s="261">
        <f t="shared" si="99"/>
        <v>3753743.19</v>
      </c>
      <c r="O235" s="261">
        <f t="shared" si="99"/>
        <v>4219586.24</v>
      </c>
      <c r="P235" s="261">
        <f>P184</f>
        <v>37090866.75</v>
      </c>
      <c r="Q235" s="261"/>
    </row>
    <row r="236" spans="2:17" ht="15" x14ac:dyDescent="0.25">
      <c r="B236" s="369" t="s">
        <v>322</v>
      </c>
      <c r="C236" s="252"/>
      <c r="D236" s="262">
        <f t="shared" ref="D236:P236" si="100">SUM(D221:D235)</f>
        <v>166552053.47499999</v>
      </c>
      <c r="E236" s="262">
        <f t="shared" ref="E236:O236" si="101">SUM(E221:E235)</f>
        <v>132722491.49299997</v>
      </c>
      <c r="F236" s="262">
        <f t="shared" si="101"/>
        <v>138038713.21000004</v>
      </c>
      <c r="G236" s="262">
        <f t="shared" si="101"/>
        <v>99007354.439999998</v>
      </c>
      <c r="H236" s="262">
        <f t="shared" si="101"/>
        <v>69941058.016000003</v>
      </c>
      <c r="I236" s="262">
        <f t="shared" si="101"/>
        <v>52323795.749999993</v>
      </c>
      <c r="J236" s="262">
        <f t="shared" si="101"/>
        <v>44513655.328999996</v>
      </c>
      <c r="K236" s="262">
        <f t="shared" si="101"/>
        <v>44848856.703000002</v>
      </c>
      <c r="L236" s="262">
        <f t="shared" si="101"/>
        <v>55568657.735000014</v>
      </c>
      <c r="M236" s="262">
        <f t="shared" si="101"/>
        <v>89253856.68599999</v>
      </c>
      <c r="N236" s="262">
        <f t="shared" si="101"/>
        <v>134669493.868</v>
      </c>
      <c r="O236" s="262">
        <f t="shared" si="101"/>
        <v>164547110.96400002</v>
      </c>
      <c r="P236" s="262">
        <f t="shared" si="100"/>
        <v>1191987097.6689999</v>
      </c>
      <c r="Q236" s="261"/>
    </row>
    <row r="237" spans="2:17" ht="15" x14ac:dyDescent="0.25">
      <c r="B237" s="371" t="s">
        <v>49</v>
      </c>
      <c r="C237" s="372"/>
      <c r="D237" s="290">
        <f>D236-D199</f>
        <v>0</v>
      </c>
      <c r="E237" s="290">
        <f t="shared" ref="E237:P237" si="102">E236-E199</f>
        <v>0</v>
      </c>
      <c r="F237" s="290">
        <f t="shared" si="102"/>
        <v>0</v>
      </c>
      <c r="G237" s="290">
        <f t="shared" si="102"/>
        <v>0</v>
      </c>
      <c r="H237" s="290">
        <f t="shared" si="102"/>
        <v>0</v>
      </c>
      <c r="I237" s="290">
        <f t="shared" si="102"/>
        <v>0</v>
      </c>
      <c r="J237" s="290">
        <f t="shared" si="102"/>
        <v>0</v>
      </c>
      <c r="K237" s="290">
        <f t="shared" si="102"/>
        <v>0</v>
      </c>
      <c r="L237" s="290">
        <f t="shared" si="102"/>
        <v>0</v>
      </c>
      <c r="M237" s="290">
        <f t="shared" si="102"/>
        <v>0</v>
      </c>
      <c r="N237" s="290">
        <f t="shared" si="102"/>
        <v>0</v>
      </c>
      <c r="O237" s="290">
        <f t="shared" si="102"/>
        <v>0</v>
      </c>
      <c r="P237" s="290">
        <f t="shared" si="102"/>
        <v>0</v>
      </c>
      <c r="Q237" s="261"/>
    </row>
    <row r="238" spans="2:17" ht="15" x14ac:dyDescent="0.25">
      <c r="B238" s="251"/>
      <c r="C238" s="252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  <c r="O238" s="261"/>
      <c r="P238" s="261"/>
      <c r="Q238" s="261"/>
    </row>
    <row r="239" spans="2:17" ht="15" x14ac:dyDescent="0.25">
      <c r="B239" s="263" t="s">
        <v>323</v>
      </c>
      <c r="C239" s="252"/>
      <c r="D239" s="261"/>
      <c r="E239" s="261"/>
      <c r="F239" s="261"/>
      <c r="G239" s="261"/>
      <c r="H239" s="261"/>
      <c r="I239" s="261"/>
      <c r="J239" s="261"/>
      <c r="K239" s="261"/>
      <c r="L239" s="261"/>
      <c r="M239" s="261"/>
      <c r="N239" s="261"/>
      <c r="O239" s="261"/>
      <c r="P239" s="261"/>
      <c r="Q239" s="261"/>
    </row>
    <row r="240" spans="2:17" s="251" customFormat="1" x14ac:dyDescent="0.2">
      <c r="B240" s="283" t="s">
        <v>324</v>
      </c>
      <c r="C240" s="252"/>
      <c r="D240" s="261">
        <f t="shared" ref="D240:O240" si="103">SUM(D36:D38)</f>
        <v>768045</v>
      </c>
      <c r="E240" s="261">
        <f t="shared" si="103"/>
        <v>769188</v>
      </c>
      <c r="F240" s="261">
        <f t="shared" si="103"/>
        <v>769910</v>
      </c>
      <c r="G240" s="261">
        <f t="shared" si="103"/>
        <v>770300</v>
      </c>
      <c r="H240" s="261">
        <f t="shared" si="103"/>
        <v>770946</v>
      </c>
      <c r="I240" s="261">
        <f t="shared" si="103"/>
        <v>771263</v>
      </c>
      <c r="J240" s="261">
        <f t="shared" si="103"/>
        <v>771479</v>
      </c>
      <c r="K240" s="261">
        <f t="shared" si="103"/>
        <v>772033</v>
      </c>
      <c r="L240" s="261">
        <f t="shared" si="103"/>
        <v>772621</v>
      </c>
      <c r="M240" s="261">
        <f t="shared" si="103"/>
        <v>774710</v>
      </c>
      <c r="N240" s="261">
        <f t="shared" si="103"/>
        <v>776870</v>
      </c>
      <c r="O240" s="261">
        <f t="shared" si="103"/>
        <v>778198</v>
      </c>
      <c r="P240" s="261">
        <f t="shared" ref="P240:P253" si="104">SUM(D240:O240)</f>
        <v>9265563</v>
      </c>
      <c r="Q240" s="261"/>
    </row>
    <row r="241" spans="2:17" s="251" customFormat="1" x14ac:dyDescent="0.2">
      <c r="B241" s="283" t="s">
        <v>194</v>
      </c>
      <c r="C241" s="252"/>
      <c r="D241" s="261">
        <f t="shared" ref="D241:O241" si="105">SUM(D40,D47)</f>
        <v>56658</v>
      </c>
      <c r="E241" s="261">
        <f t="shared" si="105"/>
        <v>56661</v>
      </c>
      <c r="F241" s="261">
        <f t="shared" si="105"/>
        <v>56738</v>
      </c>
      <c r="G241" s="261">
        <f t="shared" si="105"/>
        <v>56700</v>
      </c>
      <c r="H241" s="261">
        <f t="shared" si="105"/>
        <v>56684</v>
      </c>
      <c r="I241" s="261">
        <f t="shared" si="105"/>
        <v>56609</v>
      </c>
      <c r="J241" s="261">
        <f t="shared" si="105"/>
        <v>56581</v>
      </c>
      <c r="K241" s="261">
        <f t="shared" si="105"/>
        <v>56565</v>
      </c>
      <c r="L241" s="261">
        <f t="shared" si="105"/>
        <v>56549</v>
      </c>
      <c r="M241" s="261">
        <f t="shared" si="105"/>
        <v>56699</v>
      </c>
      <c r="N241" s="261">
        <f t="shared" si="105"/>
        <v>56842</v>
      </c>
      <c r="O241" s="261">
        <f t="shared" si="105"/>
        <v>56976</v>
      </c>
      <c r="P241" s="261">
        <f t="shared" si="104"/>
        <v>680262</v>
      </c>
      <c r="Q241" s="261"/>
    </row>
    <row r="242" spans="2:17" ht="15" x14ac:dyDescent="0.25">
      <c r="B242" s="283" t="s">
        <v>195</v>
      </c>
      <c r="C242" s="252"/>
      <c r="D242" s="261">
        <f t="shared" ref="D242:O242" si="106">D41+D48</f>
        <v>1362</v>
      </c>
      <c r="E242" s="261">
        <f t="shared" si="106"/>
        <v>1357</v>
      </c>
      <c r="F242" s="261">
        <f t="shared" si="106"/>
        <v>1360</v>
      </c>
      <c r="G242" s="261">
        <f t="shared" si="106"/>
        <v>1363</v>
      </c>
      <c r="H242" s="261">
        <f t="shared" si="106"/>
        <v>1361</v>
      </c>
      <c r="I242" s="261">
        <f t="shared" si="106"/>
        <v>1352</v>
      </c>
      <c r="J242" s="261">
        <f t="shared" si="106"/>
        <v>1315</v>
      </c>
      <c r="K242" s="261">
        <f t="shared" si="106"/>
        <v>1302</v>
      </c>
      <c r="L242" s="261">
        <f t="shared" si="106"/>
        <v>1301</v>
      </c>
      <c r="M242" s="261">
        <f t="shared" si="106"/>
        <v>1308</v>
      </c>
      <c r="N242" s="261">
        <f t="shared" si="106"/>
        <v>1318</v>
      </c>
      <c r="O242" s="261">
        <f t="shared" si="106"/>
        <v>1319</v>
      </c>
      <c r="P242" s="261">
        <f t="shared" si="104"/>
        <v>16018</v>
      </c>
      <c r="Q242" s="261"/>
    </row>
    <row r="243" spans="2:17" ht="15" x14ac:dyDescent="0.25">
      <c r="B243" s="369" t="s">
        <v>415</v>
      </c>
      <c r="C243" s="252"/>
      <c r="D243" s="261">
        <f t="shared" ref="D243:O243" si="107">D42</f>
        <v>0</v>
      </c>
      <c r="E243" s="261">
        <f t="shared" si="107"/>
        <v>0</v>
      </c>
      <c r="F243" s="261">
        <f t="shared" si="107"/>
        <v>0</v>
      </c>
      <c r="G243" s="261">
        <f t="shared" si="107"/>
        <v>0</v>
      </c>
      <c r="H243" s="261">
        <f t="shared" si="107"/>
        <v>0</v>
      </c>
      <c r="I243" s="261">
        <f t="shared" si="107"/>
        <v>0</v>
      </c>
      <c r="J243" s="261">
        <f t="shared" si="107"/>
        <v>0</v>
      </c>
      <c r="K243" s="261">
        <f t="shared" si="107"/>
        <v>0</v>
      </c>
      <c r="L243" s="261">
        <f t="shared" si="107"/>
        <v>0</v>
      </c>
      <c r="M243" s="261">
        <f t="shared" si="107"/>
        <v>0</v>
      </c>
      <c r="N243" s="261">
        <f t="shared" si="107"/>
        <v>0</v>
      </c>
      <c r="O243" s="261">
        <f t="shared" si="107"/>
        <v>0</v>
      </c>
      <c r="P243" s="261">
        <f t="shared" si="104"/>
        <v>0</v>
      </c>
      <c r="Q243" s="261"/>
    </row>
    <row r="244" spans="2:17" ht="15" x14ac:dyDescent="0.25">
      <c r="B244" s="283" t="s">
        <v>353</v>
      </c>
      <c r="C244" s="252"/>
      <c r="D244" s="261">
        <f t="shared" ref="D244:O244" si="108">SUM(D39,D43,D49)</f>
        <v>0</v>
      </c>
      <c r="E244" s="261">
        <f t="shared" si="108"/>
        <v>0</v>
      </c>
      <c r="F244" s="261">
        <f t="shared" si="108"/>
        <v>0</v>
      </c>
      <c r="G244" s="261">
        <f t="shared" si="108"/>
        <v>0</v>
      </c>
      <c r="H244" s="261">
        <f t="shared" si="108"/>
        <v>0</v>
      </c>
      <c r="I244" s="261">
        <f t="shared" si="108"/>
        <v>0</v>
      </c>
      <c r="J244" s="261">
        <f t="shared" si="108"/>
        <v>0</v>
      </c>
      <c r="K244" s="261">
        <f t="shared" si="108"/>
        <v>0</v>
      </c>
      <c r="L244" s="261">
        <f t="shared" si="108"/>
        <v>0</v>
      </c>
      <c r="M244" s="261">
        <f t="shared" si="108"/>
        <v>0</v>
      </c>
      <c r="N244" s="261">
        <f t="shared" si="108"/>
        <v>0</v>
      </c>
      <c r="O244" s="261">
        <f t="shared" si="108"/>
        <v>0</v>
      </c>
      <c r="P244" s="261">
        <f t="shared" si="104"/>
        <v>0</v>
      </c>
      <c r="Q244" s="261"/>
    </row>
    <row r="245" spans="2:17" ht="15" x14ac:dyDescent="0.25">
      <c r="B245" s="283" t="s">
        <v>198</v>
      </c>
      <c r="C245" s="252"/>
      <c r="D245" s="261">
        <f t="shared" ref="D245:O247" si="109">D44+D50</f>
        <v>29</v>
      </c>
      <c r="E245" s="261">
        <f t="shared" si="109"/>
        <v>29</v>
      </c>
      <c r="F245" s="261">
        <f t="shared" si="109"/>
        <v>29</v>
      </c>
      <c r="G245" s="261">
        <f t="shared" si="109"/>
        <v>29</v>
      </c>
      <c r="H245" s="261">
        <f t="shared" si="109"/>
        <v>29</v>
      </c>
      <c r="I245" s="261">
        <f t="shared" si="109"/>
        <v>28</v>
      </c>
      <c r="J245" s="261">
        <f t="shared" si="109"/>
        <v>28</v>
      </c>
      <c r="K245" s="261">
        <f t="shared" si="109"/>
        <v>28</v>
      </c>
      <c r="L245" s="261">
        <f t="shared" si="109"/>
        <v>28</v>
      </c>
      <c r="M245" s="261">
        <f t="shared" si="109"/>
        <v>28</v>
      </c>
      <c r="N245" s="261">
        <f t="shared" si="109"/>
        <v>28</v>
      </c>
      <c r="O245" s="261">
        <f t="shared" si="109"/>
        <v>28</v>
      </c>
      <c r="P245" s="261">
        <f t="shared" si="104"/>
        <v>341</v>
      </c>
      <c r="Q245" s="261"/>
    </row>
    <row r="246" spans="2:17" ht="15" x14ac:dyDescent="0.25">
      <c r="B246" s="283" t="s">
        <v>200</v>
      </c>
      <c r="C246" s="252"/>
      <c r="D246" s="261">
        <f t="shared" si="109"/>
        <v>228</v>
      </c>
      <c r="E246" s="261">
        <f t="shared" si="109"/>
        <v>228</v>
      </c>
      <c r="F246" s="261">
        <f t="shared" si="109"/>
        <v>228</v>
      </c>
      <c r="G246" s="261">
        <f t="shared" si="109"/>
        <v>228</v>
      </c>
      <c r="H246" s="261">
        <f t="shared" si="109"/>
        <v>227</v>
      </c>
      <c r="I246" s="261">
        <f t="shared" si="109"/>
        <v>227</v>
      </c>
      <c r="J246" s="261">
        <f t="shared" si="109"/>
        <v>226</v>
      </c>
      <c r="K246" s="261">
        <f t="shared" si="109"/>
        <v>226</v>
      </c>
      <c r="L246" s="261">
        <f t="shared" si="109"/>
        <v>226</v>
      </c>
      <c r="M246" s="261">
        <f t="shared" si="109"/>
        <v>226</v>
      </c>
      <c r="N246" s="261">
        <f t="shared" si="109"/>
        <v>223</v>
      </c>
      <c r="O246" s="261">
        <f t="shared" si="109"/>
        <v>219</v>
      </c>
      <c r="P246" s="261">
        <f t="shared" si="104"/>
        <v>2712</v>
      </c>
      <c r="Q246" s="261"/>
    </row>
    <row r="247" spans="2:17" ht="15" x14ac:dyDescent="0.25">
      <c r="B247" s="283" t="s">
        <v>202</v>
      </c>
      <c r="C247" s="252"/>
      <c r="D247" s="261">
        <f t="shared" si="109"/>
        <v>5</v>
      </c>
      <c r="E247" s="261">
        <f t="shared" si="109"/>
        <v>5</v>
      </c>
      <c r="F247" s="261">
        <f t="shared" si="109"/>
        <v>5</v>
      </c>
      <c r="G247" s="261">
        <f t="shared" si="109"/>
        <v>5</v>
      </c>
      <c r="H247" s="261">
        <f t="shared" si="109"/>
        <v>5</v>
      </c>
      <c r="I247" s="261">
        <f t="shared" si="109"/>
        <v>5</v>
      </c>
      <c r="J247" s="261">
        <f t="shared" si="109"/>
        <v>5</v>
      </c>
      <c r="K247" s="261">
        <f t="shared" si="109"/>
        <v>5</v>
      </c>
      <c r="L247" s="261">
        <f t="shared" si="109"/>
        <v>5</v>
      </c>
      <c r="M247" s="261">
        <f t="shared" si="109"/>
        <v>5</v>
      </c>
      <c r="N247" s="261">
        <f t="shared" si="109"/>
        <v>5</v>
      </c>
      <c r="O247" s="261">
        <f t="shared" si="109"/>
        <v>5</v>
      </c>
      <c r="P247" s="261">
        <f t="shared" si="104"/>
        <v>60</v>
      </c>
      <c r="Q247" s="261"/>
    </row>
    <row r="248" spans="2:17" ht="15" x14ac:dyDescent="0.25">
      <c r="B248" s="251" t="s">
        <v>315</v>
      </c>
      <c r="C248" s="252"/>
      <c r="D248" s="261">
        <f>D53+D58</f>
        <v>3</v>
      </c>
      <c r="E248" s="261">
        <f t="shared" ref="E248:O248" si="110">E53+E58</f>
        <v>3</v>
      </c>
      <c r="F248" s="261">
        <f t="shared" si="110"/>
        <v>3</v>
      </c>
      <c r="G248" s="261">
        <f t="shared" si="110"/>
        <v>3</v>
      </c>
      <c r="H248" s="261">
        <f t="shared" si="110"/>
        <v>3</v>
      </c>
      <c r="I248" s="261">
        <f t="shared" si="110"/>
        <v>3</v>
      </c>
      <c r="J248" s="261">
        <f t="shared" si="110"/>
        <v>3</v>
      </c>
      <c r="K248" s="261">
        <f t="shared" si="110"/>
        <v>2</v>
      </c>
      <c r="L248" s="261">
        <f t="shared" si="110"/>
        <v>2</v>
      </c>
      <c r="M248" s="261">
        <f t="shared" si="110"/>
        <v>2</v>
      </c>
      <c r="N248" s="261">
        <f t="shared" si="110"/>
        <v>2</v>
      </c>
      <c r="O248" s="261">
        <f t="shared" si="110"/>
        <v>2</v>
      </c>
      <c r="P248" s="261">
        <f t="shared" si="104"/>
        <v>31</v>
      </c>
      <c r="Q248" s="261"/>
    </row>
    <row r="249" spans="2:17" x14ac:dyDescent="0.2">
      <c r="B249" s="251" t="s">
        <v>316</v>
      </c>
      <c r="C249" s="252"/>
      <c r="D249" s="261">
        <f t="shared" ref="D249:O251" si="111">D54+D59</f>
        <v>103</v>
      </c>
      <c r="E249" s="261">
        <f t="shared" si="111"/>
        <v>105</v>
      </c>
      <c r="F249" s="261">
        <f t="shared" si="111"/>
        <v>105</v>
      </c>
      <c r="G249" s="261">
        <f t="shared" si="111"/>
        <v>105</v>
      </c>
      <c r="H249" s="261">
        <f t="shared" si="111"/>
        <v>105</v>
      </c>
      <c r="I249" s="261">
        <f t="shared" si="111"/>
        <v>109</v>
      </c>
      <c r="J249" s="261">
        <f t="shared" si="111"/>
        <v>109</v>
      </c>
      <c r="K249" s="261">
        <f t="shared" si="111"/>
        <v>109</v>
      </c>
      <c r="L249" s="261">
        <f t="shared" si="111"/>
        <v>109</v>
      </c>
      <c r="M249" s="261">
        <f t="shared" si="111"/>
        <v>109</v>
      </c>
      <c r="N249" s="261">
        <f t="shared" si="111"/>
        <v>106</v>
      </c>
      <c r="O249" s="261">
        <f t="shared" si="111"/>
        <v>106</v>
      </c>
      <c r="P249" s="261">
        <f t="shared" si="104"/>
        <v>1280</v>
      </c>
      <c r="Q249" s="261"/>
    </row>
    <row r="250" spans="2:17" x14ac:dyDescent="0.2">
      <c r="B250" s="251" t="s">
        <v>317</v>
      </c>
      <c r="C250" s="252"/>
      <c r="D250" s="261">
        <f t="shared" si="111"/>
        <v>101</v>
      </c>
      <c r="E250" s="261">
        <f t="shared" si="111"/>
        <v>101</v>
      </c>
      <c r="F250" s="261">
        <f t="shared" si="111"/>
        <v>101</v>
      </c>
      <c r="G250" s="261">
        <f t="shared" si="111"/>
        <v>101</v>
      </c>
      <c r="H250" s="261">
        <f t="shared" si="111"/>
        <v>102</v>
      </c>
      <c r="I250" s="261">
        <f t="shared" si="111"/>
        <v>103</v>
      </c>
      <c r="J250" s="261">
        <f t="shared" si="111"/>
        <v>103</v>
      </c>
      <c r="K250" s="261">
        <f t="shared" si="111"/>
        <v>103</v>
      </c>
      <c r="L250" s="261">
        <f t="shared" si="111"/>
        <v>103</v>
      </c>
      <c r="M250" s="261">
        <f t="shared" si="111"/>
        <v>103</v>
      </c>
      <c r="N250" s="261">
        <f t="shared" si="111"/>
        <v>103</v>
      </c>
      <c r="O250" s="261">
        <f t="shared" si="111"/>
        <v>103</v>
      </c>
      <c r="P250" s="261">
        <f t="shared" si="104"/>
        <v>1227</v>
      </c>
      <c r="Q250" s="261"/>
    </row>
    <row r="251" spans="2:17" x14ac:dyDescent="0.2">
      <c r="B251" s="251" t="s">
        <v>321</v>
      </c>
      <c r="C251" s="252"/>
      <c r="D251" s="261">
        <f>D56+D61</f>
        <v>2</v>
      </c>
      <c r="E251" s="261">
        <f t="shared" si="111"/>
        <v>2</v>
      </c>
      <c r="F251" s="261">
        <f t="shared" si="111"/>
        <v>2</v>
      </c>
      <c r="G251" s="261">
        <f t="shared" si="111"/>
        <v>2</v>
      </c>
      <c r="H251" s="261">
        <f t="shared" si="111"/>
        <v>2</v>
      </c>
      <c r="I251" s="261">
        <f t="shared" si="111"/>
        <v>2</v>
      </c>
      <c r="J251" s="261">
        <f t="shared" si="111"/>
        <v>2</v>
      </c>
      <c r="K251" s="261">
        <f t="shared" si="111"/>
        <v>2</v>
      </c>
      <c r="L251" s="261">
        <f t="shared" si="111"/>
        <v>2</v>
      </c>
      <c r="M251" s="261">
        <f t="shared" si="111"/>
        <v>2</v>
      </c>
      <c r="N251" s="261">
        <f t="shared" si="111"/>
        <v>2</v>
      </c>
      <c r="O251" s="261">
        <f t="shared" si="111"/>
        <v>3</v>
      </c>
      <c r="P251" s="261">
        <f t="shared" si="104"/>
        <v>25</v>
      </c>
      <c r="Q251" s="261"/>
    </row>
    <row r="252" spans="2:17" x14ac:dyDescent="0.2">
      <c r="B252" s="251" t="s">
        <v>319</v>
      </c>
      <c r="C252" s="252"/>
      <c r="D252" s="261">
        <f t="shared" ref="D252:O252" si="112">D57+D62</f>
        <v>10</v>
      </c>
      <c r="E252" s="261">
        <f t="shared" si="112"/>
        <v>10</v>
      </c>
      <c r="F252" s="261">
        <f t="shared" si="112"/>
        <v>10</v>
      </c>
      <c r="G252" s="261">
        <f t="shared" si="112"/>
        <v>10</v>
      </c>
      <c r="H252" s="261">
        <f t="shared" si="112"/>
        <v>10</v>
      </c>
      <c r="I252" s="261">
        <f t="shared" si="112"/>
        <v>10</v>
      </c>
      <c r="J252" s="261">
        <f t="shared" si="112"/>
        <v>10</v>
      </c>
      <c r="K252" s="261">
        <f t="shared" si="112"/>
        <v>10</v>
      </c>
      <c r="L252" s="261">
        <f t="shared" si="112"/>
        <v>10</v>
      </c>
      <c r="M252" s="261">
        <f t="shared" si="112"/>
        <v>10</v>
      </c>
      <c r="N252" s="261">
        <f t="shared" si="112"/>
        <v>10</v>
      </c>
      <c r="O252" s="261">
        <f t="shared" si="112"/>
        <v>10</v>
      </c>
      <c r="P252" s="261">
        <f t="shared" si="104"/>
        <v>120</v>
      </c>
      <c r="Q252" s="261"/>
    </row>
    <row r="253" spans="2:17" s="270" customFormat="1" x14ac:dyDescent="0.2">
      <c r="B253" s="283" t="s">
        <v>13</v>
      </c>
      <c r="C253" s="370"/>
      <c r="D253" s="261">
        <f t="shared" ref="D253:O253" si="113">SUM(D63:D63)</f>
        <v>10</v>
      </c>
      <c r="E253" s="261">
        <f t="shared" si="113"/>
        <v>10</v>
      </c>
      <c r="F253" s="261">
        <f t="shared" si="113"/>
        <v>10</v>
      </c>
      <c r="G253" s="261">
        <f t="shared" si="113"/>
        <v>10</v>
      </c>
      <c r="H253" s="261">
        <f t="shared" si="113"/>
        <v>10</v>
      </c>
      <c r="I253" s="261">
        <f t="shared" si="113"/>
        <v>10</v>
      </c>
      <c r="J253" s="261">
        <f t="shared" si="113"/>
        <v>10</v>
      </c>
      <c r="K253" s="261">
        <f t="shared" si="113"/>
        <v>10</v>
      </c>
      <c r="L253" s="261">
        <f t="shared" si="113"/>
        <v>10</v>
      </c>
      <c r="M253" s="261">
        <f t="shared" si="113"/>
        <v>10</v>
      </c>
      <c r="N253" s="261">
        <f t="shared" si="113"/>
        <v>10</v>
      </c>
      <c r="O253" s="261">
        <f t="shared" si="113"/>
        <v>10</v>
      </c>
      <c r="P253" s="261">
        <f t="shared" si="104"/>
        <v>120</v>
      </c>
      <c r="Q253" s="261"/>
    </row>
    <row r="254" spans="2:17" x14ac:dyDescent="0.2">
      <c r="B254" s="251" t="s">
        <v>325</v>
      </c>
      <c r="C254" s="252"/>
      <c r="D254" s="262">
        <f t="shared" ref="D254:P254" si="114">SUM(D240:D253)</f>
        <v>826556</v>
      </c>
      <c r="E254" s="262">
        <f t="shared" si="114"/>
        <v>827699</v>
      </c>
      <c r="F254" s="262">
        <f t="shared" si="114"/>
        <v>828501</v>
      </c>
      <c r="G254" s="262">
        <f t="shared" si="114"/>
        <v>828856</v>
      </c>
      <c r="H254" s="262">
        <f t="shared" si="114"/>
        <v>829484</v>
      </c>
      <c r="I254" s="262">
        <f t="shared" si="114"/>
        <v>829721</v>
      </c>
      <c r="J254" s="262">
        <f t="shared" si="114"/>
        <v>829871</v>
      </c>
      <c r="K254" s="262">
        <f t="shared" si="114"/>
        <v>830395</v>
      </c>
      <c r="L254" s="262">
        <f t="shared" si="114"/>
        <v>830966</v>
      </c>
      <c r="M254" s="262">
        <f t="shared" si="114"/>
        <v>833212</v>
      </c>
      <c r="N254" s="262">
        <f t="shared" si="114"/>
        <v>835519</v>
      </c>
      <c r="O254" s="262">
        <f t="shared" si="114"/>
        <v>836979</v>
      </c>
      <c r="P254" s="262">
        <f t="shared" si="114"/>
        <v>9967759</v>
      </c>
      <c r="Q254" s="261"/>
    </row>
    <row r="255" spans="2:17" x14ac:dyDescent="0.2">
      <c r="B255" s="289" t="s">
        <v>49</v>
      </c>
      <c r="C255" s="372"/>
      <c r="D255" s="290">
        <f t="shared" ref="D255:P255" si="115">D254-D64</f>
        <v>0</v>
      </c>
      <c r="E255" s="290">
        <f t="shared" si="115"/>
        <v>0</v>
      </c>
      <c r="F255" s="290">
        <f t="shared" si="115"/>
        <v>0</v>
      </c>
      <c r="G255" s="290">
        <f t="shared" si="115"/>
        <v>0</v>
      </c>
      <c r="H255" s="290">
        <f t="shared" si="115"/>
        <v>0</v>
      </c>
      <c r="I255" s="290">
        <f t="shared" si="115"/>
        <v>0</v>
      </c>
      <c r="J255" s="290">
        <f t="shared" si="115"/>
        <v>0</v>
      </c>
      <c r="K255" s="290">
        <f t="shared" si="115"/>
        <v>0</v>
      </c>
      <c r="L255" s="290">
        <f t="shared" si="115"/>
        <v>0</v>
      </c>
      <c r="M255" s="290">
        <f t="shared" si="115"/>
        <v>0</v>
      </c>
      <c r="N255" s="290">
        <f t="shared" si="115"/>
        <v>0</v>
      </c>
      <c r="O255" s="290">
        <f t="shared" si="115"/>
        <v>0</v>
      </c>
      <c r="P255" s="290">
        <f t="shared" si="115"/>
        <v>0</v>
      </c>
      <c r="Q255" s="261"/>
    </row>
    <row r="256" spans="2:17" x14ac:dyDescent="0.2">
      <c r="B256" s="251"/>
      <c r="C256" s="252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  <c r="O256" s="261"/>
      <c r="P256" s="261"/>
      <c r="Q256" s="261"/>
    </row>
    <row r="257" spans="2:17" x14ac:dyDescent="0.2">
      <c r="B257" s="263" t="s">
        <v>326</v>
      </c>
      <c r="C257" s="256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69"/>
      <c r="O257" s="269"/>
      <c r="P257" s="269"/>
      <c r="Q257" s="269"/>
    </row>
    <row r="258" spans="2:17" x14ac:dyDescent="0.2">
      <c r="B258" s="284" t="s">
        <v>324</v>
      </c>
      <c r="C258" s="256"/>
      <c r="D258" s="269">
        <f>SUM(D221:D222)</f>
        <v>97231969.638999999</v>
      </c>
      <c r="E258" s="269">
        <f t="shared" ref="E258:O258" si="116">SUM(E221:E222)</f>
        <v>73373897.726999983</v>
      </c>
      <c r="F258" s="269">
        <f t="shared" si="116"/>
        <v>75850842.379000008</v>
      </c>
      <c r="G258" s="269">
        <f t="shared" si="116"/>
        <v>50274207.020000003</v>
      </c>
      <c r="H258" s="269">
        <f t="shared" si="116"/>
        <v>30886460.517999999</v>
      </c>
      <c r="I258" s="269">
        <f t="shared" si="116"/>
        <v>19281720.781999998</v>
      </c>
      <c r="J258" s="269">
        <f t="shared" si="116"/>
        <v>13445965.558</v>
      </c>
      <c r="K258" s="269">
        <f t="shared" si="116"/>
        <v>13244647.963</v>
      </c>
      <c r="L258" s="269">
        <f t="shared" si="116"/>
        <v>21692715.810000002</v>
      </c>
      <c r="M258" s="269">
        <f t="shared" si="116"/>
        <v>44275400.994000003</v>
      </c>
      <c r="N258" s="269">
        <f t="shared" si="116"/>
        <v>77701884.366999999</v>
      </c>
      <c r="O258" s="269">
        <f t="shared" si="116"/>
        <v>96411804.975000009</v>
      </c>
      <c r="P258" s="269">
        <f t="shared" ref="P258:P270" si="117">SUM(D258:O258)</f>
        <v>613671517.73199999</v>
      </c>
      <c r="Q258" s="269"/>
    </row>
    <row r="259" spans="2:17" x14ac:dyDescent="0.2">
      <c r="B259" s="283" t="s">
        <v>194</v>
      </c>
      <c r="C259" s="256"/>
      <c r="D259" s="269">
        <f>SUM(D223:D223,D226:D226)</f>
        <v>33819692.616999999</v>
      </c>
      <c r="E259" s="269">
        <f t="shared" ref="E259:O259" si="118">SUM(E223:E223,E226:E226)</f>
        <v>26737897.267999999</v>
      </c>
      <c r="F259" s="269">
        <f t="shared" si="118"/>
        <v>27366430.184999999</v>
      </c>
      <c r="G259" s="269">
        <f t="shared" si="118"/>
        <v>19228638.309</v>
      </c>
      <c r="H259" s="269">
        <f t="shared" si="118"/>
        <v>12820359.558</v>
      </c>
      <c r="I259" s="269">
        <f t="shared" si="118"/>
        <v>9367756.5649999995</v>
      </c>
      <c r="J259" s="269">
        <f t="shared" si="118"/>
        <v>8114096.0209999997</v>
      </c>
      <c r="K259" s="269">
        <f t="shared" si="118"/>
        <v>8197714.5269999998</v>
      </c>
      <c r="L259" s="269">
        <f t="shared" si="118"/>
        <v>10191004.529999999</v>
      </c>
      <c r="M259" s="269">
        <f t="shared" si="118"/>
        <v>16641099.625</v>
      </c>
      <c r="N259" s="269">
        <f t="shared" si="118"/>
        <v>26448166.673</v>
      </c>
      <c r="O259" s="269">
        <f t="shared" si="118"/>
        <v>33312367.024999999</v>
      </c>
      <c r="P259" s="269">
        <f t="shared" si="117"/>
        <v>232245222.90300003</v>
      </c>
      <c r="Q259" s="269"/>
    </row>
    <row r="260" spans="2:17" x14ac:dyDescent="0.2">
      <c r="B260" s="284" t="s">
        <v>195</v>
      </c>
      <c r="C260" s="256"/>
      <c r="D260" s="269">
        <f>D224</f>
        <v>8199254.8569999998</v>
      </c>
      <c r="E260" s="269">
        <f t="shared" ref="E260:O261" si="119">E224</f>
        <v>6874533.6730000004</v>
      </c>
      <c r="F260" s="269">
        <f t="shared" si="119"/>
        <v>7186710.3210000005</v>
      </c>
      <c r="G260" s="269">
        <f t="shared" si="119"/>
        <v>5748760.6760000009</v>
      </c>
      <c r="H260" s="269">
        <f t="shared" si="119"/>
        <v>4512371.5020000003</v>
      </c>
      <c r="I260" s="269">
        <f t="shared" si="119"/>
        <v>3584100.8420000002</v>
      </c>
      <c r="J260" s="269">
        <f t="shared" si="119"/>
        <v>2929327.7139999997</v>
      </c>
      <c r="K260" s="269">
        <f t="shared" si="119"/>
        <v>2967290.9019999998</v>
      </c>
      <c r="L260" s="269">
        <f t="shared" si="119"/>
        <v>3573563.4449999998</v>
      </c>
      <c r="M260" s="269">
        <f t="shared" si="119"/>
        <v>5086765.5100000007</v>
      </c>
      <c r="N260" s="269">
        <f t="shared" si="119"/>
        <v>6841150.0810000002</v>
      </c>
      <c r="O260" s="269">
        <f t="shared" si="119"/>
        <v>7994035.0350000001</v>
      </c>
      <c r="P260" s="269">
        <f t="shared" si="117"/>
        <v>65497864.558000013</v>
      </c>
      <c r="Q260" s="269"/>
    </row>
    <row r="261" spans="2:17" x14ac:dyDescent="0.2">
      <c r="B261" s="282" t="s">
        <v>415</v>
      </c>
      <c r="C261" s="256"/>
      <c r="D261" s="269">
        <f>D225</f>
        <v>0</v>
      </c>
      <c r="E261" s="269">
        <f t="shared" si="119"/>
        <v>0</v>
      </c>
      <c r="F261" s="269">
        <f t="shared" si="119"/>
        <v>0</v>
      </c>
      <c r="G261" s="269">
        <f t="shared" si="119"/>
        <v>0</v>
      </c>
      <c r="H261" s="269">
        <f t="shared" si="119"/>
        <v>0</v>
      </c>
      <c r="I261" s="269">
        <f t="shared" si="119"/>
        <v>0</v>
      </c>
      <c r="J261" s="269">
        <f t="shared" si="119"/>
        <v>0</v>
      </c>
      <c r="K261" s="269">
        <f t="shared" si="119"/>
        <v>0</v>
      </c>
      <c r="L261" s="269">
        <f t="shared" si="119"/>
        <v>0</v>
      </c>
      <c r="M261" s="269">
        <f t="shared" si="119"/>
        <v>0</v>
      </c>
      <c r="N261" s="269">
        <f t="shared" si="119"/>
        <v>0</v>
      </c>
      <c r="O261" s="269">
        <f t="shared" si="119"/>
        <v>0</v>
      </c>
      <c r="P261" s="269">
        <f t="shared" si="117"/>
        <v>0</v>
      </c>
      <c r="Q261" s="269"/>
    </row>
    <row r="262" spans="2:17" x14ac:dyDescent="0.2">
      <c r="B262" s="284" t="s">
        <v>198</v>
      </c>
      <c r="C262" s="256"/>
      <c r="D262" s="269">
        <f t="shared" ref="D262:O270" si="120">D227</f>
        <v>1933608.2690000001</v>
      </c>
      <c r="E262" s="269">
        <f t="shared" si="120"/>
        <v>1680524.0340000002</v>
      </c>
      <c r="F262" s="269">
        <f t="shared" si="120"/>
        <v>1789387.747</v>
      </c>
      <c r="G262" s="269">
        <f t="shared" si="120"/>
        <v>1400451.9129999999</v>
      </c>
      <c r="H262" s="269">
        <f t="shared" si="120"/>
        <v>1046948.3860000001</v>
      </c>
      <c r="I262" s="269">
        <f t="shared" si="120"/>
        <v>846566.86300000013</v>
      </c>
      <c r="J262" s="269">
        <f t="shared" si="120"/>
        <v>751275.15700000012</v>
      </c>
      <c r="K262" s="269">
        <f t="shared" si="120"/>
        <v>818592.84</v>
      </c>
      <c r="L262" s="269">
        <f t="shared" si="120"/>
        <v>951488.03799999994</v>
      </c>
      <c r="M262" s="269">
        <f t="shared" si="120"/>
        <v>1246629.8770000001</v>
      </c>
      <c r="N262" s="269">
        <f t="shared" si="120"/>
        <v>1526244.0460000001</v>
      </c>
      <c r="O262" s="269">
        <f t="shared" si="120"/>
        <v>1796281.3839999998</v>
      </c>
      <c r="P262" s="269">
        <f t="shared" si="117"/>
        <v>15787998.554000001</v>
      </c>
      <c r="Q262" s="269"/>
    </row>
    <row r="263" spans="2:17" x14ac:dyDescent="0.2">
      <c r="B263" s="284" t="s">
        <v>200</v>
      </c>
      <c r="C263" s="256"/>
      <c r="D263" s="269">
        <f t="shared" si="120"/>
        <v>1276427.676</v>
      </c>
      <c r="E263" s="269">
        <f t="shared" si="120"/>
        <v>1068462.2690000001</v>
      </c>
      <c r="F263" s="269">
        <f t="shared" si="120"/>
        <v>1127196.3709999998</v>
      </c>
      <c r="G263" s="269">
        <f t="shared" si="120"/>
        <v>864727.49600000004</v>
      </c>
      <c r="H263" s="269">
        <f t="shared" si="120"/>
        <v>484538.7</v>
      </c>
      <c r="I263" s="269">
        <f t="shared" si="120"/>
        <v>321778.14299999998</v>
      </c>
      <c r="J263" s="269">
        <f t="shared" si="120"/>
        <v>219962.299</v>
      </c>
      <c r="K263" s="269">
        <f t="shared" si="120"/>
        <v>215005.26</v>
      </c>
      <c r="L263" s="269">
        <f t="shared" si="120"/>
        <v>362844.38800000004</v>
      </c>
      <c r="M263" s="269">
        <f t="shared" si="120"/>
        <v>702396.77799999993</v>
      </c>
      <c r="N263" s="269">
        <f t="shared" si="120"/>
        <v>948760.799</v>
      </c>
      <c r="O263" s="269">
        <f t="shared" si="120"/>
        <v>1160536.6139999998</v>
      </c>
      <c r="P263" s="269">
        <f t="shared" si="117"/>
        <v>8752636.7929999996</v>
      </c>
      <c r="Q263" s="269"/>
    </row>
    <row r="264" spans="2:17" x14ac:dyDescent="0.2">
      <c r="B264" s="284" t="s">
        <v>202</v>
      </c>
      <c r="C264" s="256"/>
      <c r="D264" s="269">
        <f t="shared" si="120"/>
        <v>2582095.4070000001</v>
      </c>
      <c r="E264" s="269">
        <f t="shared" si="120"/>
        <v>2453869.7620000001</v>
      </c>
      <c r="F264" s="269">
        <f t="shared" si="120"/>
        <v>2432020.3769999999</v>
      </c>
      <c r="G264" s="269">
        <f t="shared" si="120"/>
        <v>2074669.916</v>
      </c>
      <c r="H264" s="269">
        <f t="shared" si="120"/>
        <v>1485710.202</v>
      </c>
      <c r="I264" s="269">
        <f t="shared" si="120"/>
        <v>1430551.095</v>
      </c>
      <c r="J264" s="269">
        <f t="shared" si="120"/>
        <v>1280281.31</v>
      </c>
      <c r="K264" s="269">
        <f t="shared" si="120"/>
        <v>1275025.321</v>
      </c>
      <c r="L264" s="269">
        <f t="shared" si="120"/>
        <v>1372715.9339999999</v>
      </c>
      <c r="M264" s="269">
        <f t="shared" si="120"/>
        <v>1756849.892</v>
      </c>
      <c r="N264" s="269">
        <f t="shared" si="120"/>
        <v>2152439.2620000001</v>
      </c>
      <c r="O264" s="269">
        <f t="shared" si="120"/>
        <v>2585495.1809999999</v>
      </c>
      <c r="P264" s="269">
        <f t="shared" si="117"/>
        <v>22881723.659000002</v>
      </c>
      <c r="Q264" s="269"/>
    </row>
    <row r="265" spans="2:17" x14ac:dyDescent="0.2">
      <c r="B265" s="242" t="s">
        <v>315</v>
      </c>
      <c r="C265" s="256"/>
      <c r="D265" s="269">
        <f t="shared" si="120"/>
        <v>5002.67</v>
      </c>
      <c r="E265" s="269">
        <f t="shared" si="120"/>
        <v>6550.45</v>
      </c>
      <c r="F265" s="269">
        <f t="shared" si="120"/>
        <v>5064.18</v>
      </c>
      <c r="G265" s="269">
        <f t="shared" si="120"/>
        <v>3517.5600000000004</v>
      </c>
      <c r="H265" s="269">
        <f t="shared" si="120"/>
        <v>1618.33</v>
      </c>
      <c r="I265" s="269">
        <f t="shared" si="120"/>
        <v>992.44</v>
      </c>
      <c r="J265" s="269">
        <f t="shared" si="120"/>
        <v>798.62</v>
      </c>
      <c r="K265" s="269">
        <f t="shared" si="120"/>
        <v>838.78</v>
      </c>
      <c r="L265" s="269">
        <f t="shared" si="120"/>
        <v>1047.7</v>
      </c>
      <c r="M265" s="269">
        <f t="shared" si="120"/>
        <v>1466.72</v>
      </c>
      <c r="N265" s="269">
        <f t="shared" si="120"/>
        <v>2139.9299999999998</v>
      </c>
      <c r="O265" s="269">
        <f t="shared" si="120"/>
        <v>2460.83</v>
      </c>
      <c r="P265" s="269">
        <f t="shared" si="117"/>
        <v>31498.21</v>
      </c>
      <c r="Q265" s="269"/>
    </row>
    <row r="266" spans="2:17" x14ac:dyDescent="0.2">
      <c r="B266" s="242" t="s">
        <v>316</v>
      </c>
      <c r="C266" s="256"/>
      <c r="D266" s="269">
        <f t="shared" si="120"/>
        <v>1896974.1</v>
      </c>
      <c r="E266" s="269">
        <f t="shared" si="120"/>
        <v>1747749.17</v>
      </c>
      <c r="F266" s="269">
        <f t="shared" si="120"/>
        <v>1903759.5399999998</v>
      </c>
      <c r="G266" s="269">
        <f t="shared" si="120"/>
        <v>1695900.24</v>
      </c>
      <c r="H266" s="269">
        <f t="shared" si="120"/>
        <v>1615187.25</v>
      </c>
      <c r="I266" s="269">
        <f t="shared" si="120"/>
        <v>1585578.37</v>
      </c>
      <c r="J266" s="269">
        <f t="shared" si="120"/>
        <v>1532375.2000000002</v>
      </c>
      <c r="K266" s="269">
        <f t="shared" si="120"/>
        <v>1597051.59</v>
      </c>
      <c r="L266" s="269">
        <f t="shared" si="120"/>
        <v>1518330.34</v>
      </c>
      <c r="M266" s="269">
        <f t="shared" si="120"/>
        <v>1784480.0699999998</v>
      </c>
      <c r="N266" s="269">
        <f t="shared" si="120"/>
        <v>1838826.6099999999</v>
      </c>
      <c r="O266" s="269">
        <f t="shared" si="120"/>
        <v>1900801.94</v>
      </c>
      <c r="P266" s="269">
        <f t="shared" si="117"/>
        <v>20617014.420000002</v>
      </c>
      <c r="Q266" s="269"/>
    </row>
    <row r="267" spans="2:17" x14ac:dyDescent="0.2">
      <c r="B267" s="242" t="s">
        <v>317</v>
      </c>
      <c r="C267" s="256"/>
      <c r="D267" s="269">
        <f t="shared" si="120"/>
        <v>6677618.04</v>
      </c>
      <c r="E267" s="269">
        <f t="shared" si="120"/>
        <v>6081561.6100000003</v>
      </c>
      <c r="F267" s="269">
        <f t="shared" si="120"/>
        <v>6977294.3499999996</v>
      </c>
      <c r="G267" s="269">
        <f t="shared" si="120"/>
        <v>6172882.9199999999</v>
      </c>
      <c r="H267" s="269">
        <f t="shared" si="120"/>
        <v>6120130.4900000002</v>
      </c>
      <c r="I267" s="269">
        <f t="shared" si="120"/>
        <v>5984493.8599999994</v>
      </c>
      <c r="J267" s="269">
        <f t="shared" si="120"/>
        <v>5788622.3399999999</v>
      </c>
      <c r="K267" s="269">
        <f t="shared" si="120"/>
        <v>5929213.9500000002</v>
      </c>
      <c r="L267" s="269">
        <f t="shared" si="120"/>
        <v>5963637.7799999993</v>
      </c>
      <c r="M267" s="269">
        <f t="shared" si="120"/>
        <v>6781134.96</v>
      </c>
      <c r="N267" s="269">
        <f t="shared" si="120"/>
        <v>6236362.5</v>
      </c>
      <c r="O267" s="269">
        <f t="shared" si="120"/>
        <v>6119205.4100000001</v>
      </c>
      <c r="P267" s="269">
        <f t="shared" si="117"/>
        <v>74832158.210000008</v>
      </c>
      <c r="Q267" s="269"/>
    </row>
    <row r="268" spans="2:17" x14ac:dyDescent="0.2">
      <c r="B268" s="251" t="s">
        <v>321</v>
      </c>
      <c r="C268" s="256"/>
      <c r="D268" s="269">
        <f t="shared" si="120"/>
        <v>49343.94</v>
      </c>
      <c r="E268" s="269">
        <f t="shared" si="120"/>
        <v>52603.87</v>
      </c>
      <c r="F268" s="269">
        <f t="shared" si="120"/>
        <v>40825.67</v>
      </c>
      <c r="G268" s="269">
        <f t="shared" si="120"/>
        <v>24785.5</v>
      </c>
      <c r="H268" s="269">
        <f t="shared" si="120"/>
        <v>18363.18</v>
      </c>
      <c r="I268" s="269">
        <f t="shared" si="120"/>
        <v>20942.59</v>
      </c>
      <c r="J268" s="269">
        <f t="shared" si="120"/>
        <v>16363.51</v>
      </c>
      <c r="K268" s="269">
        <f t="shared" si="120"/>
        <v>13568.14</v>
      </c>
      <c r="L268" s="269">
        <f t="shared" si="120"/>
        <v>18972.219999999998</v>
      </c>
      <c r="M268" s="269">
        <f t="shared" si="120"/>
        <v>33141.14</v>
      </c>
      <c r="N268" s="269">
        <f t="shared" si="120"/>
        <v>34143.08</v>
      </c>
      <c r="O268" s="269">
        <f t="shared" si="120"/>
        <v>28235.31</v>
      </c>
      <c r="P268" s="269">
        <f t="shared" si="117"/>
        <v>351288.14999999997</v>
      </c>
      <c r="Q268" s="269"/>
    </row>
    <row r="269" spans="2:17" x14ac:dyDescent="0.2">
      <c r="B269" s="242" t="s">
        <v>319</v>
      </c>
      <c r="C269" s="256"/>
      <c r="D269" s="269">
        <f t="shared" si="120"/>
        <v>8436598.5199999996</v>
      </c>
      <c r="E269" s="269">
        <f t="shared" si="120"/>
        <v>8777355.3900000006</v>
      </c>
      <c r="F269" s="269">
        <f t="shared" si="120"/>
        <v>9545363.1600000001</v>
      </c>
      <c r="G269" s="269">
        <f t="shared" si="120"/>
        <v>8252639.4799999995</v>
      </c>
      <c r="H269" s="269">
        <f t="shared" si="120"/>
        <v>8341789.8599999994</v>
      </c>
      <c r="I269" s="269">
        <f t="shared" si="120"/>
        <v>7675361.1500000004</v>
      </c>
      <c r="J269" s="269">
        <f t="shared" si="120"/>
        <v>8618473.3499999996</v>
      </c>
      <c r="K269" s="269">
        <f t="shared" si="120"/>
        <v>8692811.5600000005</v>
      </c>
      <c r="L269" s="269">
        <f t="shared" si="120"/>
        <v>7685008.5999999996</v>
      </c>
      <c r="M269" s="269">
        <f t="shared" si="120"/>
        <v>7999972.3100000005</v>
      </c>
      <c r="N269" s="269">
        <f t="shared" si="120"/>
        <v>7185633.330000001</v>
      </c>
      <c r="O269" s="269">
        <f t="shared" si="120"/>
        <v>9016301.0200000014</v>
      </c>
      <c r="P269" s="269">
        <f t="shared" si="117"/>
        <v>100227307.72999999</v>
      </c>
      <c r="Q269" s="269"/>
    </row>
    <row r="270" spans="2:17" s="270" customFormat="1" x14ac:dyDescent="0.2">
      <c r="B270" s="284" t="s">
        <v>13</v>
      </c>
      <c r="C270" s="285"/>
      <c r="D270" s="269">
        <f t="shared" si="120"/>
        <v>4443467.74</v>
      </c>
      <c r="E270" s="269">
        <f t="shared" si="120"/>
        <v>3867486.2699999996</v>
      </c>
      <c r="F270" s="269">
        <f t="shared" si="120"/>
        <v>3813818.93</v>
      </c>
      <c r="G270" s="269">
        <f t="shared" si="120"/>
        <v>3266173.4099999997</v>
      </c>
      <c r="H270" s="269">
        <f t="shared" si="120"/>
        <v>2607580.04</v>
      </c>
      <c r="I270" s="269">
        <f t="shared" si="120"/>
        <v>2223953.0499999998</v>
      </c>
      <c r="J270" s="269">
        <f t="shared" si="120"/>
        <v>1816114.2500000002</v>
      </c>
      <c r="K270" s="269">
        <f t="shared" si="120"/>
        <v>1897095.8699999999</v>
      </c>
      <c r="L270" s="269">
        <f t="shared" si="120"/>
        <v>2237328.9500000002</v>
      </c>
      <c r="M270" s="269">
        <f t="shared" si="120"/>
        <v>2944518.8099999996</v>
      </c>
      <c r="N270" s="269">
        <f t="shared" si="120"/>
        <v>3753743.19</v>
      </c>
      <c r="O270" s="269">
        <f t="shared" si="120"/>
        <v>4219586.24</v>
      </c>
      <c r="P270" s="269">
        <f t="shared" si="117"/>
        <v>37090866.75</v>
      </c>
      <c r="Q270" s="269"/>
    </row>
    <row r="271" spans="2:17" x14ac:dyDescent="0.2">
      <c r="B271" s="282" t="s">
        <v>322</v>
      </c>
      <c r="C271" s="256"/>
      <c r="D271" s="280">
        <f t="shared" ref="D271:P271" si="121">SUM(D258:D270)</f>
        <v>166552053.47499999</v>
      </c>
      <c r="E271" s="280">
        <f t="shared" ref="E271:O271" si="122">SUM(E258:E270)</f>
        <v>132722491.49299997</v>
      </c>
      <c r="F271" s="280">
        <f t="shared" si="122"/>
        <v>138038713.21000004</v>
      </c>
      <c r="G271" s="280">
        <f t="shared" si="122"/>
        <v>99007354.439999998</v>
      </c>
      <c r="H271" s="280">
        <f t="shared" si="122"/>
        <v>69941058.016000003</v>
      </c>
      <c r="I271" s="280">
        <f t="shared" si="122"/>
        <v>52323795.749999993</v>
      </c>
      <c r="J271" s="280">
        <f t="shared" si="122"/>
        <v>44513655.328999996</v>
      </c>
      <c r="K271" s="280">
        <f t="shared" si="122"/>
        <v>44848856.703000002</v>
      </c>
      <c r="L271" s="280">
        <f t="shared" si="122"/>
        <v>55568657.735000014</v>
      </c>
      <c r="M271" s="280">
        <f t="shared" si="122"/>
        <v>89253856.68599999</v>
      </c>
      <c r="N271" s="280">
        <f t="shared" si="122"/>
        <v>134669493.868</v>
      </c>
      <c r="O271" s="280">
        <f t="shared" si="122"/>
        <v>164547110.96400002</v>
      </c>
      <c r="P271" s="280">
        <f t="shared" si="121"/>
        <v>1191987097.6689999</v>
      </c>
      <c r="Q271" s="269"/>
    </row>
    <row r="272" spans="2:17" x14ac:dyDescent="0.2">
      <c r="B272" s="282" t="s">
        <v>49</v>
      </c>
      <c r="C272" s="256"/>
      <c r="D272" s="269">
        <f t="shared" ref="D272:P272" si="123">D271-D236</f>
        <v>0</v>
      </c>
      <c r="E272" s="269">
        <f t="shared" si="123"/>
        <v>0</v>
      </c>
      <c r="F272" s="269">
        <f t="shared" si="123"/>
        <v>0</v>
      </c>
      <c r="G272" s="269">
        <f t="shared" si="123"/>
        <v>0</v>
      </c>
      <c r="H272" s="269">
        <f t="shared" si="123"/>
        <v>0</v>
      </c>
      <c r="I272" s="269">
        <f t="shared" si="123"/>
        <v>0</v>
      </c>
      <c r="J272" s="269">
        <f t="shared" si="123"/>
        <v>0</v>
      </c>
      <c r="K272" s="269">
        <f t="shared" si="123"/>
        <v>0</v>
      </c>
      <c r="L272" s="269">
        <f t="shared" si="123"/>
        <v>0</v>
      </c>
      <c r="M272" s="269">
        <f t="shared" si="123"/>
        <v>0</v>
      </c>
      <c r="N272" s="269">
        <f t="shared" si="123"/>
        <v>0</v>
      </c>
      <c r="O272" s="269">
        <f t="shared" si="123"/>
        <v>0</v>
      </c>
      <c r="P272" s="269">
        <f t="shared" si="123"/>
        <v>0</v>
      </c>
      <c r="Q272" s="269"/>
    </row>
    <row r="273" spans="2:17" x14ac:dyDescent="0.2">
      <c r="B273" s="282"/>
      <c r="C273" s="256"/>
      <c r="D273" s="269"/>
      <c r="E273" s="269"/>
      <c r="F273" s="269"/>
      <c r="G273" s="269"/>
      <c r="H273" s="269"/>
      <c r="I273" s="269"/>
      <c r="J273" s="269"/>
      <c r="K273" s="269"/>
      <c r="L273" s="269"/>
      <c r="M273" s="269"/>
      <c r="N273" s="269"/>
      <c r="O273" s="269"/>
      <c r="P273" s="269"/>
      <c r="Q273" s="269"/>
    </row>
    <row r="274" spans="2:17" x14ac:dyDescent="0.2">
      <c r="B274" s="282" t="s">
        <v>327</v>
      </c>
      <c r="C274" s="256"/>
      <c r="D274" s="269">
        <f>SUM(D258:D264)</f>
        <v>145043048.465</v>
      </c>
      <c r="E274" s="269">
        <f t="shared" ref="E274:O274" si="124">SUM(E258:E264)</f>
        <v>112189184.73299997</v>
      </c>
      <c r="F274" s="269">
        <f t="shared" si="124"/>
        <v>115752587.38000001</v>
      </c>
      <c r="G274" s="269">
        <f t="shared" si="124"/>
        <v>79591455.329999998</v>
      </c>
      <c r="H274" s="269">
        <f t="shared" si="124"/>
        <v>51236388.865999997</v>
      </c>
      <c r="I274" s="269">
        <f t="shared" si="124"/>
        <v>34832474.289999999</v>
      </c>
      <c r="J274" s="269">
        <f t="shared" si="124"/>
        <v>26740908.058999997</v>
      </c>
      <c r="K274" s="269">
        <f t="shared" si="124"/>
        <v>26718276.812999997</v>
      </c>
      <c r="L274" s="269">
        <f t="shared" si="124"/>
        <v>38144332.145000003</v>
      </c>
      <c r="M274" s="269">
        <f t="shared" si="124"/>
        <v>69709142.675999999</v>
      </c>
      <c r="N274" s="269">
        <f t="shared" si="124"/>
        <v>115618645.22799999</v>
      </c>
      <c r="O274" s="269">
        <f t="shared" si="124"/>
        <v>143260520.21399999</v>
      </c>
      <c r="P274" s="269">
        <f>SUM(D274:O274)</f>
        <v>958836964.19899988</v>
      </c>
      <c r="Q274" s="269"/>
    </row>
    <row r="275" spans="2:17" x14ac:dyDescent="0.2">
      <c r="B275" s="282" t="s">
        <v>328</v>
      </c>
      <c r="C275" s="256"/>
      <c r="D275" s="269">
        <f>SUM(D265:D270)</f>
        <v>21509005.009999998</v>
      </c>
      <c r="E275" s="269">
        <f t="shared" ref="E275:O275" si="125">SUM(E265:E270)</f>
        <v>20533306.760000002</v>
      </c>
      <c r="F275" s="269">
        <f t="shared" si="125"/>
        <v>22286125.829999998</v>
      </c>
      <c r="G275" s="269">
        <f t="shared" si="125"/>
        <v>19415899.109999999</v>
      </c>
      <c r="H275" s="269">
        <f t="shared" si="125"/>
        <v>18704669.149999999</v>
      </c>
      <c r="I275" s="269">
        <f t="shared" si="125"/>
        <v>17491321.460000001</v>
      </c>
      <c r="J275" s="269">
        <f t="shared" si="125"/>
        <v>17772747.27</v>
      </c>
      <c r="K275" s="269">
        <f t="shared" si="125"/>
        <v>18130579.890000001</v>
      </c>
      <c r="L275" s="269">
        <f t="shared" si="125"/>
        <v>17424325.59</v>
      </c>
      <c r="M275" s="269">
        <f t="shared" si="125"/>
        <v>19544714.010000002</v>
      </c>
      <c r="N275" s="269">
        <f t="shared" si="125"/>
        <v>19050848.640000001</v>
      </c>
      <c r="O275" s="269">
        <f t="shared" si="125"/>
        <v>21286590.75</v>
      </c>
      <c r="P275" s="269">
        <f>SUM(D275:O275)</f>
        <v>233150133.47000003</v>
      </c>
      <c r="Q275" s="269"/>
    </row>
    <row r="276" spans="2:17" x14ac:dyDescent="0.2">
      <c r="B276" s="282" t="s">
        <v>6</v>
      </c>
      <c r="C276" s="256"/>
      <c r="D276" s="280">
        <f t="shared" ref="D276:P276" si="126">SUM(D274:D275)</f>
        <v>166552053.47499999</v>
      </c>
      <c r="E276" s="280">
        <f t="shared" si="126"/>
        <v>132722491.49299997</v>
      </c>
      <c r="F276" s="280">
        <f t="shared" si="126"/>
        <v>138038713.21000001</v>
      </c>
      <c r="G276" s="280">
        <f t="shared" si="126"/>
        <v>99007354.439999998</v>
      </c>
      <c r="H276" s="280">
        <f t="shared" si="126"/>
        <v>69941058.016000003</v>
      </c>
      <c r="I276" s="280">
        <f t="shared" si="126"/>
        <v>52323795.75</v>
      </c>
      <c r="J276" s="280">
        <f t="shared" si="126"/>
        <v>44513655.328999996</v>
      </c>
      <c r="K276" s="280">
        <f t="shared" si="126"/>
        <v>44848856.702999994</v>
      </c>
      <c r="L276" s="280">
        <f t="shared" si="126"/>
        <v>55568657.734999999</v>
      </c>
      <c r="M276" s="280">
        <f t="shared" si="126"/>
        <v>89253856.686000004</v>
      </c>
      <c r="N276" s="280">
        <f t="shared" si="126"/>
        <v>134669493.86799997</v>
      </c>
      <c r="O276" s="280">
        <f t="shared" si="126"/>
        <v>164547110.96399999</v>
      </c>
      <c r="P276" s="280">
        <f t="shared" si="126"/>
        <v>1191987097.6689999</v>
      </c>
      <c r="Q276" s="269"/>
    </row>
    <row r="277" spans="2:17" x14ac:dyDescent="0.2">
      <c r="B277" s="286" t="s">
        <v>49</v>
      </c>
      <c r="C277" s="287"/>
      <c r="D277" s="288">
        <f t="shared" ref="D277:P277" si="127">D276-D271</f>
        <v>0</v>
      </c>
      <c r="E277" s="288">
        <f t="shared" si="127"/>
        <v>0</v>
      </c>
      <c r="F277" s="288">
        <f t="shared" si="127"/>
        <v>0</v>
      </c>
      <c r="G277" s="288">
        <f t="shared" si="127"/>
        <v>0</v>
      </c>
      <c r="H277" s="288">
        <f t="shared" si="127"/>
        <v>0</v>
      </c>
      <c r="I277" s="288">
        <f t="shared" si="127"/>
        <v>0</v>
      </c>
      <c r="J277" s="288">
        <f t="shared" si="127"/>
        <v>0</v>
      </c>
      <c r="K277" s="288">
        <f t="shared" si="127"/>
        <v>0</v>
      </c>
      <c r="L277" s="288">
        <f t="shared" si="127"/>
        <v>0</v>
      </c>
      <c r="M277" s="288">
        <f t="shared" si="127"/>
        <v>0</v>
      </c>
      <c r="N277" s="288">
        <f t="shared" si="127"/>
        <v>0</v>
      </c>
      <c r="O277" s="288">
        <f t="shared" si="127"/>
        <v>0</v>
      </c>
      <c r="P277" s="288">
        <f t="shared" si="127"/>
        <v>0</v>
      </c>
      <c r="Q277" s="269"/>
    </row>
    <row r="278" spans="2:17" s="251" customFormat="1" x14ac:dyDescent="0.2">
      <c r="B278" s="282"/>
      <c r="C278" s="256"/>
      <c r="D278" s="269"/>
      <c r="E278" s="269"/>
      <c r="F278" s="269"/>
      <c r="G278" s="269"/>
      <c r="H278" s="269"/>
      <c r="I278" s="269"/>
      <c r="J278" s="269"/>
      <c r="K278" s="269"/>
      <c r="L278" s="269"/>
      <c r="M278" s="269"/>
      <c r="N278" s="269"/>
      <c r="O278" s="269"/>
      <c r="P278" s="269"/>
      <c r="Q278" s="269"/>
    </row>
    <row r="279" spans="2:17" s="251" customFormat="1" x14ac:dyDescent="0.2">
      <c r="B279" s="291" t="s">
        <v>329</v>
      </c>
      <c r="C279" s="256"/>
      <c r="D279" s="269"/>
      <c r="E279" s="269"/>
      <c r="F279" s="269"/>
      <c r="G279" s="269"/>
      <c r="H279" s="269"/>
      <c r="I279" s="269"/>
      <c r="J279" s="269"/>
      <c r="K279" s="269"/>
      <c r="L279" s="269"/>
      <c r="M279" s="269"/>
      <c r="N279" s="269"/>
      <c r="O279" s="269"/>
      <c r="P279" s="269"/>
      <c r="Q279" s="269"/>
    </row>
    <row r="280" spans="2:17" s="251" customFormat="1" x14ac:dyDescent="0.2">
      <c r="B280" s="251" t="s">
        <v>330</v>
      </c>
      <c r="C280" s="252">
        <v>23</v>
      </c>
      <c r="D280" s="261">
        <f t="shared" ref="D280:O293" si="128">IFERROR(ROUND(SUMIF($C$172:$C$197,$C280,D$172:D$197),0)/ROUND(SUMIF($C$36:$C$63,$C280,D$36:D$63),0),0)</f>
        <v>126.59691525278079</v>
      </c>
      <c r="E280" s="261">
        <f t="shared" si="128"/>
        <v>95.391164899854644</v>
      </c>
      <c r="F280" s="261">
        <f t="shared" si="128"/>
        <v>98.518785458966306</v>
      </c>
      <c r="G280" s="261">
        <f t="shared" si="128"/>
        <v>65.265190953064675</v>
      </c>
      <c r="H280" s="261">
        <f t="shared" si="128"/>
        <v>40.062316133551249</v>
      </c>
      <c r="I280" s="261">
        <f t="shared" si="128"/>
        <v>24.999410053211903</v>
      </c>
      <c r="J280" s="261">
        <f t="shared" si="128"/>
        <v>17.427919613414357</v>
      </c>
      <c r="K280" s="261">
        <f t="shared" si="128"/>
        <v>17.154677433143444</v>
      </c>
      <c r="L280" s="261">
        <f t="shared" si="128"/>
        <v>28.076013377961051</v>
      </c>
      <c r="M280" s="261">
        <f t="shared" si="128"/>
        <v>57.150433327911891</v>
      </c>
      <c r="N280" s="261">
        <f t="shared" si="128"/>
        <v>100.01919772212089</v>
      </c>
      <c r="O280" s="261">
        <f t="shared" si="128"/>
        <v>123.8912119374139</v>
      </c>
      <c r="P280" s="261">
        <f>SUM(D280:O280)</f>
        <v>794.55323616339513</v>
      </c>
      <c r="Q280" s="261"/>
    </row>
    <row r="281" spans="2:17" s="251" customFormat="1" x14ac:dyDescent="0.2">
      <c r="B281" s="251" t="s">
        <v>331</v>
      </c>
      <c r="C281" s="252">
        <v>31</v>
      </c>
      <c r="D281" s="261">
        <f t="shared" si="128"/>
        <v>596.90940379116807</v>
      </c>
      <c r="E281" s="261">
        <f t="shared" si="128"/>
        <v>471.89243041951255</v>
      </c>
      <c r="F281" s="261">
        <f t="shared" si="128"/>
        <v>482.32983185871905</v>
      </c>
      <c r="G281" s="261">
        <f t="shared" si="128"/>
        <v>339.12941798941802</v>
      </c>
      <c r="H281" s="261">
        <f t="shared" si="128"/>
        <v>226.17246489309153</v>
      </c>
      <c r="I281" s="261">
        <f t="shared" si="128"/>
        <v>165.48176085074812</v>
      </c>
      <c r="J281" s="261">
        <f t="shared" si="128"/>
        <v>143.40672663968471</v>
      </c>
      <c r="K281" s="261">
        <f t="shared" si="128"/>
        <v>144.92557235039337</v>
      </c>
      <c r="L281" s="261">
        <f t="shared" si="128"/>
        <v>180.21547684309184</v>
      </c>
      <c r="M281" s="261">
        <f t="shared" si="128"/>
        <v>293.49900350976208</v>
      </c>
      <c r="N281" s="261">
        <f t="shared" si="128"/>
        <v>465.29268850497868</v>
      </c>
      <c r="O281" s="261">
        <f t="shared" si="128"/>
        <v>584.67366961527659</v>
      </c>
      <c r="P281" s="261">
        <f>SUM(D281:O281)</f>
        <v>4093.9284472658451</v>
      </c>
      <c r="Q281" s="261"/>
    </row>
    <row r="282" spans="2:17" s="251" customFormat="1" x14ac:dyDescent="0.2">
      <c r="B282" s="251" t="s">
        <v>332</v>
      </c>
      <c r="C282" s="252">
        <v>41</v>
      </c>
      <c r="D282" s="261">
        <f t="shared" si="128"/>
        <v>6020.0110132158588</v>
      </c>
      <c r="E282" s="261">
        <f t="shared" si="128"/>
        <v>5065.9793662490792</v>
      </c>
      <c r="F282" s="261">
        <f t="shared" si="128"/>
        <v>5284.3455882352937</v>
      </c>
      <c r="G282" s="261">
        <f t="shared" si="128"/>
        <v>4217.7263389581803</v>
      </c>
      <c r="H282" s="261">
        <f t="shared" si="128"/>
        <v>3315.4827332843497</v>
      </c>
      <c r="I282" s="261">
        <f t="shared" si="128"/>
        <v>2650.9622781065091</v>
      </c>
      <c r="J282" s="261">
        <f t="shared" si="128"/>
        <v>2227.6258555133081</v>
      </c>
      <c r="K282" s="261">
        <f t="shared" si="128"/>
        <v>2279.0253456221199</v>
      </c>
      <c r="L282" s="261">
        <f t="shared" si="128"/>
        <v>2746.7817063797079</v>
      </c>
      <c r="M282" s="261">
        <f t="shared" si="128"/>
        <v>3888.9648318042814</v>
      </c>
      <c r="N282" s="261">
        <f t="shared" si="128"/>
        <v>5190.553869499241</v>
      </c>
      <c r="O282" s="261">
        <f t="shared" si="128"/>
        <v>6060.678544351782</v>
      </c>
      <c r="P282" s="261">
        <f>SUM(D282:O282)</f>
        <v>48948.137471219707</v>
      </c>
      <c r="Q282" s="261"/>
    </row>
    <row r="283" spans="2:17" s="251" customFormat="1" x14ac:dyDescent="0.2">
      <c r="B283" s="251" t="s">
        <v>266</v>
      </c>
      <c r="C283" s="252">
        <v>53</v>
      </c>
      <c r="D283" s="261">
        <f t="shared" si="128"/>
        <v>57</v>
      </c>
      <c r="E283" s="261">
        <f t="shared" si="128"/>
        <v>0</v>
      </c>
      <c r="F283" s="261">
        <f t="shared" si="128"/>
        <v>0</v>
      </c>
      <c r="G283" s="261">
        <f t="shared" si="128"/>
        <v>0</v>
      </c>
      <c r="H283" s="261">
        <f t="shared" si="128"/>
        <v>0</v>
      </c>
      <c r="I283" s="261">
        <f t="shared" si="128"/>
        <v>0</v>
      </c>
      <c r="J283" s="261">
        <f t="shared" si="128"/>
        <v>0</v>
      </c>
      <c r="K283" s="261">
        <f t="shared" si="128"/>
        <v>0</v>
      </c>
      <c r="L283" s="261">
        <f t="shared" si="128"/>
        <v>0</v>
      </c>
      <c r="M283" s="261">
        <f t="shared" si="128"/>
        <v>0</v>
      </c>
      <c r="N283" s="261">
        <f t="shared" si="128"/>
        <v>0</v>
      </c>
      <c r="O283" s="261">
        <f t="shared" si="128"/>
        <v>0</v>
      </c>
      <c r="P283" s="261">
        <f>SUM(D283:O283)</f>
        <v>57</v>
      </c>
      <c r="Q283" s="261"/>
    </row>
    <row r="284" spans="2:17" s="251" customFormat="1" x14ac:dyDescent="0.2">
      <c r="B284" s="251" t="s">
        <v>354</v>
      </c>
      <c r="C284" s="252">
        <v>50</v>
      </c>
      <c r="D284" s="261">
        <f t="shared" si="128"/>
        <v>0</v>
      </c>
      <c r="E284" s="261">
        <f t="shared" si="128"/>
        <v>0</v>
      </c>
      <c r="F284" s="261">
        <f t="shared" si="128"/>
        <v>0</v>
      </c>
      <c r="G284" s="261">
        <f t="shared" si="128"/>
        <v>0</v>
      </c>
      <c r="H284" s="261">
        <f t="shared" si="128"/>
        <v>0</v>
      </c>
      <c r="I284" s="261">
        <f t="shared" si="128"/>
        <v>0</v>
      </c>
      <c r="J284" s="261">
        <f t="shared" si="128"/>
        <v>0</v>
      </c>
      <c r="K284" s="261">
        <f t="shared" si="128"/>
        <v>0</v>
      </c>
      <c r="L284" s="261">
        <f t="shared" si="128"/>
        <v>0</v>
      </c>
      <c r="M284" s="261">
        <f t="shared" si="128"/>
        <v>0</v>
      </c>
      <c r="N284" s="261">
        <f t="shared" si="128"/>
        <v>0</v>
      </c>
      <c r="O284" s="261">
        <f t="shared" si="128"/>
        <v>0</v>
      </c>
      <c r="P284" s="261"/>
      <c r="Q284" s="261"/>
    </row>
    <row r="285" spans="2:17" s="251" customFormat="1" x14ac:dyDescent="0.2">
      <c r="B285" s="242" t="s">
        <v>315</v>
      </c>
      <c r="C285" s="252" t="s">
        <v>33</v>
      </c>
      <c r="D285" s="261">
        <f t="shared" si="128"/>
        <v>1667.6666666666667</v>
      </c>
      <c r="E285" s="261">
        <f t="shared" si="128"/>
        <v>2183.3333333333335</v>
      </c>
      <c r="F285" s="261">
        <f t="shared" si="128"/>
        <v>1688</v>
      </c>
      <c r="G285" s="261">
        <f t="shared" si="128"/>
        <v>1172.6666666666667</v>
      </c>
      <c r="H285" s="261">
        <f t="shared" si="128"/>
        <v>539.33333333333337</v>
      </c>
      <c r="I285" s="261">
        <f t="shared" si="128"/>
        <v>330.66666666666669</v>
      </c>
      <c r="J285" s="261">
        <f t="shared" si="128"/>
        <v>266.33333333333331</v>
      </c>
      <c r="K285" s="261">
        <f t="shared" si="128"/>
        <v>419.5</v>
      </c>
      <c r="L285" s="261">
        <f t="shared" si="128"/>
        <v>524</v>
      </c>
      <c r="M285" s="261">
        <f t="shared" si="128"/>
        <v>733.5</v>
      </c>
      <c r="N285" s="261">
        <f t="shared" si="128"/>
        <v>1070</v>
      </c>
      <c r="O285" s="261">
        <f t="shared" si="128"/>
        <v>1230.5</v>
      </c>
      <c r="P285" s="261">
        <f>ROUND(SUMIF($C$172:$C$197,$C285,P$172:P$197),0)/ROUND(SUMIF($C$37:$C$63,$C285,P$37:P$63),0)</f>
        <v>1016.0645161290323</v>
      </c>
      <c r="Q285" s="261"/>
    </row>
    <row r="286" spans="2:17" s="251" customFormat="1" x14ac:dyDescent="0.2">
      <c r="B286" s="251" t="s">
        <v>316</v>
      </c>
      <c r="C286" s="252" t="s">
        <v>35</v>
      </c>
      <c r="D286" s="261">
        <f t="shared" si="128"/>
        <v>18417.223300970873</v>
      </c>
      <c r="E286" s="261">
        <f t="shared" si="128"/>
        <v>16645.228571428572</v>
      </c>
      <c r="F286" s="261">
        <f t="shared" si="128"/>
        <v>18131.047619047618</v>
      </c>
      <c r="G286" s="261">
        <f t="shared" si="128"/>
        <v>16151.428571428571</v>
      </c>
      <c r="H286" s="261">
        <f t="shared" si="128"/>
        <v>15382.733333333334</v>
      </c>
      <c r="I286" s="261">
        <f t="shared" si="128"/>
        <v>14546.587155963303</v>
      </c>
      <c r="J286" s="261">
        <f t="shared" si="128"/>
        <v>14058.48623853211</v>
      </c>
      <c r="K286" s="261">
        <f t="shared" si="128"/>
        <v>14651.853211009175</v>
      </c>
      <c r="L286" s="261">
        <f t="shared" si="128"/>
        <v>13929.633027522936</v>
      </c>
      <c r="M286" s="261">
        <f t="shared" si="128"/>
        <v>16371.376146788991</v>
      </c>
      <c r="N286" s="261">
        <f t="shared" si="128"/>
        <v>17347.424528301886</v>
      </c>
      <c r="O286" s="261">
        <f t="shared" si="128"/>
        <v>17932.094339622643</v>
      </c>
      <c r="P286" s="261">
        <f t="shared" ref="P286:P294" si="129">SUM(D286:O286)</f>
        <v>193565.11604395005</v>
      </c>
      <c r="Q286" s="261"/>
    </row>
    <row r="287" spans="2:17" s="251" customFormat="1" x14ac:dyDescent="0.2">
      <c r="B287" s="251" t="s">
        <v>317</v>
      </c>
      <c r="C287" s="252" t="s">
        <v>37</v>
      </c>
      <c r="D287" s="261">
        <f t="shared" si="128"/>
        <v>66115.029702970292</v>
      </c>
      <c r="E287" s="261">
        <f t="shared" si="128"/>
        <v>60213.485148514854</v>
      </c>
      <c r="F287" s="261">
        <f t="shared" si="128"/>
        <v>69082.118811881184</v>
      </c>
      <c r="G287" s="261">
        <f t="shared" si="128"/>
        <v>61117.653465346535</v>
      </c>
      <c r="H287" s="261">
        <f t="shared" si="128"/>
        <v>60001.274509803923</v>
      </c>
      <c r="I287" s="261">
        <f t="shared" si="128"/>
        <v>58101.88349514563</v>
      </c>
      <c r="J287" s="261">
        <f t="shared" si="128"/>
        <v>56200.213592233013</v>
      </c>
      <c r="K287" s="261">
        <f t="shared" si="128"/>
        <v>57565.184466019418</v>
      </c>
      <c r="L287" s="261">
        <f t="shared" si="128"/>
        <v>57899.398058252424</v>
      </c>
      <c r="M287" s="261">
        <f t="shared" si="128"/>
        <v>65836.262135922327</v>
      </c>
      <c r="N287" s="261">
        <f t="shared" si="128"/>
        <v>60547.213592233013</v>
      </c>
      <c r="O287" s="261">
        <f t="shared" si="128"/>
        <v>59409.7572815534</v>
      </c>
      <c r="P287" s="261">
        <f t="shared" si="129"/>
        <v>732089.47425987595</v>
      </c>
      <c r="Q287" s="261"/>
    </row>
    <row r="288" spans="2:17" s="251" customFormat="1" x14ac:dyDescent="0.2">
      <c r="B288" s="251" t="s">
        <v>321</v>
      </c>
      <c r="C288" s="252" t="s">
        <v>39</v>
      </c>
      <c r="D288" s="261">
        <f t="shared" si="128"/>
        <v>24672</v>
      </c>
      <c r="E288" s="261">
        <f t="shared" si="128"/>
        <v>26302</v>
      </c>
      <c r="F288" s="261">
        <f t="shared" si="128"/>
        <v>20413</v>
      </c>
      <c r="G288" s="261">
        <f t="shared" si="128"/>
        <v>12393</v>
      </c>
      <c r="H288" s="261">
        <f t="shared" si="128"/>
        <v>9181.5</v>
      </c>
      <c r="I288" s="261">
        <f t="shared" si="128"/>
        <v>10471.5</v>
      </c>
      <c r="J288" s="261">
        <f t="shared" si="128"/>
        <v>8182</v>
      </c>
      <c r="K288" s="261">
        <f t="shared" si="128"/>
        <v>6784</v>
      </c>
      <c r="L288" s="261">
        <f t="shared" si="128"/>
        <v>9486</v>
      </c>
      <c r="M288" s="261">
        <f t="shared" si="128"/>
        <v>16570.5</v>
      </c>
      <c r="N288" s="261">
        <f t="shared" si="128"/>
        <v>17071.5</v>
      </c>
      <c r="O288" s="261">
        <f t="shared" si="128"/>
        <v>9411.6666666666661</v>
      </c>
      <c r="P288" s="261">
        <f t="shared" si="129"/>
        <v>170938.66666666666</v>
      </c>
      <c r="Q288" s="261"/>
    </row>
    <row r="289" spans="2:17" s="251" customFormat="1" x14ac:dyDescent="0.2">
      <c r="B289" s="251" t="s">
        <v>319</v>
      </c>
      <c r="C289" s="252" t="s">
        <v>41</v>
      </c>
      <c r="D289" s="261">
        <f t="shared" si="128"/>
        <v>843659.9</v>
      </c>
      <c r="E289" s="261">
        <f t="shared" si="128"/>
        <v>877735.5</v>
      </c>
      <c r="F289" s="261">
        <f t="shared" si="128"/>
        <v>954536.3</v>
      </c>
      <c r="G289" s="261">
        <f t="shared" si="128"/>
        <v>825263.9</v>
      </c>
      <c r="H289" s="261">
        <f t="shared" si="128"/>
        <v>834179</v>
      </c>
      <c r="I289" s="261">
        <f t="shared" si="128"/>
        <v>767536.1</v>
      </c>
      <c r="J289" s="261">
        <f t="shared" si="128"/>
        <v>861847.3</v>
      </c>
      <c r="K289" s="261">
        <f t="shared" si="128"/>
        <v>869281.2</v>
      </c>
      <c r="L289" s="261">
        <f t="shared" si="128"/>
        <v>768500.9</v>
      </c>
      <c r="M289" s="261">
        <f t="shared" si="128"/>
        <v>799997.2</v>
      </c>
      <c r="N289" s="261">
        <f t="shared" si="128"/>
        <v>718563.3</v>
      </c>
      <c r="O289" s="261">
        <f t="shared" si="128"/>
        <v>901630.1</v>
      </c>
      <c r="P289" s="261">
        <f t="shared" si="129"/>
        <v>10022730.699999999</v>
      </c>
      <c r="Q289" s="261"/>
    </row>
    <row r="290" spans="2:17" s="251" customFormat="1" x14ac:dyDescent="0.2">
      <c r="B290" s="251" t="s">
        <v>333</v>
      </c>
      <c r="C290" s="251">
        <v>85</v>
      </c>
      <c r="D290" s="261">
        <f t="shared" si="128"/>
        <v>66676.137931034478</v>
      </c>
      <c r="E290" s="261">
        <f t="shared" si="128"/>
        <v>57949.103448275862</v>
      </c>
      <c r="F290" s="261">
        <f t="shared" si="128"/>
        <v>61703.034482758623</v>
      </c>
      <c r="G290" s="261">
        <f t="shared" si="128"/>
        <v>48291.448275862072</v>
      </c>
      <c r="H290" s="261">
        <f t="shared" si="128"/>
        <v>36101.65517241379</v>
      </c>
      <c r="I290" s="261">
        <f t="shared" si="128"/>
        <v>30234.535714285714</v>
      </c>
      <c r="J290" s="261">
        <f t="shared" si="128"/>
        <v>26831.25</v>
      </c>
      <c r="K290" s="261">
        <f t="shared" si="128"/>
        <v>29235.464285714286</v>
      </c>
      <c r="L290" s="261">
        <f t="shared" si="128"/>
        <v>33981.714285714283</v>
      </c>
      <c r="M290" s="261">
        <f t="shared" si="128"/>
        <v>44522.5</v>
      </c>
      <c r="N290" s="261">
        <f t="shared" si="128"/>
        <v>54508.714285714283</v>
      </c>
      <c r="O290" s="261">
        <f t="shared" si="128"/>
        <v>64152.892857142855</v>
      </c>
      <c r="P290" s="261">
        <f t="shared" si="129"/>
        <v>554188.45073891629</v>
      </c>
      <c r="Q290" s="261"/>
    </row>
    <row r="291" spans="2:17" s="251" customFormat="1" x14ac:dyDescent="0.2">
      <c r="B291" s="251" t="s">
        <v>334</v>
      </c>
      <c r="C291" s="251">
        <v>86</v>
      </c>
      <c r="D291" s="261">
        <f t="shared" si="128"/>
        <v>5598.3684210526317</v>
      </c>
      <c r="E291" s="261">
        <f t="shared" si="128"/>
        <v>4686.2368421052633</v>
      </c>
      <c r="F291" s="261">
        <f t="shared" si="128"/>
        <v>4943.8421052631575</v>
      </c>
      <c r="G291" s="261">
        <f t="shared" si="128"/>
        <v>3792.6622807017543</v>
      </c>
      <c r="H291" s="261">
        <f t="shared" si="128"/>
        <v>2134.533039647577</v>
      </c>
      <c r="I291" s="261">
        <f t="shared" si="128"/>
        <v>1417.5242290748899</v>
      </c>
      <c r="J291" s="261">
        <f t="shared" si="128"/>
        <v>973.28318584070792</v>
      </c>
      <c r="K291" s="261">
        <f t="shared" si="128"/>
        <v>951.34955752212386</v>
      </c>
      <c r="L291" s="261">
        <f t="shared" si="128"/>
        <v>1605.5044247787609</v>
      </c>
      <c r="M291" s="261">
        <f t="shared" si="128"/>
        <v>3107.9513274336282</v>
      </c>
      <c r="N291" s="261">
        <f t="shared" si="128"/>
        <v>4254.5336322869953</v>
      </c>
      <c r="O291" s="261">
        <f t="shared" si="128"/>
        <v>5299.255707762557</v>
      </c>
      <c r="P291" s="261">
        <f t="shared" si="129"/>
        <v>38765.044753470051</v>
      </c>
      <c r="Q291" s="261"/>
    </row>
    <row r="292" spans="2:17" s="251" customFormat="1" x14ac:dyDescent="0.2">
      <c r="B292" s="251" t="s">
        <v>335</v>
      </c>
      <c r="C292" s="251">
        <v>87</v>
      </c>
      <c r="D292" s="261">
        <f t="shared" si="128"/>
        <v>516419</v>
      </c>
      <c r="E292" s="261">
        <f t="shared" si="128"/>
        <v>490774</v>
      </c>
      <c r="F292" s="261">
        <f t="shared" si="128"/>
        <v>486404</v>
      </c>
      <c r="G292" s="261">
        <f t="shared" si="128"/>
        <v>414934</v>
      </c>
      <c r="H292" s="261">
        <f t="shared" si="128"/>
        <v>297142</v>
      </c>
      <c r="I292" s="261">
        <f t="shared" si="128"/>
        <v>286110.2</v>
      </c>
      <c r="J292" s="261">
        <f t="shared" si="128"/>
        <v>256056.2</v>
      </c>
      <c r="K292" s="261">
        <f t="shared" si="128"/>
        <v>255005</v>
      </c>
      <c r="L292" s="261">
        <f t="shared" si="128"/>
        <v>274543.2</v>
      </c>
      <c r="M292" s="261">
        <f t="shared" si="128"/>
        <v>351370</v>
      </c>
      <c r="N292" s="261">
        <f t="shared" si="128"/>
        <v>430487.8</v>
      </c>
      <c r="O292" s="261">
        <f t="shared" si="128"/>
        <v>517099</v>
      </c>
      <c r="P292" s="261">
        <f t="shared" si="129"/>
        <v>4576344.4000000004</v>
      </c>
      <c r="Q292" s="261"/>
    </row>
    <row r="293" spans="2:17" s="257" customFormat="1" ht="15" x14ac:dyDescent="0.25">
      <c r="B293" s="283" t="s">
        <v>13</v>
      </c>
      <c r="C293" s="271" t="s">
        <v>259</v>
      </c>
      <c r="D293" s="261">
        <f t="shared" si="128"/>
        <v>444346.8</v>
      </c>
      <c r="E293" s="261">
        <f t="shared" si="128"/>
        <v>386748.6</v>
      </c>
      <c r="F293" s="261">
        <f t="shared" si="128"/>
        <v>381381.9</v>
      </c>
      <c r="G293" s="261">
        <f t="shared" si="128"/>
        <v>326617.3</v>
      </c>
      <c r="H293" s="261">
        <f t="shared" si="128"/>
        <v>260758</v>
      </c>
      <c r="I293" s="261">
        <f t="shared" si="128"/>
        <v>222395.3</v>
      </c>
      <c r="J293" s="261">
        <f t="shared" si="128"/>
        <v>181611.4</v>
      </c>
      <c r="K293" s="261">
        <f t="shared" si="128"/>
        <v>189709.6</v>
      </c>
      <c r="L293" s="261">
        <f t="shared" si="128"/>
        <v>223732.9</v>
      </c>
      <c r="M293" s="261">
        <f t="shared" si="128"/>
        <v>294451.90000000002</v>
      </c>
      <c r="N293" s="261">
        <f t="shared" si="128"/>
        <v>375374.3</v>
      </c>
      <c r="O293" s="261">
        <f t="shared" si="128"/>
        <v>421958.6</v>
      </c>
      <c r="P293" s="261">
        <f t="shared" si="129"/>
        <v>3709086.5999999996</v>
      </c>
      <c r="Q293" s="261"/>
    </row>
    <row r="294" spans="2:17" x14ac:dyDescent="0.2">
      <c r="B294" s="251" t="s">
        <v>6</v>
      </c>
      <c r="C294" s="251"/>
      <c r="D294" s="261">
        <f t="shared" ref="D294:O294" si="130">IFERROR(ROUND(D199,0)/ROUND(D64,0),0)</f>
        <v>201.50123282632998</v>
      </c>
      <c r="E294" s="261">
        <f t="shared" si="130"/>
        <v>160.35115543210756</v>
      </c>
      <c r="F294" s="261">
        <f t="shared" si="130"/>
        <v>166.61260879588559</v>
      </c>
      <c r="G294" s="261">
        <f t="shared" si="130"/>
        <v>119.45060903220825</v>
      </c>
      <c r="H294" s="261">
        <f t="shared" si="130"/>
        <v>84.318754792135834</v>
      </c>
      <c r="I294" s="261">
        <f t="shared" si="130"/>
        <v>63.061915993448402</v>
      </c>
      <c r="J294" s="261">
        <f t="shared" si="130"/>
        <v>53.639246340696324</v>
      </c>
      <c r="K294" s="261">
        <f t="shared" si="130"/>
        <v>54.009064360936662</v>
      </c>
      <c r="L294" s="261">
        <f t="shared" si="130"/>
        <v>66.872360601998153</v>
      </c>
      <c r="M294" s="261">
        <f t="shared" si="130"/>
        <v>107.12022510477526</v>
      </c>
      <c r="N294" s="261">
        <f t="shared" si="130"/>
        <v>161.18064819591177</v>
      </c>
      <c r="O294" s="261">
        <f t="shared" si="130"/>
        <v>196.59646299369518</v>
      </c>
      <c r="P294" s="261">
        <f t="shared" si="129"/>
        <v>1434.7142844701291</v>
      </c>
      <c r="Q294" s="261"/>
    </row>
    <row r="295" spans="2:17" x14ac:dyDescent="0.2">
      <c r="B295" s="251"/>
      <c r="C295" s="252"/>
      <c r="D295" s="254"/>
      <c r="E295" s="254"/>
      <c r="F295" s="254"/>
      <c r="G295" s="254"/>
      <c r="H295" s="254"/>
      <c r="I295" s="254"/>
      <c r="J295" s="254"/>
      <c r="K295" s="254"/>
      <c r="L295" s="254"/>
      <c r="M295" s="254"/>
      <c r="N295" s="254"/>
      <c r="O295" s="254"/>
      <c r="P295" s="292"/>
      <c r="Q295" s="292"/>
    </row>
    <row r="296" spans="2:17" x14ac:dyDescent="0.2">
      <c r="B296" s="251"/>
      <c r="C296" s="252"/>
      <c r="D296" s="254"/>
      <c r="E296" s="254"/>
      <c r="F296" s="254"/>
      <c r="G296" s="254"/>
      <c r="H296" s="254"/>
      <c r="I296" s="254"/>
      <c r="J296" s="254"/>
      <c r="K296" s="254"/>
      <c r="L296" s="254"/>
      <c r="M296" s="254"/>
      <c r="N296" s="254"/>
      <c r="O296" s="254"/>
      <c r="P296" s="292"/>
      <c r="Q296" s="292"/>
    </row>
    <row r="297" spans="2:17" x14ac:dyDescent="0.2"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264"/>
      <c r="P297" s="264"/>
      <c r="Q297" s="264"/>
    </row>
    <row r="298" spans="2:17" x14ac:dyDescent="0.2">
      <c r="D298" s="264"/>
      <c r="E298" s="264"/>
      <c r="F298" s="264"/>
      <c r="G298" s="264"/>
      <c r="H298" s="264"/>
      <c r="I298" s="264"/>
      <c r="J298" s="264"/>
      <c r="K298" s="264"/>
      <c r="L298" s="264"/>
      <c r="M298" s="264"/>
      <c r="N298" s="264"/>
      <c r="O298" s="264"/>
      <c r="P298" s="264"/>
      <c r="Q298" s="264"/>
    </row>
    <row r="299" spans="2:17" x14ac:dyDescent="0.2">
      <c r="D299" s="264"/>
      <c r="E299" s="264"/>
      <c r="F299" s="264"/>
      <c r="G299" s="264"/>
      <c r="H299" s="264"/>
      <c r="I299" s="264"/>
      <c r="J299" s="264"/>
      <c r="K299" s="264"/>
      <c r="L299" s="264"/>
      <c r="M299" s="264"/>
      <c r="N299" s="264"/>
      <c r="O299" s="264"/>
      <c r="P299" s="264"/>
      <c r="Q299" s="264"/>
    </row>
    <row r="300" spans="2:17" x14ac:dyDescent="0.2">
      <c r="D300" s="264"/>
      <c r="E300" s="264"/>
      <c r="F300" s="264"/>
      <c r="G300" s="264"/>
      <c r="H300" s="264"/>
      <c r="I300" s="264"/>
      <c r="J300" s="264"/>
      <c r="K300" s="264"/>
      <c r="L300" s="264"/>
      <c r="M300" s="264"/>
      <c r="N300" s="264"/>
      <c r="O300" s="264"/>
      <c r="P300" s="264"/>
      <c r="Q300" s="264"/>
    </row>
    <row r="301" spans="2:17" x14ac:dyDescent="0.2">
      <c r="D301" s="264"/>
      <c r="E301" s="264"/>
      <c r="F301" s="264"/>
      <c r="G301" s="264"/>
      <c r="H301" s="264"/>
      <c r="I301" s="264"/>
      <c r="J301" s="264"/>
      <c r="K301" s="264"/>
      <c r="L301" s="264"/>
      <c r="M301" s="264"/>
      <c r="N301" s="264"/>
      <c r="O301" s="264"/>
      <c r="P301" s="264"/>
      <c r="Q301" s="264"/>
    </row>
    <row r="302" spans="2:17" x14ac:dyDescent="0.2">
      <c r="D302" s="264"/>
      <c r="E302" s="264"/>
      <c r="F302" s="264"/>
      <c r="G302" s="264"/>
      <c r="H302" s="264"/>
      <c r="I302" s="264"/>
      <c r="J302" s="264"/>
      <c r="K302" s="264"/>
      <c r="L302" s="264"/>
      <c r="M302" s="264"/>
      <c r="N302" s="264"/>
      <c r="O302" s="264"/>
      <c r="P302" s="264"/>
      <c r="Q302" s="264"/>
    </row>
    <row r="303" spans="2:17" x14ac:dyDescent="0.2">
      <c r="D303" s="264"/>
      <c r="E303" s="264"/>
      <c r="F303" s="264"/>
      <c r="G303" s="264"/>
      <c r="H303" s="264"/>
      <c r="I303" s="264"/>
      <c r="J303" s="264"/>
      <c r="K303" s="264"/>
      <c r="L303" s="264"/>
      <c r="M303" s="264"/>
      <c r="N303" s="264"/>
      <c r="O303" s="264"/>
      <c r="P303" s="264"/>
      <c r="Q303" s="264"/>
    </row>
    <row r="304" spans="2:17" x14ac:dyDescent="0.2">
      <c r="D304" s="264"/>
      <c r="E304" s="264"/>
      <c r="F304" s="264"/>
      <c r="G304" s="264"/>
      <c r="H304" s="264"/>
      <c r="I304" s="264"/>
      <c r="J304" s="264"/>
      <c r="K304" s="264"/>
      <c r="L304" s="264"/>
      <c r="M304" s="264"/>
      <c r="N304" s="264"/>
      <c r="O304" s="264"/>
      <c r="P304" s="264"/>
      <c r="Q304" s="264"/>
    </row>
    <row r="305" spans="4:17" x14ac:dyDescent="0.2">
      <c r="D305" s="264"/>
      <c r="E305" s="264"/>
      <c r="F305" s="264"/>
      <c r="G305" s="264"/>
      <c r="H305" s="264"/>
      <c r="I305" s="264"/>
      <c r="J305" s="264"/>
      <c r="K305" s="264"/>
      <c r="L305" s="264"/>
      <c r="M305" s="264"/>
      <c r="N305" s="264"/>
      <c r="O305" s="264"/>
      <c r="P305" s="264"/>
      <c r="Q305" s="264"/>
    </row>
    <row r="306" spans="4:17" x14ac:dyDescent="0.2">
      <c r="D306" s="264"/>
      <c r="E306" s="264"/>
      <c r="F306" s="264"/>
      <c r="G306" s="264"/>
      <c r="H306" s="264"/>
      <c r="I306" s="264"/>
      <c r="J306" s="264"/>
      <c r="K306" s="264"/>
      <c r="L306" s="264"/>
      <c r="M306" s="264"/>
      <c r="N306" s="264"/>
      <c r="O306" s="264"/>
      <c r="P306" s="264"/>
      <c r="Q306" s="264"/>
    </row>
    <row r="307" spans="4:17" x14ac:dyDescent="0.2">
      <c r="D307" s="264"/>
      <c r="E307" s="264"/>
      <c r="F307" s="264"/>
      <c r="G307" s="264"/>
      <c r="H307" s="264"/>
      <c r="I307" s="264"/>
      <c r="J307" s="264"/>
      <c r="K307" s="264"/>
      <c r="L307" s="264"/>
      <c r="M307" s="264"/>
      <c r="N307" s="264"/>
      <c r="O307" s="264"/>
      <c r="P307" s="264"/>
      <c r="Q307" s="264"/>
    </row>
    <row r="308" spans="4:17" x14ac:dyDescent="0.2">
      <c r="D308" s="264"/>
      <c r="E308" s="264"/>
      <c r="F308" s="264"/>
      <c r="G308" s="264"/>
      <c r="H308" s="264"/>
      <c r="I308" s="264"/>
      <c r="J308" s="264"/>
      <c r="K308" s="264"/>
      <c r="L308" s="264"/>
      <c r="M308" s="264"/>
      <c r="N308" s="264"/>
      <c r="O308" s="264"/>
      <c r="P308" s="264"/>
      <c r="Q308" s="264"/>
    </row>
    <row r="309" spans="4:17" x14ac:dyDescent="0.2">
      <c r="D309" s="264"/>
      <c r="E309" s="264"/>
      <c r="F309" s="264"/>
      <c r="G309" s="264"/>
      <c r="H309" s="264"/>
      <c r="I309" s="264"/>
      <c r="J309" s="264"/>
      <c r="K309" s="264"/>
      <c r="L309" s="264"/>
      <c r="M309" s="264"/>
      <c r="N309" s="264"/>
      <c r="O309" s="264"/>
      <c r="P309" s="264"/>
      <c r="Q309" s="264"/>
    </row>
    <row r="310" spans="4:17" x14ac:dyDescent="0.2">
      <c r="D310" s="264"/>
      <c r="E310" s="264"/>
      <c r="F310" s="264"/>
      <c r="G310" s="264"/>
      <c r="H310" s="264"/>
      <c r="I310" s="264"/>
      <c r="J310" s="264"/>
      <c r="K310" s="264"/>
      <c r="L310" s="264"/>
      <c r="M310" s="264"/>
      <c r="N310" s="264"/>
      <c r="O310" s="264"/>
      <c r="P310" s="264"/>
      <c r="Q310" s="264"/>
    </row>
    <row r="311" spans="4:17" x14ac:dyDescent="0.2">
      <c r="D311" s="264"/>
      <c r="E311" s="264"/>
      <c r="F311" s="264"/>
      <c r="G311" s="264"/>
      <c r="H311" s="264"/>
      <c r="I311" s="264"/>
      <c r="J311" s="264"/>
      <c r="K311" s="264"/>
      <c r="L311" s="264"/>
      <c r="M311" s="264"/>
      <c r="N311" s="264"/>
      <c r="O311" s="264"/>
      <c r="P311" s="264"/>
      <c r="Q311" s="264"/>
    </row>
    <row r="312" spans="4:17" x14ac:dyDescent="0.2">
      <c r="D312" s="264"/>
      <c r="E312" s="264"/>
      <c r="F312" s="264"/>
      <c r="G312" s="264"/>
      <c r="H312" s="264"/>
      <c r="I312" s="264"/>
      <c r="J312" s="264"/>
      <c r="K312" s="264"/>
      <c r="L312" s="264"/>
      <c r="M312" s="264"/>
      <c r="N312" s="264"/>
      <c r="O312" s="264"/>
      <c r="P312" s="264"/>
      <c r="Q312" s="264"/>
    </row>
    <row r="313" spans="4:17" x14ac:dyDescent="0.2">
      <c r="D313" s="264"/>
      <c r="E313" s="264"/>
      <c r="F313" s="264"/>
      <c r="G313" s="264"/>
      <c r="H313" s="264"/>
      <c r="I313" s="264"/>
      <c r="J313" s="264"/>
      <c r="K313" s="264"/>
      <c r="L313" s="264"/>
      <c r="M313" s="264"/>
      <c r="N313" s="264"/>
      <c r="O313" s="264"/>
      <c r="P313" s="264"/>
      <c r="Q313" s="264"/>
    </row>
    <row r="314" spans="4:17" x14ac:dyDescent="0.2">
      <c r="D314" s="264"/>
      <c r="E314" s="264"/>
      <c r="F314" s="264"/>
      <c r="G314" s="264"/>
      <c r="H314" s="264"/>
      <c r="I314" s="264"/>
      <c r="J314" s="264"/>
      <c r="K314" s="264"/>
      <c r="L314" s="264"/>
      <c r="M314" s="264"/>
      <c r="N314" s="264"/>
      <c r="O314" s="264"/>
      <c r="P314" s="264"/>
      <c r="Q314" s="264"/>
    </row>
    <row r="315" spans="4:17" x14ac:dyDescent="0.2">
      <c r="D315" s="264"/>
      <c r="E315" s="264"/>
      <c r="F315" s="264"/>
      <c r="G315" s="264"/>
      <c r="H315" s="264"/>
      <c r="I315" s="264"/>
      <c r="J315" s="264"/>
      <c r="K315" s="264"/>
      <c r="L315" s="264"/>
      <c r="M315" s="264"/>
      <c r="N315" s="264"/>
      <c r="O315" s="264"/>
      <c r="P315" s="264"/>
      <c r="Q315" s="264"/>
    </row>
    <row r="316" spans="4:17" x14ac:dyDescent="0.2">
      <c r="D316" s="264"/>
      <c r="E316" s="264"/>
      <c r="F316" s="264"/>
      <c r="G316" s="264"/>
      <c r="H316" s="264"/>
      <c r="I316" s="264"/>
      <c r="J316" s="264"/>
      <c r="K316" s="264"/>
      <c r="L316" s="264"/>
      <c r="M316" s="264"/>
      <c r="N316" s="264"/>
      <c r="O316" s="264"/>
      <c r="P316" s="264"/>
      <c r="Q316" s="264"/>
    </row>
    <row r="317" spans="4:17" x14ac:dyDescent="0.2">
      <c r="D317" s="264"/>
      <c r="E317" s="264"/>
      <c r="F317" s="264"/>
      <c r="G317" s="264"/>
      <c r="H317" s="264"/>
      <c r="I317" s="264"/>
      <c r="J317" s="264"/>
      <c r="K317" s="264"/>
      <c r="L317" s="264"/>
      <c r="M317" s="264"/>
      <c r="N317" s="264"/>
      <c r="O317" s="264"/>
      <c r="P317" s="264"/>
      <c r="Q317" s="264"/>
    </row>
    <row r="318" spans="4:17" x14ac:dyDescent="0.2">
      <c r="D318" s="264"/>
      <c r="E318" s="264"/>
      <c r="F318" s="264"/>
      <c r="G318" s="264"/>
      <c r="H318" s="264"/>
      <c r="I318" s="264"/>
      <c r="J318" s="264"/>
      <c r="K318" s="264"/>
      <c r="L318" s="264"/>
      <c r="M318" s="264"/>
      <c r="N318" s="264"/>
      <c r="O318" s="264"/>
      <c r="P318" s="264"/>
      <c r="Q318" s="264"/>
    </row>
    <row r="319" spans="4:17" x14ac:dyDescent="0.2">
      <c r="D319" s="264"/>
      <c r="E319" s="264"/>
      <c r="F319" s="264"/>
      <c r="G319" s="264"/>
      <c r="H319" s="264"/>
      <c r="I319" s="264"/>
      <c r="J319" s="264"/>
      <c r="K319" s="264"/>
      <c r="L319" s="264"/>
      <c r="M319" s="264"/>
      <c r="N319" s="264"/>
      <c r="O319" s="264"/>
      <c r="P319" s="264"/>
      <c r="Q319" s="264"/>
    </row>
    <row r="320" spans="4:17" x14ac:dyDescent="0.2">
      <c r="D320" s="264"/>
      <c r="E320" s="264"/>
      <c r="F320" s="264"/>
      <c r="G320" s="264"/>
      <c r="H320" s="264"/>
      <c r="I320" s="264"/>
      <c r="J320" s="264"/>
      <c r="K320" s="264"/>
      <c r="L320" s="264"/>
      <c r="M320" s="264"/>
      <c r="N320" s="264"/>
      <c r="O320" s="264"/>
      <c r="P320" s="264"/>
      <c r="Q320" s="264"/>
    </row>
    <row r="321" spans="4:17" x14ac:dyDescent="0.2">
      <c r="D321" s="264"/>
      <c r="E321" s="264"/>
      <c r="F321" s="264"/>
      <c r="G321" s="264"/>
      <c r="H321" s="264"/>
      <c r="I321" s="264"/>
      <c r="J321" s="264"/>
      <c r="K321" s="264"/>
      <c r="L321" s="264"/>
      <c r="M321" s="264"/>
      <c r="N321" s="264"/>
      <c r="O321" s="264"/>
      <c r="P321" s="264"/>
      <c r="Q321" s="264"/>
    </row>
    <row r="322" spans="4:17" x14ac:dyDescent="0.2">
      <c r="D322" s="264"/>
      <c r="E322" s="264"/>
      <c r="F322" s="264"/>
      <c r="G322" s="264"/>
      <c r="H322" s="264"/>
      <c r="I322" s="264"/>
      <c r="J322" s="264"/>
      <c r="K322" s="264"/>
      <c r="L322" s="264"/>
      <c r="M322" s="264"/>
      <c r="N322" s="264"/>
      <c r="O322" s="264"/>
      <c r="P322" s="264"/>
      <c r="Q322" s="264"/>
    </row>
    <row r="323" spans="4:17" x14ac:dyDescent="0.2">
      <c r="D323" s="264"/>
      <c r="E323" s="264"/>
      <c r="F323" s="264"/>
      <c r="G323" s="264"/>
      <c r="H323" s="264"/>
      <c r="I323" s="264"/>
      <c r="J323" s="264"/>
      <c r="K323" s="264"/>
      <c r="L323" s="264"/>
      <c r="M323" s="264"/>
      <c r="N323" s="264"/>
      <c r="O323" s="264"/>
      <c r="P323" s="264"/>
      <c r="Q323" s="264"/>
    </row>
    <row r="324" spans="4:17" x14ac:dyDescent="0.2">
      <c r="D324" s="264"/>
      <c r="E324" s="264"/>
      <c r="F324" s="264"/>
      <c r="G324" s="264"/>
      <c r="H324" s="264"/>
      <c r="I324" s="264"/>
      <c r="J324" s="264"/>
      <c r="K324" s="264"/>
      <c r="L324" s="264"/>
      <c r="M324" s="264"/>
      <c r="N324" s="264"/>
      <c r="O324" s="264"/>
      <c r="P324" s="264"/>
      <c r="Q324" s="264"/>
    </row>
    <row r="325" spans="4:17" x14ac:dyDescent="0.2">
      <c r="D325" s="264"/>
      <c r="E325" s="264"/>
      <c r="F325" s="264"/>
      <c r="G325" s="264"/>
      <c r="H325" s="264"/>
      <c r="I325" s="264"/>
      <c r="J325" s="264"/>
      <c r="K325" s="264"/>
      <c r="L325" s="264"/>
      <c r="M325" s="264"/>
      <c r="N325" s="264"/>
      <c r="O325" s="264"/>
      <c r="P325" s="264"/>
      <c r="Q325" s="264"/>
    </row>
    <row r="326" spans="4:17" x14ac:dyDescent="0.2">
      <c r="D326" s="264"/>
      <c r="E326" s="264"/>
      <c r="F326" s="264"/>
      <c r="G326" s="264"/>
      <c r="H326" s="264"/>
      <c r="I326" s="264"/>
      <c r="J326" s="264"/>
      <c r="K326" s="264"/>
      <c r="L326" s="264"/>
      <c r="M326" s="264"/>
      <c r="N326" s="264"/>
      <c r="O326" s="264"/>
      <c r="P326" s="264"/>
      <c r="Q326" s="264"/>
    </row>
    <row r="327" spans="4:17" x14ac:dyDescent="0.2">
      <c r="D327" s="264"/>
      <c r="E327" s="264"/>
      <c r="F327" s="264"/>
      <c r="G327" s="264"/>
      <c r="H327" s="264"/>
      <c r="I327" s="264"/>
      <c r="J327" s="264"/>
      <c r="K327" s="264"/>
      <c r="L327" s="264"/>
      <c r="M327" s="264"/>
      <c r="N327" s="264"/>
      <c r="O327" s="264"/>
      <c r="P327" s="264"/>
      <c r="Q327" s="264"/>
    </row>
    <row r="328" spans="4:17" x14ac:dyDescent="0.2">
      <c r="D328" s="264"/>
      <c r="E328" s="264"/>
      <c r="F328" s="264"/>
      <c r="G328" s="264"/>
      <c r="H328" s="264"/>
      <c r="I328" s="264"/>
      <c r="J328" s="264"/>
      <c r="K328" s="264"/>
      <c r="L328" s="264"/>
      <c r="M328" s="264"/>
      <c r="N328" s="264"/>
      <c r="O328" s="264"/>
      <c r="P328" s="264"/>
      <c r="Q328" s="264"/>
    </row>
    <row r="329" spans="4:17" x14ac:dyDescent="0.2">
      <c r="D329" s="264"/>
      <c r="E329" s="264"/>
      <c r="F329" s="264"/>
      <c r="G329" s="264"/>
      <c r="H329" s="264"/>
      <c r="I329" s="264"/>
      <c r="J329" s="264"/>
      <c r="K329" s="264"/>
      <c r="L329" s="264"/>
      <c r="M329" s="264"/>
      <c r="N329" s="264"/>
      <c r="O329" s="264"/>
      <c r="P329" s="264"/>
      <c r="Q329" s="264"/>
    </row>
    <row r="330" spans="4:17" x14ac:dyDescent="0.2">
      <c r="D330" s="264"/>
      <c r="E330" s="264"/>
      <c r="F330" s="264"/>
      <c r="G330" s="264"/>
      <c r="H330" s="264"/>
      <c r="I330" s="264"/>
      <c r="J330" s="264"/>
      <c r="K330" s="264"/>
      <c r="L330" s="264"/>
      <c r="M330" s="264"/>
      <c r="N330" s="264"/>
      <c r="O330" s="264"/>
      <c r="P330" s="264"/>
      <c r="Q330" s="264"/>
    </row>
    <row r="331" spans="4:17" x14ac:dyDescent="0.2">
      <c r="D331" s="264"/>
      <c r="E331" s="264"/>
      <c r="F331" s="264"/>
      <c r="G331" s="264"/>
      <c r="H331" s="264"/>
      <c r="I331" s="264"/>
      <c r="J331" s="264"/>
      <c r="K331" s="264"/>
      <c r="L331" s="264"/>
      <c r="M331" s="264"/>
      <c r="N331" s="264"/>
      <c r="O331" s="264"/>
      <c r="P331" s="264"/>
      <c r="Q331" s="264"/>
    </row>
    <row r="332" spans="4:17" x14ac:dyDescent="0.2">
      <c r="D332" s="264"/>
      <c r="E332" s="264"/>
      <c r="F332" s="264"/>
      <c r="G332" s="264"/>
      <c r="H332" s="264"/>
      <c r="I332" s="264"/>
      <c r="J332" s="264"/>
      <c r="K332" s="264"/>
      <c r="L332" s="264"/>
      <c r="M332" s="264"/>
      <c r="N332" s="264"/>
      <c r="O332" s="264"/>
      <c r="P332" s="264"/>
      <c r="Q332" s="264"/>
    </row>
    <row r="333" spans="4:17" x14ac:dyDescent="0.2">
      <c r="D333" s="264"/>
      <c r="E333" s="264"/>
      <c r="F333" s="264"/>
      <c r="G333" s="264"/>
      <c r="H333" s="264"/>
      <c r="I333" s="264"/>
      <c r="J333" s="264"/>
      <c r="K333" s="264"/>
      <c r="L333" s="264"/>
      <c r="M333" s="264"/>
      <c r="N333" s="264"/>
      <c r="O333" s="264"/>
      <c r="P333" s="264"/>
      <c r="Q333" s="264"/>
    </row>
    <row r="334" spans="4:17" x14ac:dyDescent="0.2">
      <c r="D334" s="264"/>
      <c r="E334" s="264"/>
      <c r="F334" s="264"/>
      <c r="G334" s="264"/>
      <c r="H334" s="264"/>
      <c r="I334" s="264"/>
      <c r="J334" s="264"/>
      <c r="K334" s="264"/>
      <c r="L334" s="264"/>
      <c r="M334" s="264"/>
      <c r="N334" s="264"/>
      <c r="O334" s="264"/>
      <c r="P334" s="264"/>
      <c r="Q334" s="264"/>
    </row>
    <row r="335" spans="4:17" x14ac:dyDescent="0.2">
      <c r="D335" s="264"/>
      <c r="E335" s="264"/>
      <c r="F335" s="264"/>
      <c r="G335" s="264"/>
      <c r="H335" s="264"/>
      <c r="I335" s="264"/>
      <c r="J335" s="264"/>
      <c r="K335" s="264"/>
      <c r="L335" s="264"/>
      <c r="M335" s="264"/>
      <c r="N335" s="264"/>
      <c r="O335" s="264"/>
      <c r="P335" s="264"/>
      <c r="Q335" s="264"/>
    </row>
    <row r="336" spans="4:17" x14ac:dyDescent="0.2">
      <c r="D336" s="264"/>
      <c r="E336" s="264"/>
      <c r="F336" s="264"/>
      <c r="G336" s="264"/>
      <c r="H336" s="264"/>
      <c r="I336" s="264"/>
      <c r="J336" s="264"/>
      <c r="K336" s="264"/>
      <c r="L336" s="264"/>
      <c r="M336" s="264"/>
      <c r="N336" s="264"/>
      <c r="O336" s="264"/>
      <c r="P336" s="264"/>
      <c r="Q336" s="264"/>
    </row>
    <row r="337" spans="4:17" x14ac:dyDescent="0.2">
      <c r="D337" s="264"/>
      <c r="E337" s="264"/>
      <c r="F337" s="264"/>
      <c r="G337" s="264"/>
      <c r="H337" s="264"/>
      <c r="I337" s="264"/>
      <c r="J337" s="264"/>
      <c r="K337" s="264"/>
      <c r="L337" s="264"/>
      <c r="M337" s="264"/>
      <c r="N337" s="264"/>
      <c r="O337" s="264"/>
      <c r="P337" s="264"/>
      <c r="Q337" s="264"/>
    </row>
    <row r="338" spans="4:17" x14ac:dyDescent="0.2">
      <c r="D338" s="264"/>
      <c r="E338" s="264"/>
      <c r="F338" s="264"/>
      <c r="G338" s="264"/>
      <c r="H338" s="264"/>
      <c r="I338" s="264"/>
      <c r="J338" s="264"/>
      <c r="K338" s="264"/>
      <c r="L338" s="264"/>
      <c r="M338" s="264"/>
      <c r="N338" s="264"/>
      <c r="O338" s="264"/>
      <c r="P338" s="264"/>
      <c r="Q338" s="264"/>
    </row>
    <row r="339" spans="4:17" x14ac:dyDescent="0.2">
      <c r="D339" s="264"/>
      <c r="E339" s="264"/>
      <c r="F339" s="264"/>
      <c r="G339" s="264"/>
      <c r="H339" s="264"/>
      <c r="I339" s="264"/>
      <c r="J339" s="264"/>
      <c r="K339" s="264"/>
      <c r="L339" s="264"/>
      <c r="M339" s="264"/>
      <c r="N339" s="264"/>
      <c r="O339" s="264"/>
      <c r="P339" s="264"/>
      <c r="Q339" s="264"/>
    </row>
    <row r="340" spans="4:17" x14ac:dyDescent="0.2">
      <c r="D340" s="264"/>
      <c r="E340" s="264"/>
      <c r="F340" s="264"/>
      <c r="G340" s="264"/>
      <c r="H340" s="264"/>
      <c r="I340" s="264"/>
      <c r="J340" s="264"/>
      <c r="K340" s="264"/>
      <c r="L340" s="264"/>
      <c r="M340" s="264"/>
      <c r="N340" s="264"/>
      <c r="O340" s="264"/>
      <c r="P340" s="264"/>
      <c r="Q340" s="264"/>
    </row>
  </sheetData>
  <mergeCells count="3">
    <mergeCell ref="B1:P1"/>
    <mergeCell ref="B2:P2"/>
    <mergeCell ref="B3:P3"/>
  </mergeCells>
  <printOptions horizontalCentered="1"/>
  <pageMargins left="0.5" right="0.5" top="0.75" bottom="0.75" header="0.5" footer="0.3"/>
  <pageSetup scale="63" fitToHeight="5" orientation="landscape" blackAndWhite="1" r:id="rId1"/>
  <headerFooter alignWithMargins="0">
    <oddFooter>&amp;L&amp;F  
&amp;A&amp;C&amp;P&amp;R&amp;D</oddFooter>
  </headerFooter>
  <rowBreaks count="4" manualBreakCount="4">
    <brk id="65" min="1" max="15" man="1"/>
    <brk id="114" min="1" max="15" man="1"/>
    <brk id="170" min="1" max="15" man="1"/>
    <brk id="218" min="1" max="15" man="1"/>
  </rowBreaks>
  <colBreaks count="1" manualBreakCount="1">
    <brk id="16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N25" sqref="N25"/>
    </sheetView>
  </sheetViews>
  <sheetFormatPr defaultRowHeight="15" x14ac:dyDescent="0.25"/>
  <sheetData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I25" sqref="I25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8"/>
  <sheetViews>
    <sheetView zoomScale="90" zoomScaleNormal="90" workbookViewId="0">
      <selection activeCell="H36" sqref="H36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customWidth="1"/>
    <col min="5" max="5" width="19.28515625" bestFit="1" customWidth="1"/>
    <col min="6" max="6" width="16.5703125" customWidth="1"/>
    <col min="7" max="7" width="2.85546875" customWidth="1"/>
    <col min="8" max="10" width="16.42578125" customWidth="1"/>
    <col min="11" max="11" width="2.85546875" customWidth="1"/>
    <col min="12" max="12" width="12.7109375" customWidth="1"/>
    <col min="13" max="13" width="9.28515625" customWidth="1"/>
    <col min="14" max="14" width="13.85546875" customWidth="1"/>
  </cols>
  <sheetData>
    <row r="1" spans="2:14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</row>
    <row r="2" spans="2:14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</row>
    <row r="3" spans="2:14" x14ac:dyDescent="0.25">
      <c r="B3" s="394" t="s">
        <v>359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</row>
    <row r="4" spans="2:14" x14ac:dyDescent="0.25">
      <c r="B4" s="394" t="s">
        <v>431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</row>
    <row r="5" spans="2:14" x14ac:dyDescent="0.25">
      <c r="B5" s="341"/>
      <c r="C5" s="341"/>
      <c r="D5" s="341"/>
      <c r="E5" s="341"/>
      <c r="F5" s="341"/>
      <c r="G5" s="341"/>
      <c r="H5" s="341"/>
      <c r="I5" s="341"/>
      <c r="J5" s="341"/>
      <c r="K5" s="341"/>
      <c r="L5" s="341"/>
    </row>
    <row r="6" spans="2:14" x14ac:dyDescent="0.25">
      <c r="D6" s="396" t="s">
        <v>23</v>
      </c>
      <c r="E6" s="396"/>
      <c r="F6" s="396"/>
      <c r="G6" s="341"/>
      <c r="H6" s="396" t="s">
        <v>260</v>
      </c>
      <c r="I6" s="396"/>
      <c r="J6" s="396"/>
    </row>
    <row r="7" spans="2:14" x14ac:dyDescent="0.25">
      <c r="B7" s="5"/>
      <c r="C7" s="5"/>
      <c r="D7" s="5" t="s">
        <v>393</v>
      </c>
      <c r="E7" s="330" t="s">
        <v>393</v>
      </c>
      <c r="F7" s="5"/>
      <c r="G7" s="5"/>
      <c r="H7" s="5" t="s">
        <v>393</v>
      </c>
      <c r="I7" s="330" t="s">
        <v>393</v>
      </c>
      <c r="J7" s="5"/>
      <c r="K7" s="5"/>
      <c r="L7" s="5"/>
    </row>
    <row r="8" spans="2:14" x14ac:dyDescent="0.25">
      <c r="B8" s="5"/>
      <c r="C8" s="5" t="s">
        <v>17</v>
      </c>
      <c r="D8" s="5" t="s">
        <v>3</v>
      </c>
      <c r="E8" s="5" t="s">
        <v>2</v>
      </c>
      <c r="F8" s="5" t="s">
        <v>375</v>
      </c>
      <c r="G8" s="5"/>
      <c r="H8" s="5" t="s">
        <v>3</v>
      </c>
      <c r="I8" s="5" t="s">
        <v>2</v>
      </c>
      <c r="J8" s="5" t="s">
        <v>375</v>
      </c>
      <c r="K8" s="5"/>
      <c r="L8" s="5" t="s">
        <v>6</v>
      </c>
    </row>
    <row r="9" spans="2:14" x14ac:dyDescent="0.25">
      <c r="B9" s="218" t="s">
        <v>4</v>
      </c>
      <c r="C9" s="218" t="s">
        <v>21</v>
      </c>
      <c r="D9" s="342" t="s">
        <v>394</v>
      </c>
      <c r="E9" s="342" t="s">
        <v>394</v>
      </c>
      <c r="F9" s="218" t="s">
        <v>376</v>
      </c>
      <c r="G9" s="218"/>
      <c r="H9" s="342" t="s">
        <v>394</v>
      </c>
      <c r="I9" s="342" t="s">
        <v>394</v>
      </c>
      <c r="J9" s="218" t="s">
        <v>376</v>
      </c>
      <c r="K9" s="218"/>
      <c r="L9" s="218" t="s">
        <v>371</v>
      </c>
      <c r="N9" s="353" t="s">
        <v>109</v>
      </c>
    </row>
    <row r="10" spans="2:14" x14ac:dyDescent="0.25">
      <c r="B10" s="5" t="s">
        <v>25</v>
      </c>
      <c r="C10" s="5" t="s">
        <v>26</v>
      </c>
      <c r="D10" s="5" t="s">
        <v>27</v>
      </c>
      <c r="E10" s="5" t="s">
        <v>28</v>
      </c>
      <c r="F10" s="302" t="s">
        <v>383</v>
      </c>
      <c r="G10" s="5"/>
      <c r="H10" s="5" t="s">
        <v>262</v>
      </c>
      <c r="I10" s="5" t="s">
        <v>263</v>
      </c>
      <c r="J10" s="302" t="s">
        <v>387</v>
      </c>
      <c r="K10" s="302"/>
      <c r="L10" s="7" t="s">
        <v>388</v>
      </c>
    </row>
    <row r="11" spans="2:14" x14ac:dyDescent="0.25">
      <c r="B11" t="s">
        <v>7</v>
      </c>
      <c r="C11" s="8" t="s">
        <v>30</v>
      </c>
      <c r="D11" s="357">
        <f>'Base Rate Impacts'!$D$10</f>
        <v>613662173.62800002</v>
      </c>
      <c r="E11" s="358">
        <f>'Base Rate Impacts'!P10</f>
        <v>569360424.86566794</v>
      </c>
      <c r="F11" s="344">
        <f>E11/D11</f>
        <v>0.92780759403758251</v>
      </c>
      <c r="G11" s="9"/>
      <c r="H11" s="357">
        <f>'Base Rate Impacts'!$D$10</f>
        <v>613662173.62800002</v>
      </c>
      <c r="I11" s="358">
        <f>'Combined Impacts'!U11</f>
        <v>612279957.28485382</v>
      </c>
      <c r="J11" s="344">
        <f>I11/H11</f>
        <v>0.99774759403048341</v>
      </c>
      <c r="K11" s="317"/>
      <c r="L11" s="224">
        <f>(I11-E11)/E11</f>
        <v>7.5382008556903302E-2</v>
      </c>
      <c r="N11" s="352">
        <f>L11-'Combined Impacts'!W11</f>
        <v>0</v>
      </c>
    </row>
    <row r="12" spans="2:14" x14ac:dyDescent="0.25">
      <c r="B12" t="s">
        <v>31</v>
      </c>
      <c r="C12" s="8">
        <v>16</v>
      </c>
      <c r="D12" s="357">
        <f>'Base Rate Impacts'!$D$11</f>
        <v>9344.1039999999994</v>
      </c>
      <c r="E12" s="358">
        <f>'Base Rate Impacts'!P11</f>
        <v>8394.1226606778928</v>
      </c>
      <c r="F12" s="344">
        <f t="shared" ref="F12:F23" si="0">E12/D12</f>
        <v>0.89833360808889684</v>
      </c>
      <c r="G12" s="9"/>
      <c r="H12" s="357">
        <f>'Base Rate Impacts'!$D$11</f>
        <v>9344.1039999999994</v>
      </c>
      <c r="I12" s="358">
        <f>'Combined Impacts'!U12</f>
        <v>9046.7395790484188</v>
      </c>
      <c r="J12" s="344">
        <f t="shared" ref="J12:J23" si="1">I12/H12</f>
        <v>0.96817625093303961</v>
      </c>
      <c r="K12" s="317"/>
      <c r="L12" s="224">
        <f t="shared" ref="L12:L23" si="2">(I12-E12)/E12</f>
        <v>7.7746888478017778E-2</v>
      </c>
      <c r="N12" s="352">
        <f>L12-'Combined Impacts'!W12</f>
        <v>0</v>
      </c>
    </row>
    <row r="13" spans="2:14" x14ac:dyDescent="0.25">
      <c r="B13" t="s">
        <v>8</v>
      </c>
      <c r="C13" s="8">
        <v>31</v>
      </c>
      <c r="D13" s="357">
        <f>'Base Rate Impacts'!$D$12</f>
        <v>232245222.90300003</v>
      </c>
      <c r="E13" s="358">
        <f>'Base Rate Impacts'!P12</f>
        <v>179211324.93804225</v>
      </c>
      <c r="F13" s="344">
        <f t="shared" si="0"/>
        <v>0.771646980282096</v>
      </c>
      <c r="G13" s="9"/>
      <c r="H13" s="357">
        <f>'Base Rate Impacts'!$D$12</f>
        <v>232245222.90300003</v>
      </c>
      <c r="I13" s="358">
        <f>'Combined Impacts'!U13</f>
        <v>200401379.06553808</v>
      </c>
      <c r="J13" s="344">
        <f t="shared" si="1"/>
        <v>0.86288698023828936</v>
      </c>
      <c r="K13" s="317"/>
      <c r="L13" s="224">
        <f t="shared" si="2"/>
        <v>0.11824059743334718</v>
      </c>
      <c r="N13" s="352">
        <f>L13-'Combined Impacts'!W13</f>
        <v>0</v>
      </c>
    </row>
    <row r="14" spans="2:14" x14ac:dyDescent="0.25">
      <c r="B14" t="s">
        <v>9</v>
      </c>
      <c r="C14" s="8">
        <v>41</v>
      </c>
      <c r="D14" s="357">
        <f>'Base Rate Impacts'!$D$13</f>
        <v>65497864.558000013</v>
      </c>
      <c r="E14" s="358">
        <f>'Base Rate Impacts'!P13</f>
        <v>37596250.87256778</v>
      </c>
      <c r="F14" s="344">
        <f t="shared" si="0"/>
        <v>0.57400727682160313</v>
      </c>
      <c r="G14" s="9"/>
      <c r="H14" s="357">
        <f>'Base Rate Impacts'!$D$13</f>
        <v>65497864.558000013</v>
      </c>
      <c r="I14" s="358">
        <f>'Combined Impacts'!U14</f>
        <v>37755404.005630828</v>
      </c>
      <c r="J14" s="344">
        <f t="shared" si="1"/>
        <v>0.57643717486693735</v>
      </c>
      <c r="K14" s="317"/>
      <c r="L14" s="224">
        <f t="shared" si="2"/>
        <v>4.2332181898268664E-3</v>
      </c>
      <c r="N14" s="352">
        <f>L14-'Combined Impacts'!W14</f>
        <v>0</v>
      </c>
    </row>
    <row r="15" spans="2:14" x14ac:dyDescent="0.25">
      <c r="B15" t="s">
        <v>10</v>
      </c>
      <c r="C15" s="8">
        <v>85</v>
      </c>
      <c r="D15" s="357">
        <f>'Base Rate Impacts'!$D$14</f>
        <v>15787998.554000001</v>
      </c>
      <c r="E15" s="358">
        <f>'Base Rate Impacts'!P14</f>
        <v>6334641.3946324075</v>
      </c>
      <c r="F15" s="344">
        <f t="shared" si="0"/>
        <v>0.40123144000589495</v>
      </c>
      <c r="G15" s="9"/>
      <c r="H15" s="357">
        <f>'Base Rate Impacts'!$D$14</f>
        <v>15787998.554000001</v>
      </c>
      <c r="I15" s="358">
        <f>'Combined Impacts'!U15</f>
        <v>6501295.2815179424</v>
      </c>
      <c r="J15" s="344">
        <f t="shared" si="1"/>
        <v>0.411787172343691</v>
      </c>
      <c r="K15" s="317"/>
      <c r="L15" s="224">
        <f t="shared" si="2"/>
        <v>2.6308337994751747E-2</v>
      </c>
      <c r="N15" s="352">
        <f>L15-'Combined Impacts'!W15</f>
        <v>0</v>
      </c>
    </row>
    <row r="16" spans="2:14" x14ac:dyDescent="0.25">
      <c r="B16" t="s">
        <v>11</v>
      </c>
      <c r="C16" s="8">
        <v>86</v>
      </c>
      <c r="D16" s="357">
        <f>'Base Rate Impacts'!$D$15</f>
        <v>8752636.7929999996</v>
      </c>
      <c r="E16" s="358">
        <f>'Base Rate Impacts'!P15</f>
        <v>4634610.5169545421</v>
      </c>
      <c r="F16" s="344">
        <f t="shared" si="0"/>
        <v>0.52951020664551207</v>
      </c>
      <c r="G16" s="9"/>
      <c r="H16" s="357">
        <f>'Base Rate Impacts'!$D$15</f>
        <v>8752636.7929999996</v>
      </c>
      <c r="I16" s="358">
        <f>'Combined Impacts'!U16</f>
        <v>4471845.1497290758</v>
      </c>
      <c r="J16" s="344">
        <f t="shared" si="1"/>
        <v>0.51091405430023951</v>
      </c>
      <c r="K16" s="317"/>
      <c r="L16" s="224">
        <f t="shared" si="2"/>
        <v>-3.511953520798148E-2</v>
      </c>
      <c r="N16" s="352">
        <f>L16-'Combined Impacts'!W16</f>
        <v>0</v>
      </c>
    </row>
    <row r="17" spans="2:15" x14ac:dyDescent="0.25">
      <c r="B17" t="s">
        <v>12</v>
      </c>
      <c r="C17" s="8">
        <v>87</v>
      </c>
      <c r="D17" s="357">
        <f>'Base Rate Impacts'!$D$16</f>
        <v>22881723.659000002</v>
      </c>
      <c r="E17" s="358">
        <f>'Base Rate Impacts'!P16</f>
        <v>7709847.8877991261</v>
      </c>
      <c r="F17" s="344">
        <f t="shared" si="0"/>
        <v>0.33694349266239104</v>
      </c>
      <c r="G17" s="9"/>
      <c r="H17" s="357">
        <f>'Base Rate Impacts'!$D$16</f>
        <v>22881723.659000002</v>
      </c>
      <c r="I17" s="358">
        <f>'Combined Impacts'!U17</f>
        <v>7924287.1304633534</v>
      </c>
      <c r="J17" s="344">
        <f t="shared" si="1"/>
        <v>0.34631513117441731</v>
      </c>
      <c r="K17" s="317"/>
      <c r="L17" s="224">
        <f t="shared" si="2"/>
        <v>2.7813680086163368E-2</v>
      </c>
      <c r="N17" s="352">
        <f>L17-'Combined Impacts'!W17</f>
        <v>0</v>
      </c>
    </row>
    <row r="18" spans="2:15" x14ac:dyDescent="0.25">
      <c r="B18" t="s">
        <v>32</v>
      </c>
      <c r="C18" s="8" t="s">
        <v>33</v>
      </c>
      <c r="D18" s="357">
        <f>'Base Rate Impacts'!$D$17</f>
        <v>31498.21</v>
      </c>
      <c r="E18" s="358">
        <f>'Base Rate Impacts'!P17</f>
        <v>21454.119753599993</v>
      </c>
      <c r="F18" s="344">
        <f t="shared" si="0"/>
        <v>0.68112187180160377</v>
      </c>
      <c r="G18" s="9"/>
      <c r="H18" s="357">
        <f>'Base Rate Impacts'!$D$17</f>
        <v>31498.21</v>
      </c>
      <c r="I18" s="358">
        <f>'Combined Impacts'!U18</f>
        <v>24448.334551199991</v>
      </c>
      <c r="J18" s="344">
        <f t="shared" si="1"/>
        <v>0.77618171163377192</v>
      </c>
      <c r="K18" s="317"/>
      <c r="L18" s="224">
        <f t="shared" si="2"/>
        <v>0.13956362843073858</v>
      </c>
      <c r="N18" s="352">
        <f>L18-'Combined Impacts'!W18</f>
        <v>0</v>
      </c>
    </row>
    <row r="19" spans="2:15" x14ac:dyDescent="0.25">
      <c r="B19" t="s">
        <v>34</v>
      </c>
      <c r="C19" t="s">
        <v>35</v>
      </c>
      <c r="D19" s="357">
        <f>'Base Rate Impacts'!$D$18</f>
        <v>20617014.420000002</v>
      </c>
      <c r="E19" s="358">
        <f>'Base Rate Impacts'!P18</f>
        <v>4507727.2843604945</v>
      </c>
      <c r="F19" s="344">
        <f t="shared" si="0"/>
        <v>0.21864112778558623</v>
      </c>
      <c r="G19" s="9"/>
      <c r="H19" s="357">
        <f>'Base Rate Impacts'!$D$18</f>
        <v>20617014.420000002</v>
      </c>
      <c r="I19" s="358">
        <f>'Combined Impacts'!U19</f>
        <v>4669944.033219262</v>
      </c>
      <c r="J19" s="344">
        <f t="shared" si="1"/>
        <v>0.22650922864413758</v>
      </c>
      <c r="K19" s="317"/>
      <c r="L19" s="224">
        <f t="shared" si="2"/>
        <v>3.5986371540615736E-2</v>
      </c>
      <c r="N19" s="352">
        <f>L19-'Combined Impacts'!W19</f>
        <v>0</v>
      </c>
    </row>
    <row r="20" spans="2:15" x14ac:dyDescent="0.25">
      <c r="B20" t="s">
        <v>36</v>
      </c>
      <c r="C20" t="s">
        <v>37</v>
      </c>
      <c r="D20" s="357">
        <f>'Base Rate Impacts'!$D$19</f>
        <v>74832158.210000008</v>
      </c>
      <c r="E20" s="358">
        <f>'Base Rate Impacts'!P19</f>
        <v>7705038.1222654162</v>
      </c>
      <c r="F20" s="344">
        <f t="shared" si="0"/>
        <v>0.1029642643827393</v>
      </c>
      <c r="G20" s="9"/>
      <c r="H20" s="357">
        <f>'Base Rate Impacts'!$D$19</f>
        <v>74832158.210000008</v>
      </c>
      <c r="I20" s="358">
        <f>'Combined Impacts'!U20</f>
        <v>8646100.7822887953</v>
      </c>
      <c r="J20" s="344">
        <f t="shared" si="1"/>
        <v>0.11553990943339378</v>
      </c>
      <c r="K20" s="317"/>
      <c r="L20" s="224">
        <f t="shared" si="2"/>
        <v>0.122136016083291</v>
      </c>
      <c r="N20" s="352">
        <f>L20-'Combined Impacts'!W20</f>
        <v>0</v>
      </c>
    </row>
    <row r="21" spans="2:15" x14ac:dyDescent="0.25">
      <c r="B21" t="s">
        <v>38</v>
      </c>
      <c r="C21" t="s">
        <v>39</v>
      </c>
      <c r="D21" s="357">
        <f>'Base Rate Impacts'!$D$20</f>
        <v>351288.14999999997</v>
      </c>
      <c r="E21" s="358">
        <f>'Base Rate Impacts'!P20</f>
        <v>76576.498531000005</v>
      </c>
      <c r="F21" s="344">
        <f t="shared" si="0"/>
        <v>0.21798770761552877</v>
      </c>
      <c r="G21" s="9"/>
      <c r="H21" s="357">
        <f>'Base Rate Impacts'!$D$20</f>
        <v>351288.14999999997</v>
      </c>
      <c r="I21" s="358">
        <f>'Combined Impacts'!U21</f>
        <v>73124.423309923965</v>
      </c>
      <c r="J21" s="344">
        <f t="shared" si="1"/>
        <v>0.20816080277664922</v>
      </c>
      <c r="K21" s="317"/>
      <c r="L21" s="224">
        <f t="shared" si="2"/>
        <v>-4.508008706716405E-2</v>
      </c>
      <c r="N21" s="352">
        <f>L21-'Combined Impacts'!W21</f>
        <v>0</v>
      </c>
    </row>
    <row r="22" spans="2:15" x14ac:dyDescent="0.25">
      <c r="B22" t="s">
        <v>40</v>
      </c>
      <c r="C22" t="s">
        <v>41</v>
      </c>
      <c r="D22" s="357">
        <f>'Base Rate Impacts'!$D$21</f>
        <v>100227307.72999999</v>
      </c>
      <c r="E22" s="358">
        <f>'Base Rate Impacts'!P21</f>
        <v>4076997.0327608585</v>
      </c>
      <c r="F22" s="344">
        <f t="shared" si="0"/>
        <v>4.0677507209350428E-2</v>
      </c>
      <c r="G22" s="9"/>
      <c r="H22" s="357">
        <f>'Base Rate Impacts'!$D$21</f>
        <v>100227307.72999999</v>
      </c>
      <c r="I22" s="358">
        <f>'Combined Impacts'!U22</f>
        <v>4834563.5101440148</v>
      </c>
      <c r="J22" s="344">
        <f t="shared" si="1"/>
        <v>4.8235990965333847E-2</v>
      </c>
      <c r="K22" s="317"/>
      <c r="L22" s="224">
        <f t="shared" si="2"/>
        <v>0.18581482186415718</v>
      </c>
      <c r="N22" s="352">
        <f>L22-'Combined Impacts'!W22</f>
        <v>0</v>
      </c>
    </row>
    <row r="23" spans="2:15" x14ac:dyDescent="0.25">
      <c r="B23" t="s">
        <v>13</v>
      </c>
      <c r="D23" s="357">
        <f>'Base Rate Impacts'!$D$22</f>
        <v>37090866.75</v>
      </c>
      <c r="E23" s="358">
        <f>'Base Rate Impacts'!P22</f>
        <v>1897125.6151234768</v>
      </c>
      <c r="F23" s="344">
        <f t="shared" si="0"/>
        <v>5.1148052913146787E-2</v>
      </c>
      <c r="G23" s="325"/>
      <c r="H23" s="357">
        <f>'Base Rate Impacts'!$D$22</f>
        <v>37090866.75</v>
      </c>
      <c r="I23" s="358">
        <f>'Combined Impacts'!U23</f>
        <v>1820502.0157449713</v>
      </c>
      <c r="J23" s="344">
        <f t="shared" si="1"/>
        <v>4.908221821872015E-2</v>
      </c>
      <c r="K23" s="317"/>
      <c r="L23" s="224">
        <f t="shared" si="2"/>
        <v>-4.0389312530324115E-2</v>
      </c>
      <c r="M23" s="308"/>
      <c r="N23" s="352">
        <f>L23-'Combined Impacts'!W23</f>
        <v>0</v>
      </c>
    </row>
    <row r="24" spans="2:15" x14ac:dyDescent="0.25">
      <c r="B24" t="s">
        <v>6</v>
      </c>
      <c r="D24" s="343">
        <f>SUM(D11:D23)</f>
        <v>1191987097.6689999</v>
      </c>
      <c r="E24" s="16">
        <f>SUM(E11:E23)</f>
        <v>823140413.27111971</v>
      </c>
      <c r="F24" s="345">
        <f>E24/D24</f>
        <v>0.69056151268819832</v>
      </c>
      <c r="G24" s="325"/>
      <c r="H24" s="343">
        <f>SUM(H11:H23)</f>
        <v>1191987097.6689999</v>
      </c>
      <c r="I24" s="16">
        <f>SUM(I11:I23)</f>
        <v>889411897.75657034</v>
      </c>
      <c r="J24" s="345">
        <f>I24/H24</f>
        <v>0.74615899743870306</v>
      </c>
      <c r="K24" s="318"/>
      <c r="L24" s="225">
        <f>(I24-E24)/E24</f>
        <v>8.0510546459614335E-2</v>
      </c>
      <c r="M24" s="307"/>
      <c r="N24" s="352">
        <f>L24-'Combined Impacts'!W24</f>
        <v>-1.3877787807814457E-16</v>
      </c>
    </row>
    <row r="25" spans="2:15" s="24" customFormat="1" x14ac:dyDescent="0.25">
      <c r="B25" s="17"/>
      <c r="C25" s="18"/>
      <c r="D25" s="18"/>
      <c r="E25" s="18"/>
      <c r="F25" s="319"/>
      <c r="G25" s="20"/>
      <c r="H25" s="18"/>
      <c r="I25" s="18"/>
      <c r="J25" s="319"/>
      <c r="K25" s="319"/>
      <c r="L25" s="335"/>
      <c r="M25" s="39"/>
      <c r="N25" s="352"/>
    </row>
    <row r="26" spans="2:15" s="24" customFormat="1" x14ac:dyDescent="0.25">
      <c r="B26" s="17"/>
      <c r="C26" s="18"/>
      <c r="D26" s="354" t="s">
        <v>430</v>
      </c>
      <c r="E26" s="354" t="s">
        <v>393</v>
      </c>
      <c r="F26" s="319"/>
      <c r="G26" s="20"/>
      <c r="H26" s="354" t="s">
        <v>430</v>
      </c>
      <c r="I26" s="354" t="s">
        <v>393</v>
      </c>
      <c r="J26" s="319"/>
      <c r="K26" s="319"/>
      <c r="L26" s="335"/>
      <c r="M26" s="39"/>
      <c r="N26" s="352"/>
    </row>
    <row r="27" spans="2:15" s="24" customFormat="1" x14ac:dyDescent="0.25">
      <c r="B27" s="17"/>
      <c r="C27" s="18"/>
      <c r="D27" s="354" t="s">
        <v>233</v>
      </c>
      <c r="E27" s="354" t="s">
        <v>2</v>
      </c>
      <c r="F27" s="356" t="s">
        <v>375</v>
      </c>
      <c r="G27" s="20"/>
      <c r="H27" s="354" t="s">
        <v>233</v>
      </c>
      <c r="I27" s="354" t="s">
        <v>2</v>
      </c>
      <c r="J27" s="356" t="s">
        <v>375</v>
      </c>
      <c r="K27" s="319"/>
      <c r="L27" s="335"/>
      <c r="M27" s="39"/>
      <c r="N27" s="352"/>
    </row>
    <row r="28" spans="2:15" s="24" customFormat="1" x14ac:dyDescent="0.25">
      <c r="B28" s="17"/>
      <c r="C28" s="18"/>
      <c r="D28" s="354" t="s">
        <v>380</v>
      </c>
      <c r="E28" s="354" t="s">
        <v>363</v>
      </c>
      <c r="F28" s="356" t="s">
        <v>382</v>
      </c>
      <c r="G28" s="20"/>
      <c r="H28" s="354" t="s">
        <v>380</v>
      </c>
      <c r="I28" s="354" t="s">
        <v>363</v>
      </c>
      <c r="J28" s="356" t="s">
        <v>382</v>
      </c>
      <c r="K28" s="319"/>
      <c r="L28" s="335"/>
      <c r="M28" s="39"/>
      <c r="N28" s="352"/>
    </row>
    <row r="29" spans="2:15" s="24" customFormat="1" x14ac:dyDescent="0.25">
      <c r="B29" s="17" t="s">
        <v>340</v>
      </c>
      <c r="C29" s="17"/>
      <c r="D29" s="359">
        <f>'Base Rate Impacts'!$D$25</f>
        <v>351449</v>
      </c>
      <c r="E29" s="360">
        <f>'Base Rate Impacts'!P25</f>
        <v>5622676.1599999992</v>
      </c>
      <c r="F29" s="355">
        <f>E29/D29</f>
        <v>15.998555010826605</v>
      </c>
      <c r="G29" s="303"/>
      <c r="H29" s="361">
        <f>'Base Rate Impacts'!$D$25</f>
        <v>351449</v>
      </c>
      <c r="I29" s="360">
        <f>'Combined Impacts'!U26</f>
        <v>4824001.68</v>
      </c>
      <c r="J29" s="355">
        <f>I29/H29</f>
        <v>13.726036153182964</v>
      </c>
      <c r="K29" s="317"/>
      <c r="L29" s="224">
        <f t="shared" ref="L29" si="3">(J29-F29)/F29</f>
        <v>-0.14204525696888085</v>
      </c>
      <c r="M29" s="328"/>
      <c r="N29" s="352">
        <f>L29-'Combined Impacts'!W26</f>
        <v>0</v>
      </c>
      <c r="O29" s="28"/>
    </row>
    <row r="30" spans="2:15" s="24" customFormat="1" x14ac:dyDescent="0.25">
      <c r="B30" s="197" t="s">
        <v>381</v>
      </c>
      <c r="C30" s="197"/>
      <c r="D30" s="197"/>
      <c r="E30" s="333">
        <f>E24+E29</f>
        <v>828763089.43111968</v>
      </c>
      <c r="F30" s="320"/>
      <c r="G30" s="38"/>
      <c r="H30" s="40"/>
      <c r="I30" s="333">
        <f>I24+I29</f>
        <v>894235899.43657029</v>
      </c>
      <c r="J30" s="320"/>
      <c r="K30" s="320"/>
      <c r="L30" s="225">
        <f>(I30-E30)/E30</f>
        <v>7.9000634608851261E-2</v>
      </c>
      <c r="M30" s="328"/>
      <c r="N30" s="352">
        <f>L30-'Combined Impacts'!W27</f>
        <v>-1.6653345369377348E-16</v>
      </c>
    </row>
    <row r="31" spans="2:15" x14ac:dyDescent="0.25">
      <c r="F31" s="321"/>
      <c r="G31" s="308"/>
      <c r="J31" s="321"/>
      <c r="K31" s="321"/>
      <c r="L31" s="336"/>
      <c r="M31" s="308"/>
      <c r="N31" s="352"/>
    </row>
    <row r="32" spans="2:15" x14ac:dyDescent="0.25">
      <c r="F32" s="321"/>
      <c r="G32" s="308"/>
      <c r="J32" s="321"/>
      <c r="K32" s="321"/>
      <c r="L32" s="336"/>
      <c r="M32" s="308"/>
      <c r="N32" s="352"/>
    </row>
    <row r="33" spans="2:14" s="24" customFormat="1" x14ac:dyDescent="0.25">
      <c r="B33" s="33" t="s">
        <v>42</v>
      </c>
      <c r="C33" s="33"/>
      <c r="D33" s="33"/>
      <c r="E33" s="33"/>
      <c r="F33" s="322"/>
      <c r="G33" s="39"/>
      <c r="H33" s="33"/>
      <c r="I33" s="33"/>
      <c r="J33" s="322"/>
      <c r="K33" s="322"/>
      <c r="L33" s="337"/>
      <c r="M33" s="39"/>
      <c r="N33" s="352"/>
    </row>
    <row r="34" spans="2:14" s="24" customFormat="1" x14ac:dyDescent="0.25">
      <c r="B34" s="197" t="s">
        <v>43</v>
      </c>
      <c r="C34" s="197"/>
      <c r="D34" s="346">
        <f>D11+D12</f>
        <v>613671517.73199999</v>
      </c>
      <c r="E34" s="35">
        <f>E11+E12</f>
        <v>569368818.98832858</v>
      </c>
      <c r="F34" s="349">
        <f>E34/D34</f>
        <v>0.92780714525027197</v>
      </c>
      <c r="G34" s="38"/>
      <c r="H34" s="346">
        <f>H11+H12</f>
        <v>613671517.73199999</v>
      </c>
      <c r="I34" s="35">
        <f>I11+I12</f>
        <v>612289004.0244329</v>
      </c>
      <c r="J34" s="349">
        <f>I34/H34</f>
        <v>0.9977471437607589</v>
      </c>
      <c r="K34" s="35"/>
      <c r="L34" s="224">
        <f>(I34-E34)/E34</f>
        <v>7.538204342198819E-2</v>
      </c>
      <c r="M34" s="36"/>
      <c r="N34" s="352">
        <f>L34-'Combined Impacts'!W31</f>
        <v>1.2490009027033011E-16</v>
      </c>
    </row>
    <row r="35" spans="2:14" s="24" customFormat="1" x14ac:dyDescent="0.25">
      <c r="B35" s="37" t="s">
        <v>44</v>
      </c>
      <c r="C35" s="37"/>
      <c r="D35" s="346">
        <f t="shared" ref="D35:E39" si="4">D13+D18</f>
        <v>232276721.11300004</v>
      </c>
      <c r="E35" s="35">
        <f t="shared" si="4"/>
        <v>179232779.05779585</v>
      </c>
      <c r="F35" s="349">
        <f t="shared" ref="F35:F40" si="5">E35/D35</f>
        <v>0.77163470449800742</v>
      </c>
      <c r="G35" s="38"/>
      <c r="H35" s="346">
        <f t="shared" ref="H35:I39" si="6">H13+H18</f>
        <v>232276721.11300004</v>
      </c>
      <c r="I35" s="35">
        <f t="shared" si="6"/>
        <v>200425827.40008926</v>
      </c>
      <c r="J35" s="349">
        <f t="shared" ref="J35:J40" si="7">I35/H35</f>
        <v>0.86287522244893555</v>
      </c>
      <c r="K35" s="35"/>
      <c r="L35" s="224">
        <f t="shared" ref="L35:L41" si="8">(I35-E35)/E35</f>
        <v>0.11824314979493482</v>
      </c>
      <c r="M35" s="39"/>
      <c r="N35" s="352">
        <f>L35-'Combined Impacts'!W32</f>
        <v>0</v>
      </c>
    </row>
    <row r="36" spans="2:14" s="24" customFormat="1" x14ac:dyDescent="0.25">
      <c r="B36" s="197" t="s">
        <v>45</v>
      </c>
      <c r="C36" s="197"/>
      <c r="D36" s="346">
        <f t="shared" si="4"/>
        <v>86114878.978000015</v>
      </c>
      <c r="E36" s="35">
        <f t="shared" si="4"/>
        <v>42103978.156928271</v>
      </c>
      <c r="F36" s="349">
        <f t="shared" si="5"/>
        <v>0.48892803028480919</v>
      </c>
      <c r="G36" s="38"/>
      <c r="H36" s="346">
        <f t="shared" si="6"/>
        <v>86114878.978000015</v>
      </c>
      <c r="I36" s="35">
        <f t="shared" si="6"/>
        <v>42425348.038850091</v>
      </c>
      <c r="J36" s="349">
        <f t="shared" si="7"/>
        <v>0.49265990433184725</v>
      </c>
      <c r="K36" s="35"/>
      <c r="L36" s="224">
        <f t="shared" si="8"/>
        <v>7.632767638345795E-3</v>
      </c>
      <c r="M36" s="39"/>
      <c r="N36" s="352">
        <f>L36-'Combined Impacts'!W33</f>
        <v>1.1015494072452725E-16</v>
      </c>
    </row>
    <row r="37" spans="2:14" s="24" customFormat="1" x14ac:dyDescent="0.25">
      <c r="B37" s="197" t="s">
        <v>46</v>
      </c>
      <c r="C37" s="197"/>
      <c r="D37" s="346">
        <f t="shared" si="4"/>
        <v>90620156.764000013</v>
      </c>
      <c r="E37" s="35">
        <f t="shared" si="4"/>
        <v>14039679.516897824</v>
      </c>
      <c r="F37" s="349">
        <f t="shared" si="5"/>
        <v>0.15492888136864558</v>
      </c>
      <c r="G37" s="38"/>
      <c r="H37" s="346">
        <f t="shared" si="6"/>
        <v>90620156.764000013</v>
      </c>
      <c r="I37" s="35">
        <f t="shared" si="6"/>
        <v>15147396.063806739</v>
      </c>
      <c r="J37" s="349">
        <f t="shared" si="7"/>
        <v>0.16715261377504292</v>
      </c>
      <c r="K37" s="35"/>
      <c r="L37" s="224">
        <f t="shared" si="8"/>
        <v>7.8898990933211385E-2</v>
      </c>
      <c r="M37" s="39"/>
      <c r="N37" s="352">
        <f>L37-'Combined Impacts'!W34</f>
        <v>0</v>
      </c>
    </row>
    <row r="38" spans="2:14" s="24" customFormat="1" x14ac:dyDescent="0.25">
      <c r="B38" s="197" t="s">
        <v>47</v>
      </c>
      <c r="C38" s="197"/>
      <c r="D38" s="346">
        <f t="shared" si="4"/>
        <v>9103924.943</v>
      </c>
      <c r="E38" s="35">
        <f t="shared" si="4"/>
        <v>4711187.0154855419</v>
      </c>
      <c r="F38" s="349">
        <f t="shared" si="5"/>
        <v>0.51748965912861233</v>
      </c>
      <c r="G38" s="38"/>
      <c r="H38" s="346">
        <f t="shared" si="6"/>
        <v>9103924.943</v>
      </c>
      <c r="I38" s="35">
        <f t="shared" si="6"/>
        <v>4544969.5730389999</v>
      </c>
      <c r="J38" s="349">
        <f t="shared" si="7"/>
        <v>0.49923188091896814</v>
      </c>
      <c r="K38" s="35"/>
      <c r="L38" s="224">
        <f t="shared" si="8"/>
        <v>-3.5281435846250597E-2</v>
      </c>
      <c r="M38" s="39"/>
      <c r="N38" s="352">
        <f>L38-'Combined Impacts'!W35</f>
        <v>7.6327832942979512E-17</v>
      </c>
    </row>
    <row r="39" spans="2:14" s="24" customFormat="1" x14ac:dyDescent="0.25">
      <c r="B39" s="17" t="s">
        <v>48</v>
      </c>
      <c r="C39" s="17"/>
      <c r="D39" s="346">
        <f t="shared" si="4"/>
        <v>123109031.389</v>
      </c>
      <c r="E39" s="35">
        <f t="shared" si="4"/>
        <v>11786844.920559984</v>
      </c>
      <c r="F39" s="349">
        <f t="shared" si="5"/>
        <v>9.5743137506426337E-2</v>
      </c>
      <c r="G39" s="38"/>
      <c r="H39" s="346">
        <f t="shared" si="6"/>
        <v>123109031.389</v>
      </c>
      <c r="I39" s="35">
        <f t="shared" si="6"/>
        <v>12758850.640607368</v>
      </c>
      <c r="J39" s="349">
        <f t="shared" si="7"/>
        <v>0.10363862420695963</v>
      </c>
      <c r="K39" s="35"/>
      <c r="L39" s="224">
        <f t="shared" si="8"/>
        <v>8.2465301494880891E-2</v>
      </c>
      <c r="M39" s="39"/>
      <c r="N39" s="352">
        <f>L39-'Combined Impacts'!W36</f>
        <v>0</v>
      </c>
    </row>
    <row r="40" spans="2:14" s="24" customFormat="1" x14ac:dyDescent="0.25">
      <c r="B40" s="305" t="s">
        <v>13</v>
      </c>
      <c r="C40" s="17"/>
      <c r="D40" s="346">
        <f>D23</f>
        <v>37090866.75</v>
      </c>
      <c r="E40" s="35">
        <f>E23</f>
        <v>1897125.6151234768</v>
      </c>
      <c r="F40" s="349">
        <f t="shared" si="5"/>
        <v>5.1148052913146787E-2</v>
      </c>
      <c r="G40" s="38"/>
      <c r="H40" s="346">
        <f>H23</f>
        <v>37090866.75</v>
      </c>
      <c r="I40" s="35">
        <f>I23</f>
        <v>1820502.0157449713</v>
      </c>
      <c r="J40" s="349">
        <f t="shared" si="7"/>
        <v>4.908221821872015E-2</v>
      </c>
      <c r="K40" s="35"/>
      <c r="L40" s="224">
        <f t="shared" si="8"/>
        <v>-4.0389312530324115E-2</v>
      </c>
      <c r="M40" s="39"/>
      <c r="N40" s="352">
        <f>L40-'Combined Impacts'!W37</f>
        <v>0</v>
      </c>
    </row>
    <row r="41" spans="2:14" s="24" customFormat="1" x14ac:dyDescent="0.25">
      <c r="B41" s="40" t="s">
        <v>14</v>
      </c>
      <c r="C41" s="40"/>
      <c r="D41" s="347">
        <f>SUM(D34:D40)</f>
        <v>1191987097.6690001</v>
      </c>
      <c r="E41" s="334">
        <f>SUM(E34:E40)</f>
        <v>823140413.27111959</v>
      </c>
      <c r="F41" s="350">
        <f>E41/D41</f>
        <v>0.69056151268819799</v>
      </c>
      <c r="G41" s="38"/>
      <c r="H41" s="347">
        <f>SUM(H34:H40)</f>
        <v>1191987097.6690001</v>
      </c>
      <c r="I41" s="334">
        <f>SUM(I34:I40)</f>
        <v>889411897.75657034</v>
      </c>
      <c r="J41" s="350">
        <f>I41/H41</f>
        <v>0.74615899743870284</v>
      </c>
      <c r="K41" s="324"/>
      <c r="L41" s="225">
        <f t="shared" si="8"/>
        <v>8.0510546459614488E-2</v>
      </c>
      <c r="M41" s="39"/>
      <c r="N41" s="352">
        <f>L41-'Combined Impacts'!W38</f>
        <v>0</v>
      </c>
    </row>
    <row r="42" spans="2:14" s="24" customFormat="1" x14ac:dyDescent="0.25">
      <c r="B42" s="17"/>
      <c r="C42" s="17"/>
      <c r="D42" s="17"/>
      <c r="E42" s="17"/>
      <c r="F42" s="323"/>
      <c r="G42" s="38"/>
      <c r="H42" s="17"/>
      <c r="I42" s="17"/>
      <c r="J42" s="323"/>
      <c r="K42" s="323"/>
      <c r="L42" s="338"/>
      <c r="M42" s="39"/>
      <c r="N42" s="352"/>
    </row>
    <row r="43" spans="2:14" s="24" customFormat="1" x14ac:dyDescent="0.25">
      <c r="B43" s="17" t="s">
        <v>340</v>
      </c>
      <c r="C43" s="17"/>
      <c r="D43" s="348">
        <f>D29</f>
        <v>351449</v>
      </c>
      <c r="E43" s="332">
        <f>E29</f>
        <v>5622676.1599999992</v>
      </c>
      <c r="F43" s="351">
        <f>E43/D43</f>
        <v>15.998555010826605</v>
      </c>
      <c r="G43" s="38"/>
      <c r="H43" s="348">
        <f>H29</f>
        <v>351449</v>
      </c>
      <c r="I43" s="332">
        <f>I29</f>
        <v>4824001.68</v>
      </c>
      <c r="J43" s="351">
        <f>I43/H43</f>
        <v>13.726036153182964</v>
      </c>
      <c r="K43" s="323"/>
      <c r="L43" s="224">
        <f t="shared" ref="L43" si="9">(J43-F43)/F43</f>
        <v>-0.14204525696888085</v>
      </c>
      <c r="M43" s="39"/>
      <c r="N43" s="352">
        <f>L43-'Combined Impacts'!W40</f>
        <v>0</v>
      </c>
    </row>
    <row r="44" spans="2:14" s="31" customFormat="1" x14ac:dyDescent="0.25">
      <c r="B44" s="197" t="s">
        <v>6</v>
      </c>
      <c r="C44" s="197"/>
      <c r="D44" s="197"/>
      <c r="E44" s="334">
        <f>E41+E43</f>
        <v>828763089.43111956</v>
      </c>
      <c r="F44" s="324"/>
      <c r="G44" s="38"/>
      <c r="H44" s="197"/>
      <c r="I44" s="334">
        <f>I41+I43</f>
        <v>894235899.43657029</v>
      </c>
      <c r="J44" s="324"/>
      <c r="K44" s="324"/>
      <c r="L44" s="225">
        <f>(I44-E44)/E44</f>
        <v>7.9000634608851414E-2</v>
      </c>
      <c r="M44" s="38"/>
      <c r="N44" s="352">
        <f>L44-'Combined Impacts'!W41</f>
        <v>0</v>
      </c>
    </row>
    <row r="45" spans="2:14" s="24" customFormat="1" x14ac:dyDescent="0.25">
      <c r="B45" s="31"/>
      <c r="C45" s="31"/>
      <c r="D45" s="31"/>
      <c r="E45" s="31"/>
      <c r="F45" s="31"/>
      <c r="G45" s="31"/>
      <c r="J45" s="39"/>
    </row>
    <row r="46" spans="2:14" x14ac:dyDescent="0.25">
      <c r="B46" s="197"/>
      <c r="F46" s="32"/>
      <c r="I46" s="165"/>
    </row>
    <row r="47" spans="2:14" x14ac:dyDescent="0.25">
      <c r="F47" s="32"/>
    </row>
    <row r="48" spans="2:14" x14ac:dyDescent="0.25">
      <c r="B48" s="166"/>
    </row>
  </sheetData>
  <mergeCells count="6">
    <mergeCell ref="B1:L1"/>
    <mergeCell ref="B2:L2"/>
    <mergeCell ref="B3:L3"/>
    <mergeCell ref="B4:L4"/>
    <mergeCell ref="D6:F6"/>
    <mergeCell ref="H6:J6"/>
  </mergeCells>
  <printOptions horizontalCentered="1"/>
  <pageMargins left="0.7" right="0.7" top="0.75" bottom="0.75" header="0.3" footer="0.3"/>
  <pageSetup scale="72" orientation="landscape" blackAndWhite="1" r:id="rId1"/>
  <headerFooter>
    <oddFooter>&amp;L&amp;F 
&amp;A&amp;C&amp;P&amp;R&amp;D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36" sqref="L36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140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418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16"/>
      <c r="O5" s="316"/>
    </row>
    <row r="6" spans="2:19" x14ac:dyDescent="0.25">
      <c r="B6" s="5"/>
      <c r="C6" s="5"/>
      <c r="D6" s="5" t="s">
        <v>393</v>
      </c>
      <c r="E6" s="316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419</v>
      </c>
      <c r="R6" s="5"/>
    </row>
    <row r="7" spans="2:19" x14ac:dyDescent="0.25">
      <c r="B7" s="5"/>
      <c r="C7" s="5" t="s">
        <v>17</v>
      </c>
      <c r="D7" s="5" t="s">
        <v>3</v>
      </c>
      <c r="E7" s="316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218" t="s">
        <v>4</v>
      </c>
      <c r="C8" s="218" t="s">
        <v>21</v>
      </c>
      <c r="D8" s="301" t="s">
        <v>394</v>
      </c>
      <c r="E8" s="362" t="s">
        <v>362</v>
      </c>
      <c r="F8" s="218" t="s">
        <v>2</v>
      </c>
      <c r="G8" s="218" t="s">
        <v>2</v>
      </c>
      <c r="H8" s="218" t="s">
        <v>2</v>
      </c>
      <c r="I8" s="218" t="s">
        <v>2</v>
      </c>
      <c r="J8" s="218" t="s">
        <v>2</v>
      </c>
      <c r="K8" s="218" t="s">
        <v>2</v>
      </c>
      <c r="L8" s="218" t="s">
        <v>2</v>
      </c>
      <c r="M8" s="218" t="s">
        <v>2</v>
      </c>
      <c r="N8" s="218" t="s">
        <v>2</v>
      </c>
      <c r="O8" s="218" t="s">
        <v>2</v>
      </c>
      <c r="P8" s="362" t="s">
        <v>407</v>
      </c>
      <c r="Q8" s="218" t="s">
        <v>24</v>
      </c>
      <c r="R8" s="218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569360424.86566794</v>
      </c>
      <c r="Q10" s="155">
        <f>SUM('[65]Rate Design Res'!$K$14,'[65]Rate Design Res'!$K$25)</f>
        <v>64775989.881294616</v>
      </c>
      <c r="R10" s="224">
        <f>Q10/P10</f>
        <v>0.11376974417668305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'[65]Rate Design Res'!$K$35</f>
        <v>983.59000000000015</v>
      </c>
      <c r="R11" s="224">
        <f t="shared" ref="R11:R23" si="1">Q11/P11</f>
        <v>0.11717603372745655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>SUM(E12:O12)</f>
        <v>179211324.93804225</v>
      </c>
      <c r="Q12" s="155">
        <f>'[65]Rate Design C&amp;I'!$K$15</f>
        <v>28552242.289999995</v>
      </c>
      <c r="R12" s="224">
        <f t="shared" si="1"/>
        <v>0.15932164052618442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37596250.87256778</v>
      </c>
      <c r="Q13" s="155">
        <f>'[65]Rate Design C&amp;I'!$K$57</f>
        <v>1585484.4512178223</v>
      </c>
      <c r="R13" s="224">
        <f t="shared" si="1"/>
        <v>4.2171344600072234E-2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6334641.3946324075</v>
      </c>
      <c r="Q14" s="155">
        <f>'[65]Rate Design Int &amp; Trans'!$K$21</f>
        <v>350365.95080162003</v>
      </c>
      <c r="R14" s="224">
        <f t="shared" si="1"/>
        <v>5.5309516194318273E-2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4634610.5169545421</v>
      </c>
      <c r="Q15" s="155">
        <f>'[65]Rate Design Int &amp; Trans'!$K$80</f>
        <v>-281.22000000000116</v>
      </c>
      <c r="R15" s="224">
        <f t="shared" si="1"/>
        <v>-6.0678238003221505E-5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7709847.8877991261</v>
      </c>
      <c r="Q16" s="155">
        <f>'[65]Rate Design Int &amp; Trans'!$K$141</f>
        <v>352242.26000000024</v>
      </c>
      <c r="R16" s="224">
        <f t="shared" si="1"/>
        <v>4.5687316420006861E-2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21454.119753599993</v>
      </c>
      <c r="Q17" s="155">
        <f>'[65]Rate Design C&amp;I'!$K$27</f>
        <v>3924.909999999998</v>
      </c>
      <c r="R17" s="224">
        <f t="shared" si="1"/>
        <v>0.18294435031954176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4507727.2843604945</v>
      </c>
      <c r="Q18" s="155">
        <f>'[65]Rate Design C&amp;I'!$K$79</f>
        <v>410046.28575402207</v>
      </c>
      <c r="R18" s="224">
        <f t="shared" si="1"/>
        <v>9.09651937411282E-2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7705038.1222654162</v>
      </c>
      <c r="Q19" s="155">
        <f>'[65]Rate Design Int &amp; Trans'!$K$42</f>
        <v>1391907.53</v>
      </c>
      <c r="R19" s="224">
        <f t="shared" si="1"/>
        <v>0.18064901275151055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'[65]Rate Design Int &amp; Trans'!$K$99</f>
        <v>302.34999999999582</v>
      </c>
      <c r="R20" s="224">
        <f t="shared" si="1"/>
        <v>3.9483393181995296E-3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4076997.0327608585</v>
      </c>
      <c r="Q21" s="155">
        <f>'[65]Rate Design Int &amp; Trans'!$K$164</f>
        <v>1064195.83</v>
      </c>
      <c r="R21" s="224">
        <f t="shared" si="1"/>
        <v>0.26102443083686733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1897125.6151234768</v>
      </c>
      <c r="Q22" s="387">
        <f>'[65]Rate Design Int &amp; Trans'!$K$217</f>
        <v>38602.938156811055</v>
      </c>
      <c r="R22" s="224">
        <f t="shared" si="1"/>
        <v>2.0348119201531383E-2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98526007.047224894</v>
      </c>
      <c r="R23" s="225">
        <f t="shared" si="1"/>
        <v>0.11969526153586284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'[65]Rate Design Rental'!$J$29</f>
        <v>-644531.05999999982</v>
      </c>
      <c r="R25" s="224">
        <f>Q25/P25</f>
        <v>-0.11463065658755632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97881475.987224892</v>
      </c>
      <c r="R26" s="225">
        <f>Q26/P26</f>
        <v>0.11810549629377533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64776973.471294619</v>
      </c>
      <c r="R30" s="224">
        <f t="shared" ref="R30:R37" si="6">Q30/P30</f>
        <v>0.11376979439512032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28556167.199999996</v>
      </c>
      <c r="R31" s="224">
        <f t="shared" si="6"/>
        <v>0.15932446815876075</v>
      </c>
    </row>
    <row r="32" spans="2:21" s="24" customFormat="1" x14ac:dyDescent="0.25">
      <c r="B32" s="197" t="s">
        <v>45</v>
      </c>
      <c r="C32" s="197"/>
      <c r="D32" s="304">
        <f t="shared" ref="D32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1995530.7369718445</v>
      </c>
      <c r="R32" s="224">
        <f t="shared" si="6"/>
        <v>4.7395301449525307E-2</v>
      </c>
    </row>
    <row r="33" spans="2:18" s="24" customFormat="1" x14ac:dyDescent="0.25">
      <c r="B33" s="197" t="s">
        <v>46</v>
      </c>
      <c r="C33" s="197"/>
      <c r="D33" s="304">
        <f t="shared" ref="D33" si="8">D14+D19</f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1742273.4808016201</v>
      </c>
      <c r="R33" s="224">
        <f t="shared" si="6"/>
        <v>0.12409638544132444</v>
      </c>
    </row>
    <row r="34" spans="2:18" s="24" customFormat="1" x14ac:dyDescent="0.25">
      <c r="B34" s="197" t="s">
        <v>47</v>
      </c>
      <c r="C34" s="197"/>
      <c r="D34" s="304">
        <f t="shared" ref="D34" si="9">D15+D20</f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21.129999999994652</v>
      </c>
      <c r="R34" s="224">
        <f t="shared" si="6"/>
        <v>4.485069246994637E-6</v>
      </c>
    </row>
    <row r="35" spans="2:18" s="24" customFormat="1" x14ac:dyDescent="0.25">
      <c r="B35" s="17" t="s">
        <v>48</v>
      </c>
      <c r="C35" s="17"/>
      <c r="D35" s="304">
        <f t="shared" ref="D35" si="10">D16+D21</f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1416438.0900000003</v>
      </c>
      <c r="R35" s="224">
        <f t="shared" si="6"/>
        <v>0.12017109748591707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38602.938156811055</v>
      </c>
      <c r="R36" s="224">
        <f t="shared" si="6"/>
        <v>2.0348119201531383E-2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98526007.047224894</v>
      </c>
      <c r="R37" s="225">
        <f t="shared" si="6"/>
        <v>0.11969526153586285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-644531.05999999982</v>
      </c>
      <c r="R39" s="224">
        <f>Q39/P39</f>
        <v>-0.11463065658755632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97881475.987224892</v>
      </c>
      <c r="R40" s="225">
        <f>Q40/P40</f>
        <v>0.11810549629377534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40" sqref="L40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424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420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569360424.86566794</v>
      </c>
      <c r="Q10" s="155">
        <f>SUM('Schedule 141 Revenue'!$H$9:$H$14)</f>
        <v>-19326947.757790502</v>
      </c>
      <c r="R10" s="224">
        <f>Q10/P10</f>
        <v>-3.3945014289235867E-2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'Schedule 141 Revenue'!$H$17</f>
        <v>-290.15901894736834</v>
      </c>
      <c r="R11" s="224">
        <f t="shared" ref="R11:R23" si="1">Q11/P11</f>
        <v>-3.4566926250269456E-2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 t="shared" si="0"/>
        <v>179211324.93804225</v>
      </c>
      <c r="Q12" s="155">
        <f>SUM('Schedule 141 Revenue'!$H$20:$H$22)</f>
        <v>-6110887.9022791656</v>
      </c>
      <c r="R12" s="224">
        <f t="shared" si="1"/>
        <v>-3.4098782007174207E-2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37596250.87256778</v>
      </c>
      <c r="Q13" s="155">
        <f>SUM('Schedule 141 Revenue'!$H$32:$H$41)</f>
        <v>-1231564.7640418469</v>
      </c>
      <c r="R13" s="224">
        <f t="shared" si="1"/>
        <v>-3.2757648314887214E-2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6334641.3946324075</v>
      </c>
      <c r="Q14" s="155">
        <f>SUM('Schedule 141 Revenue'!$H$54:$H$61)</f>
        <v>-152845.92818257306</v>
      </c>
      <c r="R14" s="224">
        <f t="shared" si="1"/>
        <v>-2.4128584186641641E-2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4634610.5169545421</v>
      </c>
      <c r="Q15" s="155">
        <f>SUM('Schedule 141 Revenue'!$H$73:$H$79)</f>
        <v>-152181.0190152016</v>
      </c>
      <c r="R15" s="224">
        <f t="shared" si="1"/>
        <v>-3.2835773029575216E-2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7709847.8877991261</v>
      </c>
      <c r="Q16" s="155">
        <f>SUM('Schedule 141 Revenue'!$H$91:$H$101)</f>
        <v>-106551.53823372703</v>
      </c>
      <c r="R16" s="224">
        <f t="shared" si="1"/>
        <v>-1.3820186829152023E-2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21454.119753599993</v>
      </c>
      <c r="Q17" s="155">
        <f>SUM('Schedule 141 Revenue'!$H$25:$H$26)</f>
        <v>-866.53242810000165</v>
      </c>
      <c r="R17" s="224">
        <f t="shared" si="1"/>
        <v>-4.0390024762241662E-2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4507727.2843604945</v>
      </c>
      <c r="Q18" s="155">
        <f>SUM('Schedule 141 Revenue'!$H$44:$H$51)</f>
        <v>-176127.76092043327</v>
      </c>
      <c r="R18" s="224">
        <f t="shared" si="1"/>
        <v>-3.9072408291314878E-2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7705038.1222654162</v>
      </c>
      <c r="Q19" s="155">
        <f>SUM('Schedule 141 Revenue'!$H$64:$H$70)</f>
        <v>-298624.84595378366</v>
      </c>
      <c r="R19" s="224">
        <f t="shared" si="1"/>
        <v>-3.8757088701591356E-2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 Revenue'!$H$82:$H$88)</f>
        <v>-3382.4162797638301</v>
      </c>
      <c r="R20" s="224">
        <f t="shared" si="1"/>
        <v>-4.4170422318207024E-2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4076997.0327608585</v>
      </c>
      <c r="Q21" s="155">
        <f>SUM('Schedule 141 Revenue'!$H$104:$H$114)</f>
        <v>-152750.99738961991</v>
      </c>
      <c r="R21" s="224">
        <f t="shared" si="1"/>
        <v>-3.7466546127501124E-2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1897125.6151234768</v>
      </c>
      <c r="Q22" s="155">
        <f>'Schedule 141 Revenue'!$H$139</f>
        <v>-35274.722042470239</v>
      </c>
      <c r="R22" s="224">
        <f t="shared" si="1"/>
        <v>-1.8593772474140749E-2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-27748296.343576133</v>
      </c>
      <c r="R23" s="225">
        <f t="shared" si="1"/>
        <v>-3.3710283077106808E-2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 Revenue'!$H$117:$H$137)</f>
        <v>-227387.04999999987</v>
      </c>
      <c r="R25" s="224">
        <f>Q25/P25</f>
        <v>-4.0441071747585745E-2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-27975683.393576134</v>
      </c>
      <c r="R26" s="225">
        <f>Q26/P26</f>
        <v>-3.3755947568537621E-2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-19327237.916809451</v>
      </c>
      <c r="R30" s="224">
        <f t="shared" ref="R30:R37" si="6">Q30/P30</f>
        <v>-3.3945023457994522E-2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-6111754.4347072653</v>
      </c>
      <c r="R31" s="224">
        <f t="shared" si="6"/>
        <v>-3.4099535067391072E-2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-1407692.5249622802</v>
      </c>
      <c r="R32" s="224">
        <f t="shared" si="6"/>
        <v>-3.3433717823897417E-2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-451470.77413635672</v>
      </c>
      <c r="R33" s="224">
        <f t="shared" si="6"/>
        <v>-3.2156772068263902E-2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-155563.43529496543</v>
      </c>
      <c r="R34" s="224">
        <f t="shared" si="6"/>
        <v>-3.3020008499690778E-2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-259302.53562334692</v>
      </c>
      <c r="R35" s="224">
        <f t="shared" si="6"/>
        <v>-2.199931681217264E-2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-35274.722042470239</v>
      </c>
      <c r="R36" s="224">
        <f t="shared" si="6"/>
        <v>-1.8593772474140749E-2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-27748296.343576137</v>
      </c>
      <c r="R37" s="225">
        <f t="shared" si="6"/>
        <v>-3.3710283077106822E-2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-227387.04999999987</v>
      </c>
      <c r="R39" s="224">
        <f>Q39/P39</f>
        <v>-4.0441071747585745E-2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-27975683.393576138</v>
      </c>
      <c r="R40" s="225">
        <f>Q40/P40</f>
        <v>-3.3755947568537635E-2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L37" sqref="L37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423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421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Revenue'!F8</f>
        <v>6879152.9663698804</v>
      </c>
      <c r="P10" s="161">
        <f>SUM(E10:O10)</f>
        <v>569360424.86566794</v>
      </c>
      <c r="Q10" s="155">
        <f>SUM('Schedule 141X Revenue'!$H$9:$H$14)</f>
        <v>4349643.2620515758</v>
      </c>
      <c r="R10" s="224">
        <f>Q10/P10</f>
        <v>7.6395251093853405E-3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Revenue'!F9</f>
        <v>104.74740583999998</v>
      </c>
      <c r="P11" s="161">
        <f t="shared" ref="P11:P22" si="0">SUM(E11:O11)</f>
        <v>8394.1226606778928</v>
      </c>
      <c r="Q11" s="155">
        <f>'Schedule 141X Revenue'!$H$17</f>
        <v>63.933343157894242</v>
      </c>
      <c r="R11" s="224">
        <f t="shared" ref="R11:R23" si="1">Q11/P11</f>
        <v>7.6164413771779588E-3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Revenue'!F10</f>
        <v>2526828.0251846407</v>
      </c>
      <c r="P12" s="161">
        <f t="shared" si="0"/>
        <v>179211324.93804225</v>
      </c>
      <c r="Q12" s="155">
        <f>SUM('Schedule 141X Revenue'!$H$20:$H$22)</f>
        <v>1275527.7649596378</v>
      </c>
      <c r="R12" s="224">
        <f t="shared" si="1"/>
        <v>7.1174506711594206E-3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Revenue'!F11</f>
        <v>407396.71755076008</v>
      </c>
      <c r="P13" s="161">
        <f t="shared" si="0"/>
        <v>37596250.87256778</v>
      </c>
      <c r="Q13" s="155">
        <f>SUM('Schedule 141X Revenue'!$H$32:$H$41)</f>
        <v>212630.16343783514</v>
      </c>
      <c r="R13" s="224">
        <f t="shared" si="1"/>
        <v>5.655621464984462E-3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Revenue'!F12</f>
        <v>52258.275213740002</v>
      </c>
      <c r="P14" s="161">
        <f t="shared" si="0"/>
        <v>6334641.3946324075</v>
      </c>
      <c r="Q14" s="155">
        <f>SUM('Schedule 141X Revenue'!$H$54:$H$61)</f>
        <v>21392.139480227721</v>
      </c>
      <c r="R14" s="224">
        <f t="shared" si="1"/>
        <v>3.3770087598572079E-3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Revenue'!F13</f>
        <v>36323.442690949996</v>
      </c>
      <c r="P15" s="161">
        <f t="shared" si="0"/>
        <v>4634610.5169545421</v>
      </c>
      <c r="Q15" s="155">
        <f>SUM('Schedule 141X Revenue'!$H$73:$H$79)</f>
        <v>26020.314480684341</v>
      </c>
      <c r="R15" s="224">
        <f t="shared" si="1"/>
        <v>5.614347610332227E-3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Revenue'!F14</f>
        <v>46221.081791180004</v>
      </c>
      <c r="P16" s="161">
        <f t="shared" si="0"/>
        <v>7709847.8877991261</v>
      </c>
      <c r="Q16" s="155">
        <f>SUM('Schedule 141X Revenue'!$H$91:$H$101)</f>
        <v>14969.602689134326</v>
      </c>
      <c r="R16" s="224">
        <f t="shared" si="1"/>
        <v>1.9416210160026373E-3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Revenue'!F15</f>
        <v>342.70052480000004</v>
      </c>
      <c r="P17" s="161">
        <f t="shared" si="0"/>
        <v>21454.119753599993</v>
      </c>
      <c r="Q17" s="155">
        <f>SUM('Schedule 141X Revenue'!$H$25:$H$26)</f>
        <v>278.53775050000007</v>
      </c>
      <c r="R17" s="224">
        <f t="shared" si="1"/>
        <v>1.2982949368186572E-2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Revenue'!F16</f>
        <v>128237.8296924</v>
      </c>
      <c r="P18" s="161">
        <f>SUM(E18:O18)</f>
        <v>4507727.2843604945</v>
      </c>
      <c r="Q18" s="155">
        <f>SUM('Schedule 141X Revenue'!$H$44:$H$51)</f>
        <v>56536.053717578929</v>
      </c>
      <c r="R18" s="224">
        <f t="shared" si="1"/>
        <v>1.2542030640081109E-2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Revenue'!F17</f>
        <v>247694.44367510002</v>
      </c>
      <c r="P19" s="161">
        <f t="shared" si="0"/>
        <v>7705038.1222654162</v>
      </c>
      <c r="Q19" s="155">
        <f>SUM('Schedule 141X Revenue'!$H$64:$H$70)</f>
        <v>95474.419652263314</v>
      </c>
      <c r="R19" s="224">
        <f t="shared" si="1"/>
        <v>1.2391167718738315E-2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Revenue'!F18</f>
        <v>1457.8458224999999</v>
      </c>
      <c r="P20" s="161">
        <f t="shared" si="0"/>
        <v>76576.498531000005</v>
      </c>
      <c r="Q20" s="155">
        <f>SUM('Schedule 141X Revenue'!$H$82:$H$88)</f>
        <v>1085.8368811878063</v>
      </c>
      <c r="R20" s="224">
        <f t="shared" si="1"/>
        <v>1.4179766664941378E-2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Revenue'!F19</f>
        <v>202459.16161459999</v>
      </c>
      <c r="P21" s="161">
        <f t="shared" si="0"/>
        <v>4076997.0327608585</v>
      </c>
      <c r="Q21" s="155">
        <f>SUM('Schedule 141X Revenue'!$H$104:$H$114)</f>
        <v>48580.80638737644</v>
      </c>
      <c r="R21" s="224">
        <f t="shared" si="1"/>
        <v>1.1915830695240541E-2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Revenue'!F20</f>
        <v>91614.440872499996</v>
      </c>
      <c r="P22" s="161">
        <f t="shared" si="0"/>
        <v>1897125.6151234768</v>
      </c>
      <c r="Q22" s="155">
        <f>'Schedule 141X Revenue'!$H$139</f>
        <v>11662.625379653648</v>
      </c>
      <c r="R22" s="224">
        <f t="shared" si="1"/>
        <v>6.1475240683493545E-3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6113865.4602108132</v>
      </c>
      <c r="R23" s="225">
        <f t="shared" si="1"/>
        <v>7.4274879007757751E-3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>
        <f>SUM('Schedule 141X Revenue'!$H$117:$H$137)</f>
        <v>73243.629999999961</v>
      </c>
      <c r="R25" s="224">
        <f>Q25/P25</f>
        <v>1.3026471366261288E-2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6187109.0902108131</v>
      </c>
      <c r="R26" s="225">
        <f>Q26/P26</f>
        <v>7.4654737513199024E-3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4349707.1953947339</v>
      </c>
      <c r="R30" s="224">
        <f t="shared" ref="R30:R37" si="6">Q30/P30</f>
        <v>7.6395247690651952E-3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1275806.3027101378</v>
      </c>
      <c r="R31" s="224">
        <f t="shared" si="6"/>
        <v>7.1181527699168134E-3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269166.21715541405</v>
      </c>
      <c r="R32" s="224">
        <f t="shared" si="6"/>
        <v>6.3928927606837632E-3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116866.55913249103</v>
      </c>
      <c r="R33" s="224">
        <f t="shared" si="6"/>
        <v>8.3240190056926323E-3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27106.151361872147</v>
      </c>
      <c r="R34" s="224">
        <f t="shared" si="6"/>
        <v>5.7535715039065474E-3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63550.409076510769</v>
      </c>
      <c r="R35" s="224">
        <f t="shared" si="6"/>
        <v>5.3916386874369379E-3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11662.625379653648</v>
      </c>
      <c r="R36" s="224">
        <f t="shared" si="6"/>
        <v>6.1475240683493545E-3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6113865.4602108141</v>
      </c>
      <c r="R37" s="225">
        <f t="shared" si="6"/>
        <v>7.4274879007757777E-3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73243.629999999961</v>
      </c>
      <c r="R39" s="224">
        <f>Q39/P39</f>
        <v>1.3026471366261288E-2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6187109.090210814</v>
      </c>
      <c r="R40" s="225">
        <f>Q40/P40</f>
        <v>7.465473751319905E-3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44"/>
  <sheetViews>
    <sheetView zoomScale="90" zoomScaleNormal="90" workbookViewId="0">
      <pane xSplit="3" ySplit="8" topLeftCell="D9" activePane="bottomRight" state="frozenSplit"/>
      <selection activeCell="V25" sqref="V25"/>
      <selection pane="topRight" activeCell="V25" sqref="V25"/>
      <selection pane="bottomLeft" activeCell="V25" sqref="V25"/>
      <selection pane="bottomRight" activeCell="N33" sqref="N33"/>
    </sheetView>
  </sheetViews>
  <sheetFormatPr defaultRowHeight="15" x14ac:dyDescent="0.25"/>
  <cols>
    <col min="1" max="1" width="2.85546875" customWidth="1"/>
    <col min="2" max="2" width="38.7109375" customWidth="1"/>
    <col min="3" max="3" width="9.140625" bestFit="1" customWidth="1"/>
    <col min="4" max="4" width="16.5703125" bestFit="1" customWidth="1"/>
    <col min="5" max="6" width="14.5703125" bestFit="1" customWidth="1"/>
    <col min="7" max="7" width="14" bestFit="1" customWidth="1"/>
    <col min="8" max="8" width="13.28515625" bestFit="1" customWidth="1"/>
    <col min="9" max="9" width="12.140625" customWidth="1"/>
    <col min="10" max="11" width="13.28515625" bestFit="1" customWidth="1"/>
    <col min="12" max="12" width="12.85546875" bestFit="1" customWidth="1"/>
    <col min="13" max="13" width="14" bestFit="1" customWidth="1"/>
    <col min="14" max="15" width="13.28515625" bestFit="1" customWidth="1"/>
    <col min="16" max="16" width="15.7109375" bestFit="1" customWidth="1"/>
    <col min="17" max="17" width="14.5703125" bestFit="1" customWidth="1"/>
    <col min="18" max="18" width="7.85546875" customWidth="1"/>
    <col min="19" max="19" width="9.28515625" customWidth="1"/>
  </cols>
  <sheetData>
    <row r="1" spans="2:19" x14ac:dyDescent="0.25">
      <c r="B1" s="393" t="s">
        <v>0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</row>
    <row r="2" spans="2:19" x14ac:dyDescent="0.25">
      <c r="B2" s="393" t="s">
        <v>395</v>
      </c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</row>
    <row r="3" spans="2:19" x14ac:dyDescent="0.25">
      <c r="B3" s="394" t="s">
        <v>399</v>
      </c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</row>
    <row r="4" spans="2:19" x14ac:dyDescent="0.25">
      <c r="B4" s="394" t="s">
        <v>422</v>
      </c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</row>
    <row r="5" spans="2:19" x14ac:dyDescent="0.25">
      <c r="K5" s="385"/>
      <c r="O5" s="385"/>
    </row>
    <row r="6" spans="2:19" x14ac:dyDescent="0.25">
      <c r="B6" s="5"/>
      <c r="C6" s="5"/>
      <c r="D6" s="5" t="s">
        <v>393</v>
      </c>
      <c r="E6" s="385" t="s">
        <v>393</v>
      </c>
      <c r="F6" s="5"/>
      <c r="G6" s="5"/>
      <c r="H6" s="5"/>
      <c r="I6" s="5"/>
      <c r="J6" s="5"/>
      <c r="K6" s="5"/>
      <c r="L6" s="5"/>
      <c r="M6" s="5"/>
      <c r="N6" s="5"/>
      <c r="O6" s="5"/>
      <c r="P6" s="230" t="s">
        <v>405</v>
      </c>
      <c r="Q6" s="230" t="s">
        <v>425</v>
      </c>
      <c r="R6" s="5"/>
    </row>
    <row r="7" spans="2:19" x14ac:dyDescent="0.25">
      <c r="B7" s="5"/>
      <c r="C7" s="5" t="s">
        <v>17</v>
      </c>
      <c r="D7" s="5" t="s">
        <v>3</v>
      </c>
      <c r="E7" s="385" t="s">
        <v>360</v>
      </c>
      <c r="F7" s="5" t="s">
        <v>18</v>
      </c>
      <c r="G7" s="5" t="s">
        <v>19</v>
      </c>
      <c r="H7" s="5" t="s">
        <v>50</v>
      </c>
      <c r="I7" s="5" t="s">
        <v>115</v>
      </c>
      <c r="J7" s="5" t="s">
        <v>16</v>
      </c>
      <c r="K7" s="5" t="s">
        <v>347</v>
      </c>
      <c r="L7" s="5" t="s">
        <v>357</v>
      </c>
      <c r="M7" s="5" t="s">
        <v>373</v>
      </c>
      <c r="N7" s="5" t="s">
        <v>345</v>
      </c>
      <c r="O7" s="5" t="s">
        <v>110</v>
      </c>
      <c r="P7" s="5" t="s">
        <v>406</v>
      </c>
      <c r="Q7" s="5" t="s">
        <v>2</v>
      </c>
      <c r="R7" s="5" t="s">
        <v>20</v>
      </c>
    </row>
    <row r="8" spans="2:19" ht="17.25" x14ac:dyDescent="0.25">
      <c r="B8" s="386" t="s">
        <v>4</v>
      </c>
      <c r="C8" s="386" t="s">
        <v>21</v>
      </c>
      <c r="D8" s="301" t="s">
        <v>394</v>
      </c>
      <c r="E8" s="386" t="s">
        <v>362</v>
      </c>
      <c r="F8" s="386" t="s">
        <v>2</v>
      </c>
      <c r="G8" s="386" t="s">
        <v>2</v>
      </c>
      <c r="H8" s="386" t="s">
        <v>2</v>
      </c>
      <c r="I8" s="386" t="s">
        <v>2</v>
      </c>
      <c r="J8" s="386" t="s">
        <v>2</v>
      </c>
      <c r="K8" s="386" t="s">
        <v>2</v>
      </c>
      <c r="L8" s="386" t="s">
        <v>2</v>
      </c>
      <c r="M8" s="386" t="s">
        <v>2</v>
      </c>
      <c r="N8" s="386" t="s">
        <v>2</v>
      </c>
      <c r="O8" s="386" t="s">
        <v>2</v>
      </c>
      <c r="P8" s="386" t="s">
        <v>407</v>
      </c>
      <c r="Q8" s="386" t="s">
        <v>24</v>
      </c>
      <c r="R8" s="386" t="s">
        <v>24</v>
      </c>
    </row>
    <row r="9" spans="2:19" x14ac:dyDescent="0.25">
      <c r="B9" s="5" t="s">
        <v>25</v>
      </c>
      <c r="C9" s="5" t="s">
        <v>26</v>
      </c>
      <c r="D9" s="302" t="s">
        <v>27</v>
      </c>
      <c r="E9" s="7" t="s">
        <v>28</v>
      </c>
      <c r="F9" s="5" t="s">
        <v>261</v>
      </c>
      <c r="G9" s="5" t="s">
        <v>364</v>
      </c>
      <c r="H9" s="5" t="s">
        <v>263</v>
      </c>
      <c r="I9" s="5" t="s">
        <v>111</v>
      </c>
      <c r="J9" s="5" t="s">
        <v>255</v>
      </c>
      <c r="K9" s="5" t="s">
        <v>29</v>
      </c>
      <c r="L9" s="7" t="s">
        <v>51</v>
      </c>
      <c r="M9" s="5" t="s">
        <v>112</v>
      </c>
      <c r="N9" s="7" t="s">
        <v>256</v>
      </c>
      <c r="O9" s="7" t="s">
        <v>113</v>
      </c>
      <c r="P9" s="5" t="s">
        <v>257</v>
      </c>
      <c r="Q9" s="7" t="s">
        <v>258</v>
      </c>
      <c r="R9" s="5" t="s">
        <v>397</v>
      </c>
      <c r="S9" s="7"/>
    </row>
    <row r="10" spans="2:19" x14ac:dyDescent="0.25">
      <c r="B10" t="s">
        <v>7</v>
      </c>
      <c r="C10" s="8" t="s">
        <v>30</v>
      </c>
      <c r="D10" s="183">
        <f>SUM('Normalized Therms'!P9,'Normalized Therms'!P11)</f>
        <v>613662173.62800002</v>
      </c>
      <c r="E10" s="155">
        <f>SUM('[66]Margin Exhibit'!$F$13:$F$14)</f>
        <v>315760294.96788263</v>
      </c>
      <c r="F10" s="155">
        <f>SUM('[66]Margin Exhibit'!$E$13:$E$14)</f>
        <v>200453037.94408333</v>
      </c>
      <c r="G10" s="155">
        <f>'Schedule 106 Revenue'!F8</f>
        <v>-2362599.12</v>
      </c>
      <c r="H10" s="155">
        <f>'Schedule 120 Revenue'!F8</f>
        <v>11137968.4513482</v>
      </c>
      <c r="I10" s="155">
        <f>'Schedule 129 Revenue'!G8</f>
        <v>3295365.87238236</v>
      </c>
      <c r="J10" s="155">
        <f>'Schedule 140 Revenue'!F8</f>
        <v>13715349.580585802</v>
      </c>
      <c r="K10" s="155">
        <f>SUM('Schedule 141 Revenue'!$G$9:$G$14)</f>
        <v>19326947.77</v>
      </c>
      <c r="L10" s="155">
        <f>SUM('Schedule 141X Revenue'!$G$9:$G$14)</f>
        <v>-4349643.26</v>
      </c>
      <c r="M10" s="155">
        <f>'Schedule 141Y Revenue'!F8</f>
        <v>-6492545.7969842404</v>
      </c>
      <c r="N10" s="155">
        <f>'Sch 142 Revenue (Decoupling)'!G10</f>
        <v>11997095.49</v>
      </c>
      <c r="O10" s="155">
        <f>'Schedule 149 Revenue'!$F$8</f>
        <v>6879152.9663698804</v>
      </c>
      <c r="P10" s="161">
        <f>SUM(E10:O10)</f>
        <v>569360424.86566794</v>
      </c>
      <c r="Q10" s="155">
        <f>'Schedule 149 Revenue'!$G$8</f>
        <v>-6879152.9663698804</v>
      </c>
      <c r="R10" s="224">
        <f>Q10/P10</f>
        <v>-1.2082246439929353E-2</v>
      </c>
    </row>
    <row r="11" spans="2:19" x14ac:dyDescent="0.25">
      <c r="B11" t="s">
        <v>31</v>
      </c>
      <c r="C11" s="8">
        <v>16</v>
      </c>
      <c r="D11" s="183">
        <f>'Normalized Therms'!P10</f>
        <v>9344.1039999999994</v>
      </c>
      <c r="E11" s="155">
        <f>'[66]Margin Exhibit'!$F$12</f>
        <v>4765.4930399999994</v>
      </c>
      <c r="F11" s="155">
        <f>'[66]Margin Exhibit'!$E$12</f>
        <v>3054.0466231578944</v>
      </c>
      <c r="G11" s="155">
        <f>'Schedule 106 Revenue'!F9</f>
        <v>-35.97</v>
      </c>
      <c r="H11" s="155">
        <f>'Schedule 120 Revenue'!F9</f>
        <v>169.59548759999998</v>
      </c>
      <c r="I11" s="155"/>
      <c r="J11" s="155">
        <f>'Schedule 140 Revenue'!F9</f>
        <v>208.8407244</v>
      </c>
      <c r="K11" s="155">
        <f>'Schedule 141 Revenue'!$G$17</f>
        <v>290.16000000000003</v>
      </c>
      <c r="L11" s="155">
        <f>'Schedule 141X Revenue'!$G$17</f>
        <v>-63.93</v>
      </c>
      <c r="M11" s="155">
        <f>'Schedule 141Y Revenue'!F9</f>
        <v>-98.860620319999995</v>
      </c>
      <c r="N11" s="155"/>
      <c r="O11" s="155">
        <f>'Schedule 149 Revenue'!$F$9</f>
        <v>104.74740583999998</v>
      </c>
      <c r="P11" s="161">
        <f t="shared" ref="P11:P22" si="0">SUM(E11:O11)</f>
        <v>8394.1226606778928</v>
      </c>
      <c r="Q11" s="155">
        <f>'Schedule 149 Revenue'!$G$9</f>
        <v>-104.74740583999998</v>
      </c>
      <c r="R11" s="224">
        <f t="shared" ref="R11:R23" si="1">Q11/P11</f>
        <v>-1.2478660376347275E-2</v>
      </c>
    </row>
    <row r="12" spans="2:19" x14ac:dyDescent="0.25">
      <c r="B12" t="s">
        <v>8</v>
      </c>
      <c r="C12" s="8">
        <v>31</v>
      </c>
      <c r="D12" s="183">
        <f>'Normalized Therms'!P12</f>
        <v>232245222.90300003</v>
      </c>
      <c r="E12" s="155">
        <f>'[66]Margin Exhibit'!$F$15</f>
        <v>92776605.726934433</v>
      </c>
      <c r="F12" s="155">
        <f>'[66]Margin Exhibit'!$E$15</f>
        <v>74023519.895873189</v>
      </c>
      <c r="G12" s="155">
        <f>'Schedule 106 Revenue'!F10</f>
        <v>-891821.66</v>
      </c>
      <c r="H12" s="155">
        <f>'Schedule 120 Revenue'!F10</f>
        <v>4215250.7956894506</v>
      </c>
      <c r="I12" s="155">
        <f>'Schedule 129 Revenue'!G10</f>
        <v>994009.55402484012</v>
      </c>
      <c r="J12" s="155">
        <f>'Schedule 140 Revenue'!F10</f>
        <v>5871159.234987841</v>
      </c>
      <c r="K12" s="155">
        <f>SUM('Schedule 141 Revenue'!$G$20:$G$22)</f>
        <v>6110887.9100000001</v>
      </c>
      <c r="L12" s="155">
        <f>SUM('Schedule 141X Revenue'!$G$20:$G$22)</f>
        <v>-1275527.76</v>
      </c>
      <c r="M12" s="155">
        <f>'Schedule 141Y Revenue'!F10</f>
        <v>-2724236.4646521905</v>
      </c>
      <c r="N12" s="155">
        <f>'Sch 142 Revenue (Decoupling)'!G15</f>
        <v>-2415350.3199999998</v>
      </c>
      <c r="O12" s="155">
        <f>'Schedule 149 Revenue'!$F$10</f>
        <v>2526828.0251846407</v>
      </c>
      <c r="P12" s="161">
        <f t="shared" si="0"/>
        <v>179211324.93804225</v>
      </c>
      <c r="Q12" s="155">
        <f>'Schedule 149 Revenue'!$G$10</f>
        <v>-2526828.0251846407</v>
      </c>
      <c r="R12" s="224">
        <f t="shared" si="1"/>
        <v>-1.4099711756822439E-2</v>
      </c>
    </row>
    <row r="13" spans="2:19" x14ac:dyDescent="0.25">
      <c r="B13" t="s">
        <v>9</v>
      </c>
      <c r="C13" s="8">
        <v>41</v>
      </c>
      <c r="D13" s="183">
        <f>'Normalized Therms'!P13</f>
        <v>65497864.558000013</v>
      </c>
      <c r="E13" s="155">
        <f>'[66]Margin Exhibit'!$F$17</f>
        <v>15320217.588903766</v>
      </c>
      <c r="F13" s="155">
        <f>'[66]Margin Exhibit'!$E$17</f>
        <v>19564303.5988218</v>
      </c>
      <c r="G13" s="155">
        <f>'Schedule 106 Revenue'!F11</f>
        <v>-247581.93</v>
      </c>
      <c r="H13" s="155">
        <f>'Schedule 120 Revenue'!F11</f>
        <v>1188786.2417277002</v>
      </c>
      <c r="I13" s="155">
        <f>'Schedule 129 Revenue'!G13</f>
        <v>147370.19525550003</v>
      </c>
      <c r="J13" s="155">
        <f>'Schedule 140 Revenue'!F11</f>
        <v>585550.90914852009</v>
      </c>
      <c r="K13" s="155">
        <f>SUM('Schedule 141 Revenue'!$G$32:$G$41)</f>
        <v>1231564.76</v>
      </c>
      <c r="L13" s="155">
        <f>SUM('Schedule 141X Revenue'!$G$32:$G$41)</f>
        <v>-212630.15</v>
      </c>
      <c r="M13" s="155">
        <f>'Schedule 141Y Revenue'!F11</f>
        <v>-305220.04884028004</v>
      </c>
      <c r="N13" s="155">
        <f>'Sch 142 Revenue (Decoupling)'!G28</f>
        <v>-83507.009999999995</v>
      </c>
      <c r="O13" s="155">
        <f>'Schedule 149 Revenue'!$F$11</f>
        <v>407396.71755076008</v>
      </c>
      <c r="P13" s="161">
        <f t="shared" si="0"/>
        <v>37596250.87256778</v>
      </c>
      <c r="Q13" s="155">
        <f>'Schedule 149 Revenue'!$G$11</f>
        <v>-407396.71755076008</v>
      </c>
      <c r="R13" s="224">
        <f t="shared" si="1"/>
        <v>-1.0836099560342554E-2</v>
      </c>
    </row>
    <row r="14" spans="2:19" x14ac:dyDescent="0.25">
      <c r="B14" t="s">
        <v>10</v>
      </c>
      <c r="C14" s="8">
        <v>85</v>
      </c>
      <c r="D14" s="183">
        <f>'Normalized Therms'!P14</f>
        <v>15787998.554000001</v>
      </c>
      <c r="E14" s="155">
        <f>'[66]Margin Exhibit'!$F$20</f>
        <v>1553046.3044179073</v>
      </c>
      <c r="F14" s="155">
        <f>'[66]Margin Exhibit'!$E$20</f>
        <v>4356650.7616408002</v>
      </c>
      <c r="G14" s="155">
        <f>'Schedule 106 Revenue'!F12</f>
        <v>-59362.87</v>
      </c>
      <c r="H14" s="155">
        <f>'Schedule 120 Revenue'!F12</f>
        <v>243608.81768822001</v>
      </c>
      <c r="I14" s="155">
        <f>'Schedule 129 Revenue'!G20</f>
        <v>17674.199272280002</v>
      </c>
      <c r="J14" s="155">
        <f>'Schedule 140 Revenue'!F12</f>
        <v>79729.392697700008</v>
      </c>
      <c r="K14" s="155">
        <f>SUM('Schedule 141 Revenue'!$G$54:$G$61)</f>
        <v>152845.93</v>
      </c>
      <c r="L14" s="155">
        <f>SUM('Schedule 141X Revenue'!$G$54:$G$61)</f>
        <v>-21392.14</v>
      </c>
      <c r="M14" s="155">
        <f>'Schedule 141Y Revenue'!F12</f>
        <v>-40417.276298240009</v>
      </c>
      <c r="N14" s="155"/>
      <c r="O14" s="155">
        <f>'Schedule 149 Revenue'!$F$12</f>
        <v>52258.275213740002</v>
      </c>
      <c r="P14" s="161">
        <f t="shared" si="0"/>
        <v>6334641.3946324075</v>
      </c>
      <c r="Q14" s="155">
        <f>'Schedule 149 Revenue'!$G$12</f>
        <v>-52258.275213740002</v>
      </c>
      <c r="R14" s="224">
        <f t="shared" si="1"/>
        <v>-8.2496027727821351E-3</v>
      </c>
    </row>
    <row r="15" spans="2:19" x14ac:dyDescent="0.25">
      <c r="B15" t="s">
        <v>11</v>
      </c>
      <c r="C15" s="8">
        <v>86</v>
      </c>
      <c r="D15" s="183">
        <f>'Normalized Therms'!P15</f>
        <v>8752636.7929999996</v>
      </c>
      <c r="E15" s="155">
        <f>'[66]Margin Exhibit'!$F$22</f>
        <v>1897331.8556931536</v>
      </c>
      <c r="F15" s="155">
        <f>'[66]Margin Exhibit'!$E$22</f>
        <v>2431877.92950228</v>
      </c>
      <c r="G15" s="155">
        <f>'Schedule 106 Revenue'!F13</f>
        <v>-32909.910000000003</v>
      </c>
      <c r="H15" s="155">
        <f>'Schedule 120 Revenue'!F13</f>
        <v>135053.18571599</v>
      </c>
      <c r="I15" s="155">
        <f>'Schedule 129 Revenue'!G22</f>
        <v>19168.274576669999</v>
      </c>
      <c r="J15" s="155">
        <f>'Schedule 140 Revenue'!F13</f>
        <v>67132.724202309997</v>
      </c>
      <c r="K15" s="155">
        <f>SUM('Schedule 141 Revenue'!$G$73:$G$79)</f>
        <v>152181.01</v>
      </c>
      <c r="L15" s="155">
        <f>SUM('Schedule 141X Revenue'!$G$73:$G$79)</f>
        <v>-26020.32</v>
      </c>
      <c r="M15" s="155">
        <f>'Schedule 141Y Revenue'!F13</f>
        <v>-36498.495426809997</v>
      </c>
      <c r="N15" s="155">
        <f>'Sch 142 Revenue (Decoupling)'!G46</f>
        <v>-9029.18</v>
      </c>
      <c r="O15" s="155">
        <f>'Schedule 149 Revenue'!$F$13</f>
        <v>36323.442690949996</v>
      </c>
      <c r="P15" s="161">
        <f t="shared" si="0"/>
        <v>4634610.5169545421</v>
      </c>
      <c r="Q15" s="155">
        <f>'Schedule 149 Revenue'!$G$13</f>
        <v>-36323.442690949996</v>
      </c>
      <c r="R15" s="224">
        <f t="shared" si="1"/>
        <v>-7.8374315507354787E-3</v>
      </c>
    </row>
    <row r="16" spans="2:19" x14ac:dyDescent="0.25">
      <c r="B16" t="s">
        <v>12</v>
      </c>
      <c r="C16" s="8">
        <v>87</v>
      </c>
      <c r="D16" s="183">
        <f>'Normalized Therms'!P16</f>
        <v>22881723.659000002</v>
      </c>
      <c r="E16" s="155">
        <f>'[66]Margin Exhibit'!$F$24</f>
        <v>1075131.9096302763</v>
      </c>
      <c r="F16" s="155">
        <f>'[66]Margin Exhibit'!$E$24</f>
        <v>6188133.3463399597</v>
      </c>
      <c r="G16" s="155">
        <f>'Schedule 106 Revenue'!F14</f>
        <v>-85577.65</v>
      </c>
      <c r="H16" s="155">
        <f>'Schedule 120 Revenue'!F14</f>
        <v>353064.99605836999</v>
      </c>
      <c r="I16" s="155">
        <f>'Schedule 129 Revenue'!G32</f>
        <v>10401.957039690002</v>
      </c>
      <c r="J16" s="155">
        <f>'Schedule 140 Revenue'!F14</f>
        <v>62467.105589070001</v>
      </c>
      <c r="K16" s="155">
        <f>SUM('Schedule 141 Revenue'!$G$91:$G$101)</f>
        <v>106551.53</v>
      </c>
      <c r="L16" s="155">
        <f>SUM('Schedule 141X Revenue'!$G$91:$G$101)</f>
        <v>-14969.61</v>
      </c>
      <c r="M16" s="155">
        <f>'Schedule 141Y Revenue'!F14</f>
        <v>-31576.778649420001</v>
      </c>
      <c r="N16" s="155"/>
      <c r="O16" s="155">
        <f>'Schedule 149 Revenue'!$F$14</f>
        <v>46221.081791180004</v>
      </c>
      <c r="P16" s="161">
        <f t="shared" si="0"/>
        <v>7709847.8877991261</v>
      </c>
      <c r="Q16" s="155">
        <f>'Schedule 149 Revenue'!$G$14</f>
        <v>-46221.081791180004</v>
      </c>
      <c r="R16" s="224">
        <f t="shared" si="1"/>
        <v>-5.9950705206940728E-3</v>
      </c>
    </row>
    <row r="17" spans="2:21" x14ac:dyDescent="0.25">
      <c r="B17" t="s">
        <v>32</v>
      </c>
      <c r="C17" s="8" t="s">
        <v>33</v>
      </c>
      <c r="D17" s="183">
        <f>'Normalized Therms'!P17</f>
        <v>31498.21</v>
      </c>
      <c r="E17" s="155">
        <f>'[66]Margin Exhibit'!$F$16</f>
        <v>20250.967397500001</v>
      </c>
      <c r="F17" s="155">
        <f>'[66]Margin Exhibit'!$E$16</f>
        <v>22.048746999999999</v>
      </c>
      <c r="G17" s="208"/>
      <c r="H17" s="155"/>
      <c r="I17" s="155">
        <f>'Schedule 129 Revenue'!G11</f>
        <v>134.81233879999999</v>
      </c>
      <c r="J17" s="155">
        <f>'Schedule 140 Revenue'!F15</f>
        <v>796.2747488</v>
      </c>
      <c r="K17" s="155">
        <f>SUM('Schedule 141 Revenue'!$G$25:$G$26)</f>
        <v>866.53</v>
      </c>
      <c r="L17" s="155">
        <f>SUM('Schedule 141X Revenue'!$G$25:$G$26)</f>
        <v>-278.53999999999996</v>
      </c>
      <c r="M17" s="155">
        <f>'Schedule 141Y Revenue'!F15</f>
        <v>-369.47400329999999</v>
      </c>
      <c r="N17" s="155">
        <f>'Sch 142 Revenue (Decoupling)'!G20</f>
        <v>-311.2</v>
      </c>
      <c r="O17" s="155">
        <f>'Schedule 149 Revenue'!$F$15</f>
        <v>342.70052480000004</v>
      </c>
      <c r="P17" s="161">
        <f t="shared" si="0"/>
        <v>21454.119753599993</v>
      </c>
      <c r="Q17" s="155">
        <f>'Schedule 149 Revenue'!$G$15</f>
        <v>-342.70052480000004</v>
      </c>
      <c r="R17" s="224">
        <f t="shared" si="1"/>
        <v>-1.5973646494748171E-2</v>
      </c>
    </row>
    <row r="18" spans="2:21" x14ac:dyDescent="0.25">
      <c r="B18" t="s">
        <v>34</v>
      </c>
      <c r="C18" t="s">
        <v>35</v>
      </c>
      <c r="D18" s="183">
        <f>'Normalized Therms'!P18</f>
        <v>20617014.420000002</v>
      </c>
      <c r="E18" s="155">
        <f>'[66]Margin Exhibit'!$F$18</f>
        <v>4134585.1304114936</v>
      </c>
      <c r="F18" s="155">
        <f>'[66]Margin Exhibit'!$E$18</f>
        <v>14431.910093999999</v>
      </c>
      <c r="G18" s="208"/>
      <c r="H18" s="155"/>
      <c r="I18" s="155">
        <f>'Schedule 129 Revenue'!G14</f>
        <v>46388.282444999997</v>
      </c>
      <c r="J18" s="155">
        <f>'Schedule 140 Revenue'!F16</f>
        <v>184316.10891480002</v>
      </c>
      <c r="K18" s="155">
        <f>SUM('Schedule 141 Revenue'!$G$44:$G$51)</f>
        <v>176127.76</v>
      </c>
      <c r="L18" s="155">
        <f>SUM('Schedule 141X Revenue'!$G$44:$G$51)</f>
        <v>-56536.06</v>
      </c>
      <c r="M18" s="155">
        <f>'Schedule 141Y Revenue'!F16</f>
        <v>-96075.287197200014</v>
      </c>
      <c r="N18" s="155">
        <f>'Sch 142 Revenue (Decoupling)'!G36</f>
        <v>-23748.39</v>
      </c>
      <c r="O18" s="155">
        <f>'Schedule 149 Revenue'!$F$16</f>
        <v>128237.8296924</v>
      </c>
      <c r="P18" s="161">
        <f>SUM(E18:O18)</f>
        <v>4507727.2843604945</v>
      </c>
      <c r="Q18" s="155">
        <f>'Schedule 149 Revenue'!$G$16</f>
        <v>-128237.8296924</v>
      </c>
      <c r="R18" s="224">
        <f t="shared" si="1"/>
        <v>-2.8448444549278661E-2</v>
      </c>
    </row>
    <row r="19" spans="2:21" x14ac:dyDescent="0.25">
      <c r="B19" t="s">
        <v>36</v>
      </c>
      <c r="C19" t="s">
        <v>37</v>
      </c>
      <c r="D19" s="183">
        <f>'Normalized Therms'!P19</f>
        <v>74832158.210000008</v>
      </c>
      <c r="E19" s="155">
        <f>'[66]Margin Exhibit'!$F$21</f>
        <v>6939827.0018267175</v>
      </c>
      <c r="F19" s="155">
        <f>'[66]Margin Exhibit'!$E$21</f>
        <v>52382.510747000008</v>
      </c>
      <c r="G19" s="208"/>
      <c r="H19" s="155"/>
      <c r="I19" s="155">
        <f>'Schedule 129 Revenue'!G38</f>
        <v>75651.662073700005</v>
      </c>
      <c r="J19" s="155">
        <f>'Schedule 140 Revenue'!F17</f>
        <v>377902.39896050002</v>
      </c>
      <c r="K19" s="155">
        <f>SUM('Schedule 141 Revenue'!$G$64:$G$70)</f>
        <v>298624.85000000003</v>
      </c>
      <c r="L19" s="155">
        <f>SUM('Schedule 141X Revenue'!$G$64:$G$70)</f>
        <v>-95474.420000000013</v>
      </c>
      <c r="M19" s="155">
        <f>'Schedule 141Y Revenue'!F17</f>
        <v>-191570.32501760003</v>
      </c>
      <c r="N19" s="155"/>
      <c r="O19" s="155">
        <f>'Schedule 149 Revenue'!$F$17</f>
        <v>247694.44367510002</v>
      </c>
      <c r="P19" s="161">
        <f t="shared" si="0"/>
        <v>7705038.1222654162</v>
      </c>
      <c r="Q19" s="155">
        <f>'Schedule 149 Revenue'!$G$17</f>
        <v>-247694.44367510002</v>
      </c>
      <c r="R19" s="224">
        <f t="shared" si="1"/>
        <v>-3.2147075685366434E-2</v>
      </c>
    </row>
    <row r="20" spans="2:21" x14ac:dyDescent="0.25">
      <c r="B20" t="s">
        <v>38</v>
      </c>
      <c r="C20" t="s">
        <v>39</v>
      </c>
      <c r="D20" s="183">
        <f>'Normalized Therms'!P20</f>
        <v>351288.14999999997</v>
      </c>
      <c r="E20" s="155">
        <f>'[66]Margin Exhibit'!$F$23</f>
        <v>70956.431430000011</v>
      </c>
      <c r="F20" s="155">
        <f>'[66]Margin Exhibit'!$E$23</f>
        <v>245.90170500000005</v>
      </c>
      <c r="G20" s="208"/>
      <c r="H20" s="155"/>
      <c r="I20" s="155">
        <f>'Schedule 129 Revenue'!G23</f>
        <v>769.32104849999996</v>
      </c>
      <c r="J20" s="155">
        <f>'Schedule 140 Revenue'!F18</f>
        <v>2694.3801104999998</v>
      </c>
      <c r="K20" s="155">
        <f>SUM('Schedule 141 Revenue'!$G$82:$G$88)</f>
        <v>3382.4199999999996</v>
      </c>
      <c r="L20" s="155">
        <f>SUM('Schedule 141X Revenue'!$G$82:$G$88)</f>
        <v>-1085.83</v>
      </c>
      <c r="M20" s="155">
        <f>'Schedule 141Y Revenue'!F18</f>
        <v>-1464.8715854999998</v>
      </c>
      <c r="N20" s="155">
        <f>'Sch 142 Revenue (Decoupling)'!G53</f>
        <v>-379.1</v>
      </c>
      <c r="O20" s="155">
        <f>'Schedule 149 Revenue'!$F$18</f>
        <v>1457.8458224999999</v>
      </c>
      <c r="P20" s="161">
        <f t="shared" si="0"/>
        <v>76576.498531000005</v>
      </c>
      <c r="Q20" s="155">
        <f>'Schedule 149 Revenue'!$G$18</f>
        <v>-1457.8458224999999</v>
      </c>
      <c r="R20" s="224">
        <f t="shared" si="1"/>
        <v>-1.9037770732097774E-2</v>
      </c>
    </row>
    <row r="21" spans="2:21" x14ac:dyDescent="0.25">
      <c r="B21" t="s">
        <v>40</v>
      </c>
      <c r="C21" t="s">
        <v>41</v>
      </c>
      <c r="D21" s="183">
        <f>'Normalized Therms'!P21</f>
        <v>100227307.72999999</v>
      </c>
      <c r="E21" s="155">
        <f>'[66]Margin Exhibit'!$F$25</f>
        <v>3528120.300234559</v>
      </c>
      <c r="F21" s="155">
        <f>'[66]Margin Exhibit'!$E$25</f>
        <v>70159.115411000006</v>
      </c>
      <c r="G21" s="155"/>
      <c r="H21" s="155"/>
      <c r="I21" s="155">
        <f>'Schedule 129 Revenue'!G47</f>
        <v>36781.410065199998</v>
      </c>
      <c r="J21" s="155">
        <f>'Schedule 140 Revenue'!F19</f>
        <v>273620.55010289996</v>
      </c>
      <c r="K21" s="155">
        <f>SUM('Schedule 141 Revenue'!$G$104:$G$114)</f>
        <v>152750.99</v>
      </c>
      <c r="L21" s="155">
        <f>SUM('Schedule 141X Revenue'!$G$104:$G$114)</f>
        <v>-48580.81</v>
      </c>
      <c r="M21" s="155">
        <f>'Schedule 141Y Revenue'!F19</f>
        <v>-138313.68466739997</v>
      </c>
      <c r="N21" s="155"/>
      <c r="O21" s="155">
        <f>'Schedule 149 Revenue'!$F$19</f>
        <v>202459.16161459999</v>
      </c>
      <c r="P21" s="161">
        <f t="shared" si="0"/>
        <v>4076997.0327608585</v>
      </c>
      <c r="Q21" s="155">
        <f>'Schedule 149 Revenue'!$G$19</f>
        <v>-202459.16161459999</v>
      </c>
      <c r="R21" s="224">
        <f t="shared" si="1"/>
        <v>-4.96588935404495E-2</v>
      </c>
    </row>
    <row r="22" spans="2:21" x14ac:dyDescent="0.25">
      <c r="B22" t="s">
        <v>13</v>
      </c>
      <c r="D22" s="183">
        <f>'Normalized Therms'!P22</f>
        <v>37090866.75</v>
      </c>
      <c r="E22" s="155">
        <f>'[66]Margin Exhibit'!$F$26</f>
        <v>1719215.5127806603</v>
      </c>
      <c r="F22" s="155"/>
      <c r="G22" s="155"/>
      <c r="H22" s="155"/>
      <c r="I22" s="155"/>
      <c r="J22" s="155">
        <f>'Schedule 140 Revenue'!F20</f>
        <v>127221.6729525</v>
      </c>
      <c r="K22" s="155">
        <f>'Schedule 141 Revenue'!$G$139</f>
        <v>35274.722042470239</v>
      </c>
      <c r="L22" s="155">
        <f>'Schedule 141X Revenue'!$G$139</f>
        <v>-11662.625379653648</v>
      </c>
      <c r="M22" s="155">
        <f>'Schedule 141Y Revenue'!F20</f>
        <v>-64538.108144999998</v>
      </c>
      <c r="N22" s="155"/>
      <c r="O22" s="155">
        <f>'Schedule 149 Revenue'!$F$20</f>
        <v>91614.440872499996</v>
      </c>
      <c r="P22" s="161">
        <f t="shared" si="0"/>
        <v>1897125.6151234768</v>
      </c>
      <c r="Q22" s="155">
        <f>'Schedule 149 Revenue'!$G$20</f>
        <v>-91614.440872499996</v>
      </c>
      <c r="R22" s="224">
        <f t="shared" si="1"/>
        <v>-4.8291183326064129E-2</v>
      </c>
    </row>
    <row r="23" spans="2:21" x14ac:dyDescent="0.25">
      <c r="B23" t="s">
        <v>6</v>
      </c>
      <c r="D23" s="15">
        <f>SUM(D10:D22)</f>
        <v>1191987097.6689999</v>
      </c>
      <c r="E23" s="16">
        <f>SUM(E10:E22)</f>
        <v>444800349.19058317</v>
      </c>
      <c r="F23" s="16">
        <f t="shared" ref="F23:H23" si="2">SUM(F10:F22)</f>
        <v>307157819.0095886</v>
      </c>
      <c r="G23" s="16">
        <f t="shared" si="2"/>
        <v>-3679889.1100000008</v>
      </c>
      <c r="H23" s="16">
        <f t="shared" si="2"/>
        <v>17273902.083715532</v>
      </c>
      <c r="I23" s="16">
        <f>SUM(I10:I22)</f>
        <v>4643715.5405225391</v>
      </c>
      <c r="J23" s="16">
        <f>SUM(J10:J22)</f>
        <v>21348149.173725639</v>
      </c>
      <c r="K23" s="16">
        <f>SUM(K10:K22)</f>
        <v>27748296.34204248</v>
      </c>
      <c r="L23" s="16">
        <f>SUM(L10:L22)</f>
        <v>-6113865.4553796528</v>
      </c>
      <c r="M23" s="16">
        <f>SUM(M10:M22)</f>
        <v>-10122925.472087499</v>
      </c>
      <c r="N23" s="16">
        <f t="shared" ref="N23:P23" si="3">SUM(N10:N22)</f>
        <v>9464770.290000001</v>
      </c>
      <c r="O23" s="16">
        <f t="shared" si="3"/>
        <v>10620091.678408891</v>
      </c>
      <c r="P23" s="162">
        <f t="shared" si="3"/>
        <v>823140413.27111971</v>
      </c>
      <c r="Q23" s="16">
        <f>SUM(Q10:Q22)</f>
        <v>-10620091.678408891</v>
      </c>
      <c r="R23" s="225">
        <f t="shared" si="1"/>
        <v>-1.2901919899917399E-2</v>
      </c>
      <c r="S23" s="12"/>
    </row>
    <row r="24" spans="2:21" s="24" customFormat="1" x14ac:dyDescent="0.25">
      <c r="B24" s="17"/>
      <c r="C24" s="18"/>
      <c r="D24" s="21"/>
      <c r="E24" s="22"/>
      <c r="F24" s="21"/>
      <c r="G24" s="21"/>
      <c r="H24" s="21"/>
      <c r="I24" s="20"/>
      <c r="J24" s="20"/>
      <c r="K24" s="20"/>
      <c r="L24" s="20"/>
      <c r="M24" s="21"/>
      <c r="N24" s="20"/>
      <c r="O24" s="20"/>
      <c r="P24" s="20"/>
      <c r="Q24" s="23"/>
      <c r="R24" s="27"/>
    </row>
    <row r="25" spans="2:21" s="24" customFormat="1" ht="17.25" x14ac:dyDescent="0.25">
      <c r="B25" s="17" t="s">
        <v>365</v>
      </c>
      <c r="C25" s="17"/>
      <c r="D25" s="207">
        <f>'12ME Dec18 Rentals'!$O$30</f>
        <v>351449</v>
      </c>
      <c r="E25" s="155">
        <f>'[66]Revenue Exhibit'!$Q$29</f>
        <v>5310380.6899999985</v>
      </c>
      <c r="F25" s="19"/>
      <c r="G25" s="21"/>
      <c r="H25" s="21"/>
      <c r="I25" s="155"/>
      <c r="J25" s="155">
        <f>'Schedule 140 Revenue'!F23</f>
        <v>182753.48</v>
      </c>
      <c r="K25" s="155">
        <f>SUM('Schedule 141 Revenue'!$G$117:$G$137)</f>
        <v>227387.05</v>
      </c>
      <c r="L25" s="155">
        <f>SUM('Schedule 141X Revenue'!$G$117:$G$137)</f>
        <v>-73243.630000000019</v>
      </c>
      <c r="M25" s="155">
        <f>'Schedule 141Y Revenue'!F23</f>
        <v>-24601.430000000004</v>
      </c>
      <c r="N25" s="155"/>
      <c r="O25" s="229"/>
      <c r="P25" s="161">
        <f>SUM(E25:O25)</f>
        <v>5622676.1599999992</v>
      </c>
      <c r="Q25" s="155"/>
      <c r="R25" s="224">
        <f>Q25/P25</f>
        <v>0</v>
      </c>
      <c r="S25" s="27"/>
      <c r="T25" s="25"/>
      <c r="U25" s="28"/>
    </row>
    <row r="26" spans="2:21" s="24" customFormat="1" x14ac:dyDescent="0.25">
      <c r="B26" s="197" t="s">
        <v>6</v>
      </c>
      <c r="C26" s="197"/>
      <c r="D26" s="31"/>
      <c r="E26" s="30">
        <f>E23+E25</f>
        <v>450110729.88058317</v>
      </c>
      <c r="F26" s="30">
        <f t="shared" ref="F26:H26" si="4">F23+F25</f>
        <v>307157819.0095886</v>
      </c>
      <c r="G26" s="30">
        <f t="shared" si="4"/>
        <v>-3679889.1100000008</v>
      </c>
      <c r="H26" s="30">
        <f t="shared" si="4"/>
        <v>17273902.083715532</v>
      </c>
      <c r="I26" s="30">
        <f>I23+I25</f>
        <v>4643715.5405225391</v>
      </c>
      <c r="J26" s="30">
        <f>J23+J25</f>
        <v>21530902.653725639</v>
      </c>
      <c r="K26" s="30">
        <f>K23+K25</f>
        <v>27975683.39204248</v>
      </c>
      <c r="L26" s="30">
        <f>L23+L25</f>
        <v>-6187109.0853796527</v>
      </c>
      <c r="M26" s="30">
        <f>M23+M25</f>
        <v>-10147526.902087498</v>
      </c>
      <c r="N26" s="30">
        <f t="shared" ref="N26:Q26" si="5">N23+N25</f>
        <v>9464770.290000001</v>
      </c>
      <c r="O26" s="30">
        <f t="shared" si="5"/>
        <v>10620091.678408891</v>
      </c>
      <c r="P26" s="30">
        <f t="shared" si="5"/>
        <v>828763089.43111968</v>
      </c>
      <c r="Q26" s="30">
        <f t="shared" si="5"/>
        <v>-10620091.678408891</v>
      </c>
      <c r="R26" s="225">
        <f>Q26/P26</f>
        <v>-1.2814387867706251E-2</v>
      </c>
      <c r="S26" s="27"/>
    </row>
    <row r="27" spans="2:21" x14ac:dyDescent="0.25">
      <c r="I27" s="12"/>
      <c r="L27" s="12"/>
      <c r="M27" s="12"/>
      <c r="N27" s="12"/>
      <c r="P27" s="12"/>
      <c r="R27" s="226"/>
    </row>
    <row r="28" spans="2:21" x14ac:dyDescent="0.25">
      <c r="D28" s="32"/>
      <c r="I28" s="12"/>
      <c r="M28" s="12"/>
      <c r="N28" s="12"/>
      <c r="P28" s="12"/>
      <c r="R28" s="226"/>
    </row>
    <row r="29" spans="2:21" s="24" customFormat="1" x14ac:dyDescent="0.25">
      <c r="B29" s="33" t="s">
        <v>42</v>
      </c>
      <c r="C29" s="33"/>
      <c r="Q29" s="34"/>
      <c r="R29" s="27"/>
    </row>
    <row r="30" spans="2:21" s="24" customFormat="1" x14ac:dyDescent="0.25">
      <c r="B30" s="197" t="s">
        <v>43</v>
      </c>
      <c r="C30" s="197"/>
      <c r="D30" s="304">
        <f>D10+D11</f>
        <v>613671517.73199999</v>
      </c>
      <c r="E30" s="35">
        <f>E10+E11</f>
        <v>315765060.46092266</v>
      </c>
      <c r="I30" s="35"/>
      <c r="M30" s="35"/>
      <c r="N30" s="35"/>
      <c r="P30" s="35">
        <f>P10+P11</f>
        <v>569368818.98832858</v>
      </c>
      <c r="Q30" s="12">
        <f>SUM(Q10:Q11)</f>
        <v>-6879257.7137757204</v>
      </c>
      <c r="R30" s="224">
        <f t="shared" ref="R30:R37" si="6">Q30/P30</f>
        <v>-1.2082252284203041E-2</v>
      </c>
      <c r="S30" s="36"/>
    </row>
    <row r="31" spans="2:21" s="24" customFormat="1" x14ac:dyDescent="0.25">
      <c r="B31" s="37" t="s">
        <v>44</v>
      </c>
      <c r="C31" s="37"/>
      <c r="D31" s="304">
        <f>D12+D17</f>
        <v>232276721.11300004</v>
      </c>
      <c r="E31" s="35">
        <f>E12+E17</f>
        <v>92796856.694331929</v>
      </c>
      <c r="F31" s="39"/>
      <c r="G31" s="39"/>
      <c r="H31" s="39"/>
      <c r="I31" s="35"/>
      <c r="K31" s="39"/>
      <c r="M31" s="35"/>
      <c r="N31" s="35"/>
      <c r="O31" s="39"/>
      <c r="P31" s="35">
        <f>P12+P17</f>
        <v>179232779.05779585</v>
      </c>
      <c r="Q31" s="12">
        <f>SUM(Q12,Q17)</f>
        <v>-2527170.7257094407</v>
      </c>
      <c r="R31" s="224">
        <f t="shared" si="6"/>
        <v>-1.4099936066351584E-2</v>
      </c>
    </row>
    <row r="32" spans="2:21" s="24" customFormat="1" x14ac:dyDescent="0.25">
      <c r="B32" s="197" t="s">
        <v>45</v>
      </c>
      <c r="C32" s="197"/>
      <c r="D32" s="304">
        <f t="shared" ref="D32:D35" si="7">D13+D18</f>
        <v>86114878.978000015</v>
      </c>
      <c r="E32" s="35">
        <f>E13+E18</f>
        <v>19454802.719315261</v>
      </c>
      <c r="F32" s="39"/>
      <c r="G32" s="39"/>
      <c r="H32" s="39"/>
      <c r="I32" s="35"/>
      <c r="K32" s="39"/>
      <c r="M32" s="35"/>
      <c r="N32" s="35"/>
      <c r="O32" s="39"/>
      <c r="P32" s="35">
        <f>P13+P18</f>
        <v>42103978.156928271</v>
      </c>
      <c r="Q32" s="12">
        <f>SUM(Q13,Q18)</f>
        <v>-535634.54724316008</v>
      </c>
      <c r="R32" s="224">
        <f t="shared" si="6"/>
        <v>-1.2721708747965913E-2</v>
      </c>
    </row>
    <row r="33" spans="2:18" s="24" customFormat="1" x14ac:dyDescent="0.25">
      <c r="B33" s="197" t="s">
        <v>46</v>
      </c>
      <c r="C33" s="197"/>
      <c r="D33" s="304">
        <f t="shared" si="7"/>
        <v>90620156.764000013</v>
      </c>
      <c r="E33" s="35">
        <f>E14+E19</f>
        <v>8492873.3062446248</v>
      </c>
      <c r="F33" s="39"/>
      <c r="G33" s="39"/>
      <c r="H33" s="39"/>
      <c r="I33" s="35"/>
      <c r="K33" s="39"/>
      <c r="M33" s="35"/>
      <c r="N33" s="35"/>
      <c r="O33" s="39"/>
      <c r="P33" s="35">
        <f>P14+P19</f>
        <v>14039679.516897824</v>
      </c>
      <c r="Q33" s="12">
        <f>SUM(Q14,Q19)</f>
        <v>-299952.71888884</v>
      </c>
      <c r="R33" s="224">
        <f t="shared" si="6"/>
        <v>-2.1364641445541833E-2</v>
      </c>
    </row>
    <row r="34" spans="2:18" s="24" customFormat="1" x14ac:dyDescent="0.25">
      <c r="B34" s="197" t="s">
        <v>47</v>
      </c>
      <c r="C34" s="197"/>
      <c r="D34" s="304">
        <f t="shared" si="7"/>
        <v>9103924.943</v>
      </c>
      <c r="E34" s="35">
        <f>E15+E20</f>
        <v>1968288.2871231537</v>
      </c>
      <c r="F34" s="39"/>
      <c r="G34" s="39"/>
      <c r="H34" s="39"/>
      <c r="I34" s="195"/>
      <c r="K34" s="39"/>
      <c r="M34" s="195"/>
      <c r="N34" s="195"/>
      <c r="O34" s="39"/>
      <c r="P34" s="35">
        <f>P15+P20</f>
        <v>4711187.0154855419</v>
      </c>
      <c r="Q34" s="12">
        <f>SUM(Q15,Q20)</f>
        <v>-37781.288513449996</v>
      </c>
      <c r="R34" s="224">
        <f t="shared" si="6"/>
        <v>-8.0194839197136394E-3</v>
      </c>
    </row>
    <row r="35" spans="2:18" s="24" customFormat="1" x14ac:dyDescent="0.25">
      <c r="B35" s="17" t="s">
        <v>48</v>
      </c>
      <c r="C35" s="17"/>
      <c r="D35" s="304">
        <f t="shared" si="7"/>
        <v>123109031.389</v>
      </c>
      <c r="E35" s="35">
        <f>E16+E21</f>
        <v>4603252.2098648353</v>
      </c>
      <c r="F35" s="38"/>
      <c r="G35" s="38"/>
      <c r="H35" s="38"/>
      <c r="I35" s="195"/>
      <c r="K35" s="38"/>
      <c r="M35" s="195"/>
      <c r="N35" s="195"/>
      <c r="O35" s="38"/>
      <c r="P35" s="35">
        <f>P16+P21</f>
        <v>11786844.920559984</v>
      </c>
      <c r="Q35" s="12">
        <f>SUM(Q16,Q21)</f>
        <v>-248680.24340578</v>
      </c>
      <c r="R35" s="224">
        <f t="shared" si="6"/>
        <v>-2.109811786630051E-2</v>
      </c>
    </row>
    <row r="36" spans="2:18" s="24" customFormat="1" x14ac:dyDescent="0.25">
      <c r="B36" s="305" t="s">
        <v>13</v>
      </c>
      <c r="C36" s="17"/>
      <c r="D36" s="304">
        <f>D22</f>
        <v>37090866.75</v>
      </c>
      <c r="E36" s="35">
        <f>E22</f>
        <v>1719215.5127806603</v>
      </c>
      <c r="F36" s="38"/>
      <c r="G36" s="38"/>
      <c r="H36" s="38"/>
      <c r="I36" s="195"/>
      <c r="K36" s="38"/>
      <c r="M36" s="195"/>
      <c r="N36" s="195"/>
      <c r="O36" s="38"/>
      <c r="P36" s="35">
        <f>P22</f>
        <v>1897125.6151234768</v>
      </c>
      <c r="Q36" s="12">
        <f>Q22</f>
        <v>-91614.440872499996</v>
      </c>
      <c r="R36" s="224">
        <f t="shared" si="6"/>
        <v>-4.8291183326064129E-2</v>
      </c>
    </row>
    <row r="37" spans="2:18" s="24" customFormat="1" x14ac:dyDescent="0.25">
      <c r="B37" s="40" t="s">
        <v>14</v>
      </c>
      <c r="C37" s="40"/>
      <c r="D37" s="306">
        <f>SUM(D30:D36)</f>
        <v>1191987097.6690001</v>
      </c>
      <c r="E37" s="41">
        <f>SUM(E30:E36)</f>
        <v>444800349.19058317</v>
      </c>
      <c r="F37" s="31"/>
      <c r="G37" s="31"/>
      <c r="H37" s="38"/>
      <c r="I37" s="195"/>
      <c r="K37" s="38"/>
      <c r="M37" s="195"/>
      <c r="N37" s="195"/>
      <c r="O37" s="38"/>
      <c r="P37" s="41">
        <f>SUM(P30:P36)</f>
        <v>823140413.27111959</v>
      </c>
      <c r="Q37" s="41">
        <f>SUM(Q30:Q36)</f>
        <v>-10620091.678408889</v>
      </c>
      <c r="R37" s="225">
        <f t="shared" si="6"/>
        <v>-1.2901919899917399E-2</v>
      </c>
    </row>
    <row r="38" spans="2:18" s="24" customFormat="1" x14ac:dyDescent="0.25">
      <c r="B38" s="17"/>
      <c r="C38" s="17"/>
      <c r="D38" s="304"/>
      <c r="E38" s="35"/>
      <c r="F38" s="31"/>
      <c r="G38" s="31"/>
      <c r="H38" s="38"/>
      <c r="I38" s="195"/>
      <c r="K38" s="38"/>
      <c r="M38" s="195"/>
      <c r="N38" s="195"/>
      <c r="O38" s="38"/>
      <c r="P38" s="35"/>
      <c r="Q38" s="35"/>
      <c r="R38" s="224"/>
    </row>
    <row r="39" spans="2:18" s="24" customFormat="1" x14ac:dyDescent="0.25">
      <c r="B39" s="17" t="s">
        <v>340</v>
      </c>
      <c r="C39" s="17"/>
      <c r="D39" s="304"/>
      <c r="E39" s="35">
        <f>E25</f>
        <v>5310380.6899999985</v>
      </c>
      <c r="F39" s="31"/>
      <c r="G39" s="31"/>
      <c r="H39" s="38"/>
      <c r="I39" s="195"/>
      <c r="K39" s="38"/>
      <c r="M39" s="195"/>
      <c r="N39" s="195"/>
      <c r="O39" s="38"/>
      <c r="P39" s="35">
        <f>P25</f>
        <v>5622676.1599999992</v>
      </c>
      <c r="Q39" s="12">
        <f>Q25</f>
        <v>0</v>
      </c>
      <c r="R39" s="224">
        <f>Q39/P39</f>
        <v>0</v>
      </c>
    </row>
    <row r="40" spans="2:18" s="31" customFormat="1" x14ac:dyDescent="0.25">
      <c r="B40" s="197" t="s">
        <v>6</v>
      </c>
      <c r="C40" s="197"/>
      <c r="D40" s="306">
        <f>D39+D37</f>
        <v>1191987097.6690001</v>
      </c>
      <c r="E40" s="41">
        <f>E39+E37</f>
        <v>450110729.88058317</v>
      </c>
      <c r="I40" s="195"/>
      <c r="M40" s="195"/>
      <c r="N40" s="195"/>
      <c r="P40" s="41">
        <f>P39+P37</f>
        <v>828763089.43111956</v>
      </c>
      <c r="Q40" s="41">
        <f>Q39+Q37</f>
        <v>-10620091.678408889</v>
      </c>
      <c r="R40" s="225">
        <f>Q40/P40</f>
        <v>-1.2814387867706251E-2</v>
      </c>
    </row>
    <row r="41" spans="2:18" s="24" customFormat="1" x14ac:dyDescent="0.25">
      <c r="B41" s="31"/>
      <c r="C41" s="31"/>
      <c r="F41" s="39"/>
      <c r="I41" s="31"/>
      <c r="K41" s="31"/>
      <c r="M41" s="31"/>
      <c r="N41" s="31"/>
      <c r="O41" s="31"/>
      <c r="P41" s="31"/>
      <c r="Q41" s="42"/>
    </row>
    <row r="42" spans="2:18" ht="17.25" x14ac:dyDescent="0.25">
      <c r="B42" t="s">
        <v>442</v>
      </c>
      <c r="E42" s="165"/>
      <c r="I42" s="32"/>
      <c r="M42" s="32"/>
      <c r="N42" s="32"/>
      <c r="P42" s="32"/>
    </row>
    <row r="43" spans="2:18" ht="17.25" x14ac:dyDescent="0.25">
      <c r="B43" t="s">
        <v>396</v>
      </c>
      <c r="I43" s="32"/>
      <c r="M43" s="32"/>
      <c r="N43" s="32"/>
      <c r="P43" s="32"/>
    </row>
    <row r="44" spans="2:18" ht="17.25" x14ac:dyDescent="0.25">
      <c r="B44" t="s">
        <v>398</v>
      </c>
    </row>
  </sheetData>
  <mergeCells count="4">
    <mergeCell ref="B1:R1"/>
    <mergeCell ref="B2:R2"/>
    <mergeCell ref="B3:R3"/>
    <mergeCell ref="B4:R4"/>
  </mergeCells>
  <printOptions horizontalCentered="1"/>
  <pageMargins left="0.45" right="0.45" top="0.75" bottom="0.75" header="0.3" footer="0.3"/>
  <pageSetup paperSize="5" scale="57" orientation="landscape" blackAndWhite="1" r:id="rId1"/>
  <headerFooter>
    <oddFooter>&amp;L&amp;F 
&amp;A&amp;C&amp;P&amp;R&amp;D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A7E2AED-52D7-4817-8702-4CC3D04AC1CD}"/>
</file>

<file path=customXml/itemProps2.xml><?xml version="1.0" encoding="utf-8"?>
<ds:datastoreItem xmlns:ds="http://schemas.openxmlformats.org/officeDocument/2006/customXml" ds:itemID="{4A6419EA-4BC8-407D-A195-B447F65E4B27}"/>
</file>

<file path=customXml/itemProps3.xml><?xml version="1.0" encoding="utf-8"?>
<ds:datastoreItem xmlns:ds="http://schemas.openxmlformats.org/officeDocument/2006/customXml" ds:itemID="{568DDC13-58A2-421E-8B8C-7A7BFC23DF8B}"/>
</file>

<file path=customXml/itemProps4.xml><?xml version="1.0" encoding="utf-8"?>
<ds:datastoreItem xmlns:ds="http://schemas.openxmlformats.org/officeDocument/2006/customXml" ds:itemID="{AE3D5663-A1A1-4FAB-97A5-B464284B88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25</vt:i4>
      </vt:variant>
    </vt:vector>
  </HeadingPairs>
  <TitlesOfParts>
    <vt:vector size="54" baseType="lpstr">
      <vt:lpstr>Combined Impacts</vt:lpstr>
      <vt:lpstr>Typical Res Bill Impact</vt:lpstr>
      <vt:lpstr>Work Papers--&gt;</vt:lpstr>
      <vt:lpstr>Individual Impacts--&gt;</vt:lpstr>
      <vt:lpstr>Average Rate Impacts</vt:lpstr>
      <vt:lpstr>Base Rate Impacts</vt:lpstr>
      <vt:lpstr>Sch. 141 Impacts</vt:lpstr>
      <vt:lpstr>Sch. 141X Impacts</vt:lpstr>
      <vt:lpstr>Sch. 149 Impacts</vt:lpstr>
      <vt:lpstr>Rider Revenue Calculation--&gt;</vt:lpstr>
      <vt:lpstr>Schedule 106 Revenue</vt:lpstr>
      <vt:lpstr>Schedule 120 Revenue</vt:lpstr>
      <vt:lpstr>Schedule 129 Revenue</vt:lpstr>
      <vt:lpstr>Schedule 132 Revenue</vt:lpstr>
      <vt:lpstr>Schedule 140 Revenue</vt:lpstr>
      <vt:lpstr>Schedule 141 Revenue</vt:lpstr>
      <vt:lpstr>Schedule 141X Revenue</vt:lpstr>
      <vt:lpstr>Schedule 141Y Revenue</vt:lpstr>
      <vt:lpstr>Sch 142 Revenue (Decoupling)</vt:lpstr>
      <vt:lpstr>Sch 142 Revenue (Rate Plan)</vt:lpstr>
      <vt:lpstr>Schedule 149 Revenue</vt:lpstr>
      <vt:lpstr>Data--&gt;</vt:lpstr>
      <vt:lpstr>Normalized Therms</vt:lpstr>
      <vt:lpstr>12ME Dec18 Rentals</vt:lpstr>
      <vt:lpstr>12ME Dec18 Data</vt:lpstr>
      <vt:lpstr>12ME Dec18 Bill Freq</vt:lpstr>
      <vt:lpstr>12ME Dec18 Norm Therms</vt:lpstr>
      <vt:lpstr>12ME Dec18 Cal Bill Freq</vt:lpstr>
      <vt:lpstr>12ME Dec18 Weather Adj</vt:lpstr>
      <vt:lpstr>'12ME Dec18 Bill Freq'!Print_Area</vt:lpstr>
      <vt:lpstr>'12ME Dec18 Cal Bill Freq'!Print_Area</vt:lpstr>
      <vt:lpstr>'12ME Dec18 Norm Therms'!Print_Area</vt:lpstr>
      <vt:lpstr>'12ME Dec18 Weather Adj'!Print_Area</vt:lpstr>
      <vt:lpstr>'Average Rate Impacts'!Print_Area</vt:lpstr>
      <vt:lpstr>'Base Rate Impacts'!Print_Area</vt:lpstr>
      <vt:lpstr>'Combined Impacts'!Print_Area</vt:lpstr>
      <vt:lpstr>'Sch. 141 Impacts'!Print_Area</vt:lpstr>
      <vt:lpstr>'Sch. 141X Impacts'!Print_Area</vt:lpstr>
      <vt:lpstr>'Sch. 149 Impacts'!Print_Area</vt:lpstr>
      <vt:lpstr>'Schedule 129 Revenue'!Print_Area</vt:lpstr>
      <vt:lpstr>'Schedule 140 Revenue'!Print_Area</vt:lpstr>
      <vt:lpstr>'Schedule 141 Revenue'!Print_Area</vt:lpstr>
      <vt:lpstr>'Schedule 141X Revenue'!Print_Area</vt:lpstr>
      <vt:lpstr>'Schedule 141Y Revenue'!Print_Area</vt:lpstr>
      <vt:lpstr>'Schedule 149 Revenue'!Print_Area</vt:lpstr>
      <vt:lpstr>'Typical Res Bill Impact'!Print_Area</vt:lpstr>
      <vt:lpstr>'12ME Dec18 Bill Freq'!Print_Titles</vt:lpstr>
      <vt:lpstr>'12ME Dec18 Cal Bill Freq'!Print_Titles</vt:lpstr>
      <vt:lpstr>'12ME Dec18 Norm Therms'!Print_Titles</vt:lpstr>
      <vt:lpstr>'12ME Dec18 Weather Adj'!Print_Titles</vt:lpstr>
      <vt:lpstr>'Sch 142 Revenue (Decoupling)'!Print_Titles</vt:lpstr>
      <vt:lpstr>'Sch 142 Revenue (Rate Plan)'!Print_Titles</vt:lpstr>
      <vt:lpstr>'Schedule 141 Revenue'!Print_Titles</vt:lpstr>
      <vt:lpstr>'Schedule 141X Revenue'!Print_Titles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KXu</dc:creator>
  <cp:lastModifiedBy>NC</cp:lastModifiedBy>
  <cp:lastPrinted>2019-06-12T18:23:23Z</cp:lastPrinted>
  <dcterms:created xsi:type="dcterms:W3CDTF">2015-03-25T23:20:22Z</dcterms:created>
  <dcterms:modified xsi:type="dcterms:W3CDTF">2019-06-13T20:49:25Z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