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12C18E89-EA0E-4D2A-AB9A-0A98A27D5B11}" xr6:coauthVersionLast="44" xr6:coauthVersionMax="44" xr10:uidLastSave="{00000000-0000-0000-0000-000000000000}"/>
  <bookViews>
    <workbookView xWindow="1905" yWindow="165" windowWidth="13440" windowHeight="16200" xr2:uid="{FF1B58DB-B747-4ECD-8C95-18238BF67FB8}"/>
  </bookViews>
  <sheets>
    <sheet name="Index" sheetId="68" r:id="rId1"/>
    <sheet name="Summary" sheetId="67" r:id="rId2"/>
    <sheet name="Peak Calc CP" sheetId="3" r:id="rId3"/>
    <sheet name="Peak Calc NCP" sheetId="4" r:id="rId4"/>
    <sheet name="Schedule Shifting Adj - ID" sheetId="65" r:id="rId5"/>
    <sheet name="Peak Calc Billing kW est" sheetId="64" r:id="rId6"/>
    <sheet name="Generation Level Energy" sheetId="66" r:id="rId7"/>
    <sheet name="WA DemEst" sheetId="19" r:id="rId8"/>
    <sheet name="ID DemEst" sheetId="20" r:id="rId9"/>
    <sheet name="PT Ratio" sheetId="45" r:id="rId10"/>
    <sheet name="Electric Factors " sheetId="54" r:id="rId11"/>
    <sheet name="2019 Daylight" sheetId="61" r:id="rId12"/>
    <sheet name="Load Shape" sheetId="40" r:id="rId13"/>
    <sheet name="Notes" sheetId="21" r:id="rId14"/>
    <sheet name="WA Sch 25 (12.2019)" sheetId="62" r:id="rId15"/>
    <sheet name="ID Sch 25 (12.2019)" sheetId="63" r:id="rId16"/>
    <sheet name="12.2019 WA Usage" sheetId="47" r:id="rId17"/>
    <sheet name="12.2019 ID Usage" sheetId="49" r:id="rId18"/>
    <sheet name="Losses" sheetId="5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Base1_Billing2" localSheetId="15">'[1]Pres &amp; Prop Rev'!$O$8</definedName>
    <definedName name="Base1_Billing2">'[2]Pres &amp; Prop Rev'!$N$8</definedName>
    <definedName name="Common">#REF!</definedName>
    <definedName name="ERM" localSheetId="15">'[3]Rate Design'!$D$45</definedName>
    <definedName name="ERM">'[2]Rate Design'!$D$45</definedName>
    <definedName name="Hrs_Darkness" localSheetId="11">'2019 Daylight'!$N$63</definedName>
    <definedName name="Hrs_Darkness" localSheetId="6">#REF!</definedName>
    <definedName name="Hrs_Darkness" localSheetId="5">#REF!</definedName>
    <definedName name="Hrs_Darkness">#REF!</definedName>
    <definedName name="ine" localSheetId="11">#REF!</definedName>
    <definedName name="ine" localSheetId="6">#REF!</definedName>
    <definedName name="ine" localSheetId="5">#REF!</definedName>
    <definedName name="ine">#REF!</definedName>
    <definedName name="Intangible">#REF!</definedName>
    <definedName name="LoadShape" localSheetId="6">'[4]Load Shape'!$E$3:$N$2018</definedName>
    <definedName name="LoadShape">'Load Shape'!$E$3:$N$2018</definedName>
    <definedName name="Loss_Prim">Losses!$H$44</definedName>
    <definedName name="Loss_Sec">Losses!$H$43</definedName>
    <definedName name="Loss_Transm">Losses!$H$45</definedName>
    <definedName name="M.WkDy.H" localSheetId="6">'[4]Load Shape'!$D$3:$D$2018</definedName>
    <definedName name="M.WkDy.H">'Load Shape'!$D$3:$D$2018</definedName>
    <definedName name="Mo.Day.Hr">'Schedule Shifting Adj - ID'!$BQ$8:$BQ$8768</definedName>
    <definedName name="_xlnm.Print_Area" localSheetId="17">'12.2019 ID Usage'!$A$101:$O$135</definedName>
    <definedName name="_xlnm.Print_Area" localSheetId="16">'12.2019 WA Usage'!$A$84:$O$117</definedName>
    <definedName name="_xlnm.Print_Area" localSheetId="11">'2019 Daylight'!$A$1:$Y$64</definedName>
    <definedName name="_xlnm.Print_Area" localSheetId="10">'Electric Factors '!$A$1:$J$29</definedName>
    <definedName name="_xlnm.Print_Area" localSheetId="8">'ID DemEst'!$A$1:$O$88</definedName>
    <definedName name="_xlnm.Print_Area" localSheetId="15">'ID Sch 25 (12.2019)'!$A$1:$T$107</definedName>
    <definedName name="_xlnm.Print_Area" localSheetId="12">'Load Shape'!$A$3:$N$2018</definedName>
    <definedName name="_xlnm.Print_Area" localSheetId="18">Losses!$A$1:$I$45</definedName>
    <definedName name="_xlnm.Print_Area" localSheetId="5">'Peak Calc Billing kW est'!$A$5:$O$119</definedName>
    <definedName name="_xlnm.Print_Area" localSheetId="3">'Peak Calc NCP'!$A$5:$O$148</definedName>
    <definedName name="_xlnm.Print_Area" localSheetId="7">'WA DemEst'!$A$1:$O$80</definedName>
    <definedName name="_xlnm.Print_Area" localSheetId="14">'WA Sch 25 (12.2019)'!$A$1:$R$110</definedName>
    <definedName name="_xlnm.Print_Titles" localSheetId="17">'12.2019 ID Usage'!$6:$6</definedName>
    <definedName name="_xlnm.Print_Titles" localSheetId="16">'12.2019 WA Usage'!$1:$6</definedName>
    <definedName name="_xlnm.Print_Titles" localSheetId="6">'Generation Level Energy'!$1:$3</definedName>
    <definedName name="_xlnm.Print_Titles" localSheetId="12">'Load Shape'!$2:$2</definedName>
    <definedName name="_xlnm.Print_Titles" localSheetId="5">'Peak Calc Billing kW est'!$1:$4</definedName>
    <definedName name="_xlnm.Print_Titles" localSheetId="2">'Peak Calc CP'!$1:$5</definedName>
    <definedName name="_xlnm.Print_Titles" localSheetId="3">'Peak Calc NCP'!$1:$4</definedName>
    <definedName name="Recover">[5]Macro1!$A$162</definedName>
    <definedName name="Report">#REF!</definedName>
    <definedName name="Sch25_Annual_excess_kva" localSheetId="6">#REF!</definedName>
    <definedName name="Sch25_Annual_excess_kva" localSheetId="15">'ID Sch 25 (12.2019)'!#REF!</definedName>
    <definedName name="Sch25_Annual_excess_kva" localSheetId="5">#REF!</definedName>
    <definedName name="Sch25_Annual_excess_kva" localSheetId="14">'WA Sch 25 (12.2019)'!$P$69:$P$93</definedName>
    <definedName name="Sch25_Annual_excess_kva">#REF!</definedName>
    <definedName name="Sch25_Annual_kva" localSheetId="6">#REF!</definedName>
    <definedName name="Sch25_Annual_kva" localSheetId="15">'ID Sch 25 (12.2019)'!#REF!</definedName>
    <definedName name="Sch25_Annual_kva" localSheetId="5">#REF!</definedName>
    <definedName name="Sch25_Annual_kva" localSheetId="14">'WA Sch 25 (12.2019)'!$P$42:$P$66</definedName>
    <definedName name="Sch25_Annual_kva">#REF!</definedName>
    <definedName name="Sch25_Annual_kW" localSheetId="6">#REF!</definedName>
    <definedName name="Sch25_Annual_kW" localSheetId="15">'ID Sch 25 (12.2019)'!#REF!</definedName>
    <definedName name="Sch25_Annual_kW" localSheetId="5">#REF!</definedName>
    <definedName name="Sch25_Annual_kW" localSheetId="14">'WA Sch 25 (12.2019)'!$P$69:$P$93</definedName>
    <definedName name="Sch25_Annual_kW">#REF!</definedName>
    <definedName name="Sch25_Annual_kWh" localSheetId="6">#REF!</definedName>
    <definedName name="Sch25_Annual_kWh" localSheetId="15">'ID Sch 25 (12.2019)'!#REF!</definedName>
    <definedName name="Sch25_Annual_kWh" localSheetId="14">'WA Sch 25 (12.2019)'!$P$4:$P$38</definedName>
    <definedName name="Sch25_Annual_kWh">#REF!</definedName>
    <definedName name="Sch25_kWh" localSheetId="6">#REF!</definedName>
    <definedName name="Sch25_kWh" localSheetId="15">'ID Sch 25 (12.2019)'!#REF!</definedName>
    <definedName name="Sch25_kWh" localSheetId="14">'WA Sch 25 (12.2019)'!$D$4:$O$38</definedName>
    <definedName name="Sch25_kWh">#REF!</definedName>
    <definedName name="Sch25_n" localSheetId="6">#REF!</definedName>
    <definedName name="Sch25_n" localSheetId="15">'ID Sch 25 (12.2019)'!#REF!</definedName>
    <definedName name="Sch25_n" localSheetId="14">'WA Sch 25 (12.2019)'!$A$4:$A$38</definedName>
    <definedName name="Sch25_n">#REF!</definedName>
    <definedName name="Sch25_nD" localSheetId="6">#REF!</definedName>
    <definedName name="Sch25_nD" localSheetId="15">'ID Sch 25 (12.2019)'!#REF!</definedName>
    <definedName name="Sch25_nD" localSheetId="5">#REF!</definedName>
    <definedName name="Sch25_nD" localSheetId="14">'WA Sch 25 (12.2019)'!$A$69:$A$93</definedName>
    <definedName name="Sch25_nD">#REF!</definedName>
    <definedName name="SL_RateIncr" localSheetId="15">'[3]St Lts'!$AD$1</definedName>
    <definedName name="SL_RateIncr">'[2]St Lts'!$AD$1</definedName>
    <definedName name="Summary">#REF!</definedName>
    <definedName name="Supplement">#REF!</definedName>
    <definedName name="TableName">"Dummy"</definedName>
    <definedName name="Z_15B949CB_29B4_4E18_A06C_C1A26A7B1614_.wvu.PrintTitles" localSheetId="6" hidden="1">'Generation Level Energy'!$1:$3</definedName>
    <definedName name="Z_288C1CFF_D4FA_4C21_8DD6_74167D84B9E6_.wvu.PrintTitles" localSheetId="6" hidden="1">'Generation Level Energy'!$1:$3</definedName>
    <definedName name="Z_9EA5A282_BE98_4730_A8CC_6625D97D0B6A_.wvu.PrintTitles" localSheetId="6" hidden="1">'Generation Level Energy'!$1:$3</definedName>
    <definedName name="Z_BF4E209A_1E95_4416_8FD8_31A982BD230B_.wvu.PrintTitles" localSheetId="6" hidden="1">'Generation Level Energy'!$1:$3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67" l="1"/>
  <c r="L34" i="67"/>
  <c r="K34" i="67"/>
  <c r="J34" i="67"/>
  <c r="I34" i="67"/>
  <c r="H34" i="67"/>
  <c r="G34" i="67"/>
  <c r="M33" i="67"/>
  <c r="L33" i="67"/>
  <c r="K33" i="67"/>
  <c r="J33" i="67"/>
  <c r="I33" i="67"/>
  <c r="H33" i="67"/>
  <c r="G33" i="67"/>
  <c r="M32" i="67"/>
  <c r="L32" i="67"/>
  <c r="K32" i="67"/>
  <c r="J32" i="67"/>
  <c r="I32" i="67"/>
  <c r="H32" i="67"/>
  <c r="F32" i="67" s="1"/>
  <c r="G32" i="67"/>
  <c r="M31" i="67"/>
  <c r="L31" i="67"/>
  <c r="K31" i="67"/>
  <c r="J31" i="67"/>
  <c r="I31" i="67"/>
  <c r="H31" i="67"/>
  <c r="G31" i="67"/>
  <c r="F31" i="67" s="1"/>
  <c r="M30" i="67"/>
  <c r="L30" i="67"/>
  <c r="K30" i="67"/>
  <c r="J30" i="67"/>
  <c r="I30" i="67"/>
  <c r="H30" i="67"/>
  <c r="F30" i="67" s="1"/>
  <c r="G30" i="67"/>
  <c r="M29" i="67"/>
  <c r="L29" i="67"/>
  <c r="K29" i="67"/>
  <c r="J29" i="67"/>
  <c r="I29" i="67"/>
  <c r="H29" i="67"/>
  <c r="G29" i="67"/>
  <c r="F29" i="67" s="1"/>
  <c r="M28" i="67"/>
  <c r="L28" i="67"/>
  <c r="K28" i="67"/>
  <c r="J28" i="67"/>
  <c r="I28" i="67"/>
  <c r="H28" i="67"/>
  <c r="F28" i="67" s="1"/>
  <c r="G28" i="67"/>
  <c r="M27" i="67"/>
  <c r="L27" i="67"/>
  <c r="K27" i="67"/>
  <c r="J27" i="67"/>
  <c r="I27" i="67"/>
  <c r="H27" i="67"/>
  <c r="G27" i="67"/>
  <c r="M26" i="67"/>
  <c r="L26" i="67"/>
  <c r="K26" i="67"/>
  <c r="J26" i="67"/>
  <c r="I26" i="67"/>
  <c r="H26" i="67"/>
  <c r="F26" i="67" s="1"/>
  <c r="G26" i="67"/>
  <c r="M25" i="67"/>
  <c r="L25" i="67"/>
  <c r="K25" i="67"/>
  <c r="J25" i="67"/>
  <c r="I25" i="67"/>
  <c r="H25" i="67"/>
  <c r="F25" i="67" s="1"/>
  <c r="G25" i="67"/>
  <c r="M24" i="67"/>
  <c r="L24" i="67"/>
  <c r="K24" i="67"/>
  <c r="F24" i="67" s="1"/>
  <c r="J24" i="67"/>
  <c r="I24" i="67"/>
  <c r="H24" i="67"/>
  <c r="G24" i="67"/>
  <c r="F27" i="67"/>
  <c r="F33" i="67"/>
  <c r="M23" i="67"/>
  <c r="L23" i="67"/>
  <c r="K23" i="67"/>
  <c r="J23" i="67"/>
  <c r="I23" i="67"/>
  <c r="H23" i="67"/>
  <c r="G23" i="67"/>
  <c r="F34" i="67"/>
  <c r="M16" i="67"/>
  <c r="M15" i="67"/>
  <c r="M14" i="67"/>
  <c r="M13" i="67"/>
  <c r="M12" i="67"/>
  <c r="M11" i="67"/>
  <c r="M10" i="67"/>
  <c r="M9" i="67"/>
  <c r="M7" i="67"/>
  <c r="M8" i="67"/>
  <c r="M6" i="67"/>
  <c r="H17" i="67"/>
  <c r="I17" i="67"/>
  <c r="J17" i="67"/>
  <c r="K17" i="67"/>
  <c r="L17" i="67"/>
  <c r="G17" i="67"/>
  <c r="K16" i="67"/>
  <c r="K15" i="67"/>
  <c r="K14" i="67"/>
  <c r="K13" i="67"/>
  <c r="K12" i="67"/>
  <c r="K11" i="67"/>
  <c r="K10" i="67"/>
  <c r="K9" i="67"/>
  <c r="K8" i="67"/>
  <c r="K7" i="67"/>
  <c r="K6" i="67"/>
  <c r="F6" i="67" s="1"/>
  <c r="L16" i="67"/>
  <c r="J16" i="67"/>
  <c r="I16" i="67"/>
  <c r="H16" i="67"/>
  <c r="G16" i="67"/>
  <c r="L15" i="67"/>
  <c r="J15" i="67"/>
  <c r="I15" i="67"/>
  <c r="H15" i="67"/>
  <c r="G15" i="67"/>
  <c r="L14" i="67"/>
  <c r="J14" i="67"/>
  <c r="I14" i="67"/>
  <c r="H14" i="67"/>
  <c r="G14" i="67"/>
  <c r="L13" i="67"/>
  <c r="J13" i="67"/>
  <c r="I13" i="67"/>
  <c r="H13" i="67"/>
  <c r="G13" i="67"/>
  <c r="L12" i="67"/>
  <c r="J12" i="67"/>
  <c r="I12" i="67"/>
  <c r="H12" i="67"/>
  <c r="G12" i="67"/>
  <c r="L11" i="67"/>
  <c r="J11" i="67"/>
  <c r="I11" i="67"/>
  <c r="H11" i="67"/>
  <c r="G11" i="67"/>
  <c r="L10" i="67"/>
  <c r="J10" i="67"/>
  <c r="I10" i="67"/>
  <c r="H10" i="67"/>
  <c r="G10" i="67"/>
  <c r="L9" i="67"/>
  <c r="J9" i="67"/>
  <c r="I9" i="67"/>
  <c r="H9" i="67"/>
  <c r="G9" i="67"/>
  <c r="L8" i="67"/>
  <c r="J8" i="67"/>
  <c r="I8" i="67"/>
  <c r="H8" i="67"/>
  <c r="G8" i="67"/>
  <c r="L7" i="67"/>
  <c r="J7" i="67"/>
  <c r="I7" i="67"/>
  <c r="H7" i="67"/>
  <c r="G7" i="67"/>
  <c r="L6" i="67"/>
  <c r="J6" i="67"/>
  <c r="I6" i="67"/>
  <c r="H6" i="67"/>
  <c r="G6" i="67"/>
  <c r="M5" i="67"/>
  <c r="L5" i="67"/>
  <c r="K5" i="67"/>
  <c r="J5" i="67"/>
  <c r="I5" i="67"/>
  <c r="H5" i="67"/>
  <c r="G5" i="67"/>
  <c r="D16" i="67"/>
  <c r="D6" i="67"/>
  <c r="D7" i="67"/>
  <c r="D8" i="67"/>
  <c r="D9" i="67"/>
  <c r="D10" i="67"/>
  <c r="D11" i="67"/>
  <c r="D12" i="67"/>
  <c r="D13" i="67"/>
  <c r="D14" i="67"/>
  <c r="D15" i="67"/>
  <c r="D5" i="67"/>
  <c r="C15" i="67"/>
  <c r="C16" i="67"/>
  <c r="C6" i="67"/>
  <c r="C7" i="67"/>
  <c r="C8" i="67"/>
  <c r="C9" i="67"/>
  <c r="C10" i="67"/>
  <c r="C11" i="67"/>
  <c r="C12" i="67"/>
  <c r="C13" i="67"/>
  <c r="C14" i="67"/>
  <c r="C5" i="67"/>
  <c r="J35" i="67" l="1"/>
  <c r="K35" i="67"/>
  <c r="L35" i="67"/>
  <c r="M35" i="67"/>
  <c r="H35" i="67"/>
  <c r="I35" i="67"/>
  <c r="F23" i="67"/>
  <c r="G35" i="67"/>
  <c r="F16" i="67"/>
  <c r="F15" i="67"/>
  <c r="F14" i="67"/>
  <c r="F13" i="67"/>
  <c r="F12" i="67"/>
  <c r="F11" i="67"/>
  <c r="F10" i="67"/>
  <c r="F9" i="67"/>
  <c r="F8" i="67"/>
  <c r="F7" i="67"/>
  <c r="M17" i="67"/>
  <c r="F17" i="67" s="1"/>
  <c r="F5" i="67"/>
  <c r="T23" i="63"/>
  <c r="T22" i="63"/>
  <c r="R38" i="62"/>
  <c r="P37" i="62"/>
  <c r="R37" i="62" s="1"/>
  <c r="F35" i="67" l="1"/>
  <c r="V14" i="66"/>
  <c r="T14" i="66"/>
  <c r="P112" i="62" l="1"/>
  <c r="Q82" i="63"/>
  <c r="F82" i="63"/>
  <c r="G82" i="63"/>
  <c r="H82" i="63"/>
  <c r="I82" i="63"/>
  <c r="J82" i="63"/>
  <c r="K82" i="63"/>
  <c r="L82" i="63"/>
  <c r="M82" i="63"/>
  <c r="N82" i="63"/>
  <c r="O82" i="63"/>
  <c r="P82" i="63"/>
  <c r="E82" i="63"/>
  <c r="E108" i="62"/>
  <c r="F108" i="62"/>
  <c r="G108" i="62"/>
  <c r="H108" i="62"/>
  <c r="I108" i="62"/>
  <c r="J108" i="62"/>
  <c r="K108" i="62"/>
  <c r="L108" i="62"/>
  <c r="M108" i="62"/>
  <c r="N108" i="62"/>
  <c r="O108" i="62"/>
  <c r="D108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D102" i="62"/>
  <c r="G16" i="66" l="1"/>
  <c r="E16" i="66"/>
  <c r="F16" i="66"/>
  <c r="H16" i="66"/>
  <c r="I16" i="66"/>
  <c r="J16" i="66"/>
  <c r="K16" i="66"/>
  <c r="L16" i="66"/>
  <c r="M16" i="66"/>
  <c r="N16" i="66"/>
  <c r="O16" i="66"/>
  <c r="D16" i="66"/>
  <c r="E23" i="66"/>
  <c r="F23" i="66"/>
  <c r="G23" i="66"/>
  <c r="H23" i="66"/>
  <c r="I23" i="66"/>
  <c r="J23" i="66"/>
  <c r="K23" i="66"/>
  <c r="L23" i="66"/>
  <c r="M23" i="66"/>
  <c r="N23" i="66"/>
  <c r="O23" i="66"/>
  <c r="E24" i="66"/>
  <c r="F24" i="66"/>
  <c r="G24" i="66"/>
  <c r="H24" i="66"/>
  <c r="I24" i="66"/>
  <c r="J24" i="66"/>
  <c r="K24" i="66"/>
  <c r="L24" i="66"/>
  <c r="M24" i="66"/>
  <c r="N24" i="66"/>
  <c r="O24" i="66"/>
  <c r="D24" i="66"/>
  <c r="D23" i="66"/>
  <c r="O22" i="66"/>
  <c r="E22" i="66"/>
  <c r="F22" i="66"/>
  <c r="G22" i="66"/>
  <c r="H22" i="66"/>
  <c r="I22" i="66"/>
  <c r="J22" i="66"/>
  <c r="K22" i="66"/>
  <c r="L22" i="66"/>
  <c r="M22" i="66"/>
  <c r="N22" i="66"/>
  <c r="D22" i="66"/>
  <c r="S9" i="66"/>
  <c r="S10" i="66"/>
  <c r="S11" i="66"/>
  <c r="S12" i="66"/>
  <c r="S13" i="66"/>
  <c r="S14" i="66"/>
  <c r="S8" i="66"/>
  <c r="R14" i="66"/>
  <c r="C24" i="66" l="1"/>
  <c r="C23" i="66"/>
  <c r="C22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P13" i="66"/>
  <c r="P12" i="66"/>
  <c r="P11" i="66"/>
  <c r="P10" i="66"/>
  <c r="P9" i="66"/>
  <c r="P8" i="66"/>
  <c r="P14" i="66" l="1"/>
  <c r="D115" i="64"/>
  <c r="E115" i="64"/>
  <c r="F115" i="64"/>
  <c r="G115" i="64"/>
  <c r="H115" i="64"/>
  <c r="I115" i="64"/>
  <c r="J115" i="64"/>
  <c r="K115" i="64"/>
  <c r="L115" i="64"/>
  <c r="M115" i="64"/>
  <c r="N115" i="64"/>
  <c r="C115" i="64"/>
  <c r="D102" i="64"/>
  <c r="E102" i="64"/>
  <c r="F102" i="64"/>
  <c r="G102" i="64"/>
  <c r="H102" i="64"/>
  <c r="I102" i="64"/>
  <c r="J102" i="64"/>
  <c r="K102" i="64"/>
  <c r="L102" i="64"/>
  <c r="M102" i="64"/>
  <c r="N102" i="64"/>
  <c r="C102" i="64"/>
  <c r="C101" i="64" s="1"/>
  <c r="E77" i="19"/>
  <c r="F77" i="19"/>
  <c r="G77" i="19"/>
  <c r="H77" i="19"/>
  <c r="I77" i="19"/>
  <c r="J77" i="19"/>
  <c r="K77" i="19"/>
  <c r="L77" i="19"/>
  <c r="M77" i="19"/>
  <c r="N77" i="19"/>
  <c r="O77" i="19"/>
  <c r="D77" i="19"/>
  <c r="E85" i="20"/>
  <c r="F85" i="20"/>
  <c r="G85" i="20"/>
  <c r="H85" i="20"/>
  <c r="I85" i="20"/>
  <c r="J85" i="20"/>
  <c r="K85" i="20"/>
  <c r="L85" i="20"/>
  <c r="M85" i="20"/>
  <c r="N85" i="20"/>
  <c r="O85" i="20"/>
  <c r="D85" i="20"/>
  <c r="E80" i="20"/>
  <c r="E75" i="20" s="1"/>
  <c r="F80" i="20"/>
  <c r="F75" i="20" s="1"/>
  <c r="G80" i="20"/>
  <c r="H80" i="20"/>
  <c r="I80" i="20"/>
  <c r="I75" i="20" s="1"/>
  <c r="J80" i="20"/>
  <c r="K80" i="20"/>
  <c r="L80" i="20"/>
  <c r="L75" i="20" s="1"/>
  <c r="M80" i="20"/>
  <c r="M75" i="20" s="1"/>
  <c r="N80" i="20"/>
  <c r="N75" i="20" s="1"/>
  <c r="O80" i="20"/>
  <c r="G75" i="20"/>
  <c r="H75" i="20"/>
  <c r="J75" i="20"/>
  <c r="K75" i="20"/>
  <c r="O75" i="20"/>
  <c r="D80" i="20"/>
  <c r="D75" i="20" s="1"/>
  <c r="P23" i="66" l="1"/>
  <c r="P16" i="66"/>
  <c r="P24" i="66"/>
  <c r="P22" i="66"/>
  <c r="H63" i="20"/>
  <c r="H55" i="20"/>
  <c r="H34" i="20"/>
  <c r="H22" i="20"/>
  <c r="H14" i="20"/>
  <c r="E36" i="19"/>
  <c r="F36" i="19"/>
  <c r="G36" i="19"/>
  <c r="H36" i="19"/>
  <c r="I36" i="19"/>
  <c r="J36" i="19"/>
  <c r="K36" i="19"/>
  <c r="L36" i="19"/>
  <c r="M36" i="19"/>
  <c r="N36" i="19"/>
  <c r="O36" i="19"/>
  <c r="D36" i="19"/>
  <c r="E67" i="19" l="1"/>
  <c r="F67" i="19"/>
  <c r="G67" i="19"/>
  <c r="H67" i="19"/>
  <c r="I67" i="19"/>
  <c r="J67" i="19"/>
  <c r="K67" i="19"/>
  <c r="L67" i="19"/>
  <c r="M67" i="19"/>
  <c r="N67" i="19"/>
  <c r="O67" i="19"/>
  <c r="E72" i="19"/>
  <c r="F72" i="19"/>
  <c r="G72" i="19"/>
  <c r="H72" i="19"/>
  <c r="I72" i="19"/>
  <c r="J72" i="19"/>
  <c r="K72" i="19"/>
  <c r="L72" i="19"/>
  <c r="M72" i="19"/>
  <c r="N72" i="19"/>
  <c r="O72" i="19"/>
  <c r="D72" i="19"/>
  <c r="D67" i="19" s="1"/>
  <c r="D43" i="19"/>
  <c r="H63" i="19" l="1"/>
  <c r="H55" i="19"/>
  <c r="H28" i="19"/>
  <c r="H22" i="19"/>
  <c r="H14" i="19"/>
  <c r="F27" i="54" l="1"/>
  <c r="F26" i="54"/>
  <c r="F25" i="54"/>
  <c r="F24" i="54"/>
  <c r="F23" i="54"/>
  <c r="F22" i="54"/>
  <c r="F21" i="54"/>
  <c r="F20" i="54"/>
  <c r="F19" i="54"/>
  <c r="F16" i="54"/>
  <c r="F15" i="54"/>
  <c r="F14" i="54"/>
  <c r="F13" i="54"/>
  <c r="F12" i="54"/>
  <c r="F11" i="54"/>
  <c r="F10" i="54"/>
  <c r="F9" i="54"/>
  <c r="F8" i="54"/>
  <c r="O135" i="49" l="1"/>
  <c r="O115" i="47"/>
  <c r="D41" i="5" l="1"/>
  <c r="D40" i="5"/>
  <c r="T81" i="63"/>
  <c r="E39" i="5"/>
  <c r="E19" i="5"/>
  <c r="C21" i="5"/>
  <c r="O113" i="47" l="1"/>
  <c r="C40" i="5"/>
  <c r="R101" i="62"/>
  <c r="P53" i="63" l="1"/>
  <c r="O53" i="63"/>
  <c r="N53" i="63"/>
  <c r="M53" i="63"/>
  <c r="L53" i="63"/>
  <c r="K53" i="63"/>
  <c r="J53" i="63"/>
  <c r="I53" i="63"/>
  <c r="H53" i="63"/>
  <c r="G53" i="63"/>
  <c r="F53" i="63"/>
  <c r="E53" i="63"/>
  <c r="E35" i="63"/>
  <c r="J43" i="63"/>
  <c r="J44" i="63" s="1"/>
  <c r="N43" i="63"/>
  <c r="N44" i="63" s="1"/>
  <c r="M43" i="63"/>
  <c r="M44" i="63" s="1"/>
  <c r="L43" i="63"/>
  <c r="L44" i="63" s="1"/>
  <c r="K43" i="63"/>
  <c r="K44" i="63" s="1"/>
  <c r="F43" i="63"/>
  <c r="F44" i="63" s="1"/>
  <c r="Q41" i="63"/>
  <c r="P43" i="63"/>
  <c r="P44" i="63" s="1"/>
  <c r="O43" i="63"/>
  <c r="O44" i="63" s="1"/>
  <c r="H43" i="63"/>
  <c r="G43" i="63"/>
  <c r="G44" i="63" s="1"/>
  <c r="H38" i="63"/>
  <c r="I43" i="63" s="1"/>
  <c r="I44" i="63" s="1"/>
  <c r="F3" i="63"/>
  <c r="G3" i="63" s="1"/>
  <c r="H3" i="63" s="1"/>
  <c r="I3" i="63" s="1"/>
  <c r="J3" i="63" s="1"/>
  <c r="K3" i="63" s="1"/>
  <c r="L3" i="63" s="1"/>
  <c r="M3" i="63" s="1"/>
  <c r="N3" i="63" s="1"/>
  <c r="O3" i="63" s="1"/>
  <c r="P3" i="63" s="1"/>
  <c r="E22" i="63"/>
  <c r="B48" i="63"/>
  <c r="B49" i="63"/>
  <c r="B50" i="63"/>
  <c r="B51" i="63"/>
  <c r="B52" i="63"/>
  <c r="B53" i="63"/>
  <c r="B54" i="63"/>
  <c r="B55" i="63"/>
  <c r="B56" i="63"/>
  <c r="B57" i="63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C64" i="62"/>
  <c r="B64" i="62"/>
  <c r="O63" i="62"/>
  <c r="N63" i="62"/>
  <c r="M63" i="62"/>
  <c r="C63" i="62"/>
  <c r="B63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B61" i="62"/>
  <c r="C60" i="62"/>
  <c r="B60" i="62"/>
  <c r="C59" i="62"/>
  <c r="B59" i="62"/>
  <c r="C58" i="62"/>
  <c r="B58" i="62"/>
  <c r="C57" i="62"/>
  <c r="B57" i="62"/>
  <c r="C56" i="62"/>
  <c r="B56" i="62"/>
  <c r="C55" i="62"/>
  <c r="B55" i="62"/>
  <c r="C54" i="62"/>
  <c r="B54" i="62"/>
  <c r="C53" i="62"/>
  <c r="B53" i="62"/>
  <c r="O52" i="62"/>
  <c r="N52" i="62"/>
  <c r="M52" i="62"/>
  <c r="C52" i="62"/>
  <c r="B52" i="62"/>
  <c r="C51" i="62"/>
  <c r="B51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B50" i="62"/>
  <c r="C49" i="62"/>
  <c r="B49" i="62"/>
  <c r="C48" i="62"/>
  <c r="B48" i="62"/>
  <c r="C47" i="62"/>
  <c r="B47" i="62"/>
  <c r="C46" i="62"/>
  <c r="B46" i="62"/>
  <c r="C45" i="62"/>
  <c r="B45" i="62"/>
  <c r="C44" i="62"/>
  <c r="B44" i="62"/>
  <c r="C43" i="62"/>
  <c r="B43" i="62"/>
  <c r="C42" i="62"/>
  <c r="B42" i="62"/>
  <c r="P31" i="62"/>
  <c r="P32" i="62" s="1"/>
  <c r="H32" i="62"/>
  <c r="O32" i="62"/>
  <c r="N32" i="62"/>
  <c r="M32" i="62"/>
  <c r="L32" i="62"/>
  <c r="K32" i="62"/>
  <c r="J32" i="62"/>
  <c r="I32" i="62"/>
  <c r="G32" i="62"/>
  <c r="F32" i="62"/>
  <c r="E32" i="62"/>
  <c r="P29" i="62"/>
  <c r="P30" i="62"/>
  <c r="P35" i="62"/>
  <c r="H44" i="63" l="1"/>
  <c r="Q42" i="63"/>
  <c r="Q40" i="63"/>
  <c r="Q43" i="63" s="1"/>
  <c r="Q38" i="63"/>
  <c r="C7" i="5" s="1"/>
  <c r="E43" i="63"/>
  <c r="E44" i="63" s="1"/>
  <c r="D32" i="62"/>
  <c r="D34" i="62"/>
  <c r="Q44" i="63" l="1"/>
  <c r="Q75" i="49" l="1"/>
  <c r="S75" i="49" s="1"/>
  <c r="R75" i="49"/>
  <c r="Q90" i="49"/>
  <c r="R90" i="49"/>
  <c r="R91" i="49"/>
  <c r="Q92" i="49"/>
  <c r="S92" i="49" s="1"/>
  <c r="R92" i="49"/>
  <c r="Q73" i="49"/>
  <c r="R73" i="49"/>
  <c r="R74" i="49"/>
  <c r="S90" i="49" l="1"/>
  <c r="T75" i="49"/>
  <c r="Q91" i="49"/>
  <c r="T92" i="49"/>
  <c r="T90" i="49"/>
  <c r="S73" i="49"/>
  <c r="Q74" i="49"/>
  <c r="T73" i="49"/>
  <c r="S91" i="49" l="1"/>
  <c r="T91" i="49"/>
  <c r="S74" i="49"/>
  <c r="T74" i="49"/>
  <c r="D72" i="3" l="1"/>
  <c r="E72" i="3"/>
  <c r="F72" i="3"/>
  <c r="G72" i="3"/>
  <c r="H72" i="3"/>
  <c r="I72" i="3"/>
  <c r="J72" i="3"/>
  <c r="K72" i="3"/>
  <c r="L72" i="3"/>
  <c r="M72" i="3"/>
  <c r="N72" i="3"/>
  <c r="C72" i="3"/>
  <c r="D71" i="3"/>
  <c r="E71" i="3"/>
  <c r="F71" i="3"/>
  <c r="G71" i="3"/>
  <c r="H71" i="3"/>
  <c r="I71" i="3"/>
  <c r="J71" i="3"/>
  <c r="K71" i="3"/>
  <c r="L71" i="3"/>
  <c r="M71" i="3"/>
  <c r="N71" i="3"/>
  <c r="C71" i="3"/>
  <c r="R77" i="47" l="1"/>
  <c r="P103" i="63" l="1"/>
  <c r="O103" i="63"/>
  <c r="N103" i="63"/>
  <c r="M103" i="63"/>
  <c r="L103" i="63"/>
  <c r="K103" i="63"/>
  <c r="J103" i="63"/>
  <c r="I103" i="63"/>
  <c r="H103" i="63"/>
  <c r="G103" i="63"/>
  <c r="F103" i="63"/>
  <c r="E103" i="63"/>
  <c r="Q102" i="63"/>
  <c r="P99" i="63"/>
  <c r="O99" i="63"/>
  <c r="N99" i="63"/>
  <c r="M99" i="63"/>
  <c r="L99" i="63"/>
  <c r="K99" i="63"/>
  <c r="J99" i="63"/>
  <c r="I99" i="63"/>
  <c r="H99" i="63"/>
  <c r="G99" i="63"/>
  <c r="F99" i="63"/>
  <c r="E99" i="63"/>
  <c r="Q97" i="63"/>
  <c r="P96" i="63"/>
  <c r="O96" i="63"/>
  <c r="N96" i="63"/>
  <c r="M96" i="63"/>
  <c r="L96" i="63"/>
  <c r="K96" i="63"/>
  <c r="J96" i="63"/>
  <c r="I96" i="63"/>
  <c r="H96" i="63"/>
  <c r="G96" i="63"/>
  <c r="F96" i="63"/>
  <c r="E96" i="63"/>
  <c r="P95" i="63"/>
  <c r="O95" i="63"/>
  <c r="N95" i="63"/>
  <c r="M95" i="63"/>
  <c r="L95" i="63"/>
  <c r="K95" i="63"/>
  <c r="J95" i="63"/>
  <c r="I95" i="63"/>
  <c r="H95" i="63"/>
  <c r="G95" i="63"/>
  <c r="F95" i="63"/>
  <c r="E95" i="63"/>
  <c r="Q94" i="63"/>
  <c r="D94" i="63"/>
  <c r="C94" i="63"/>
  <c r="P87" i="63"/>
  <c r="O87" i="63"/>
  <c r="N87" i="63"/>
  <c r="M87" i="63"/>
  <c r="L87" i="63"/>
  <c r="K87" i="63"/>
  <c r="J87" i="63"/>
  <c r="I87" i="63"/>
  <c r="H87" i="63"/>
  <c r="G87" i="63"/>
  <c r="F87" i="63"/>
  <c r="E87" i="63"/>
  <c r="Q86" i="63"/>
  <c r="Q85" i="63"/>
  <c r="Q84" i="63"/>
  <c r="P81" i="63"/>
  <c r="O81" i="63"/>
  <c r="N81" i="63"/>
  <c r="M81" i="63"/>
  <c r="L81" i="63"/>
  <c r="K81" i="63"/>
  <c r="J81" i="63"/>
  <c r="I81" i="63"/>
  <c r="H81" i="63"/>
  <c r="G81" i="63"/>
  <c r="F81" i="63"/>
  <c r="E81" i="63"/>
  <c r="Q80" i="63"/>
  <c r="Q79" i="63"/>
  <c r="Q78" i="63"/>
  <c r="P77" i="63"/>
  <c r="O77" i="63"/>
  <c r="N77" i="63"/>
  <c r="M77" i="63"/>
  <c r="L77" i="63"/>
  <c r="K77" i="63"/>
  <c r="J77" i="63"/>
  <c r="I77" i="63"/>
  <c r="H77" i="63"/>
  <c r="G77" i="63"/>
  <c r="F77" i="63"/>
  <c r="E77" i="63"/>
  <c r="Q75" i="63"/>
  <c r="P72" i="63"/>
  <c r="O72" i="63"/>
  <c r="N72" i="63"/>
  <c r="M72" i="63"/>
  <c r="L72" i="63"/>
  <c r="K72" i="63"/>
  <c r="J72" i="63"/>
  <c r="I72" i="63"/>
  <c r="H72" i="63"/>
  <c r="G72" i="63"/>
  <c r="F72" i="63"/>
  <c r="E72" i="63"/>
  <c r="P71" i="63"/>
  <c r="O71" i="63"/>
  <c r="N71" i="63"/>
  <c r="M71" i="63"/>
  <c r="L71" i="63"/>
  <c r="K71" i="63"/>
  <c r="J71" i="63"/>
  <c r="I71" i="63"/>
  <c r="H71" i="63"/>
  <c r="G71" i="63"/>
  <c r="F71" i="63"/>
  <c r="E71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P64" i="63"/>
  <c r="O64" i="63"/>
  <c r="N64" i="63"/>
  <c r="M64" i="63"/>
  <c r="L64" i="63"/>
  <c r="K64" i="63"/>
  <c r="J64" i="63"/>
  <c r="I64" i="63"/>
  <c r="H64" i="63"/>
  <c r="G64" i="63"/>
  <c r="F64" i="63"/>
  <c r="E64" i="63"/>
  <c r="P63" i="63"/>
  <c r="O63" i="63"/>
  <c r="N63" i="63"/>
  <c r="M63" i="63"/>
  <c r="L63" i="63"/>
  <c r="K63" i="63"/>
  <c r="J63" i="63"/>
  <c r="I63" i="63"/>
  <c r="H63" i="63"/>
  <c r="G63" i="63"/>
  <c r="F63" i="63"/>
  <c r="E63" i="63"/>
  <c r="P62" i="63"/>
  <c r="O62" i="63"/>
  <c r="N62" i="63"/>
  <c r="M62" i="63"/>
  <c r="L62" i="63"/>
  <c r="K62" i="63"/>
  <c r="J62" i="63"/>
  <c r="I62" i="63"/>
  <c r="H62" i="63"/>
  <c r="G62" i="63"/>
  <c r="F62" i="63"/>
  <c r="E62" i="63"/>
  <c r="P61" i="63"/>
  <c r="O61" i="63"/>
  <c r="N61" i="63"/>
  <c r="M61" i="63"/>
  <c r="L61" i="63"/>
  <c r="K61" i="63"/>
  <c r="J61" i="63"/>
  <c r="I61" i="63"/>
  <c r="H61" i="63"/>
  <c r="G61" i="63"/>
  <c r="F61" i="63"/>
  <c r="E61" i="63"/>
  <c r="Q60" i="63"/>
  <c r="S57" i="63"/>
  <c r="Q57" i="63"/>
  <c r="D57" i="63"/>
  <c r="D72" i="63" s="1"/>
  <c r="C57" i="63"/>
  <c r="C72" i="63" s="1"/>
  <c r="B72" i="63"/>
  <c r="S56" i="63"/>
  <c r="Q56" i="63"/>
  <c r="D56" i="63"/>
  <c r="D71" i="63" s="1"/>
  <c r="C56" i="63"/>
  <c r="C71" i="63" s="1"/>
  <c r="B71" i="63"/>
  <c r="S55" i="63"/>
  <c r="Q55" i="63"/>
  <c r="D55" i="63"/>
  <c r="D70" i="63" s="1"/>
  <c r="C55" i="63"/>
  <c r="C70" i="63" s="1"/>
  <c r="B70" i="63"/>
  <c r="S54" i="63"/>
  <c r="Q54" i="63"/>
  <c r="D54" i="63"/>
  <c r="D69" i="63" s="1"/>
  <c r="C54" i="63"/>
  <c r="C69" i="63" s="1"/>
  <c r="B69" i="63"/>
  <c r="P88" i="63"/>
  <c r="N68" i="63"/>
  <c r="M68" i="63"/>
  <c r="L88" i="63"/>
  <c r="J68" i="63"/>
  <c r="I68" i="63"/>
  <c r="H88" i="63"/>
  <c r="E88" i="63"/>
  <c r="D53" i="63"/>
  <c r="D68" i="63" s="1"/>
  <c r="C53" i="63"/>
  <c r="C68" i="63" s="1"/>
  <c r="B68" i="63"/>
  <c r="S52" i="63"/>
  <c r="Q52" i="63"/>
  <c r="D52" i="63"/>
  <c r="D67" i="63" s="1"/>
  <c r="C52" i="63"/>
  <c r="C67" i="63" s="1"/>
  <c r="B67" i="63"/>
  <c r="S51" i="63"/>
  <c r="Q51" i="63"/>
  <c r="D51" i="63"/>
  <c r="D66" i="63" s="1"/>
  <c r="C51" i="63"/>
  <c r="C66" i="63" s="1"/>
  <c r="B66" i="63"/>
  <c r="S50" i="63"/>
  <c r="Q50" i="63"/>
  <c r="D50" i="63"/>
  <c r="D65" i="63" s="1"/>
  <c r="C50" i="63"/>
  <c r="C65" i="63" s="1"/>
  <c r="B65" i="63"/>
  <c r="S49" i="63"/>
  <c r="Q49" i="63"/>
  <c r="D49" i="63"/>
  <c r="D64" i="63" s="1"/>
  <c r="C49" i="63"/>
  <c r="C64" i="63" s="1"/>
  <c r="B64" i="63"/>
  <c r="S48" i="63"/>
  <c r="Q48" i="63"/>
  <c r="D48" i="63"/>
  <c r="D63" i="63" s="1"/>
  <c r="C48" i="63"/>
  <c r="C63" i="63" s="1"/>
  <c r="B63" i="63"/>
  <c r="S47" i="63"/>
  <c r="T47" i="63" s="1"/>
  <c r="Q47" i="63"/>
  <c r="D47" i="63"/>
  <c r="D62" i="63" s="1"/>
  <c r="C47" i="63"/>
  <c r="C62" i="63" s="1"/>
  <c r="B47" i="63"/>
  <c r="B62" i="63" s="1"/>
  <c r="P46" i="63"/>
  <c r="P33" i="63" s="1"/>
  <c r="O46" i="63"/>
  <c r="O33" i="63" s="1"/>
  <c r="N46" i="63"/>
  <c r="M46" i="63"/>
  <c r="M33" i="63" s="1"/>
  <c r="L46" i="63"/>
  <c r="K46" i="63"/>
  <c r="J46" i="63"/>
  <c r="I46" i="63"/>
  <c r="H46" i="63"/>
  <c r="Q30" i="63" s="1"/>
  <c r="G46" i="63"/>
  <c r="F46" i="63"/>
  <c r="E46" i="63"/>
  <c r="N33" i="63"/>
  <c r="L33" i="63"/>
  <c r="K33" i="63"/>
  <c r="J33" i="63"/>
  <c r="I33" i="63"/>
  <c r="G33" i="63"/>
  <c r="F33" i="63"/>
  <c r="E33" i="63"/>
  <c r="Q32" i="63"/>
  <c r="Q31" i="63"/>
  <c r="P28" i="63"/>
  <c r="P98" i="63" s="1"/>
  <c r="O28" i="63"/>
  <c r="O98" i="63" s="1"/>
  <c r="N28" i="63"/>
  <c r="M28" i="63"/>
  <c r="M98" i="63" s="1"/>
  <c r="L28" i="63"/>
  <c r="L98" i="63" s="1"/>
  <c r="K28" i="63"/>
  <c r="K98" i="63" s="1"/>
  <c r="J28" i="63"/>
  <c r="I28" i="63"/>
  <c r="H28" i="63"/>
  <c r="H98" i="63" s="1"/>
  <c r="G28" i="63"/>
  <c r="G98" i="63" s="1"/>
  <c r="F28" i="63"/>
  <c r="E28" i="63"/>
  <c r="Q27" i="63"/>
  <c r="S27" i="63" s="1"/>
  <c r="Q26" i="63"/>
  <c r="S26" i="63" s="1"/>
  <c r="P20" i="63"/>
  <c r="O20" i="63"/>
  <c r="N20" i="63"/>
  <c r="M20" i="63"/>
  <c r="L20" i="63"/>
  <c r="K20" i="63"/>
  <c r="J20" i="63"/>
  <c r="I20" i="63"/>
  <c r="H20" i="63"/>
  <c r="G20" i="63"/>
  <c r="F20" i="63"/>
  <c r="E20" i="63"/>
  <c r="Q19" i="63"/>
  <c r="Q18" i="63"/>
  <c r="Q17" i="63"/>
  <c r="P15" i="63"/>
  <c r="O15" i="63"/>
  <c r="N15" i="63"/>
  <c r="M15" i="63"/>
  <c r="M104" i="63" s="1"/>
  <c r="L15" i="63"/>
  <c r="K15" i="63"/>
  <c r="J15" i="63"/>
  <c r="I15" i="63"/>
  <c r="H15" i="63"/>
  <c r="G15" i="63"/>
  <c r="F15" i="63"/>
  <c r="E15" i="63"/>
  <c r="E21" i="63" s="1"/>
  <c r="F22" i="63" s="1"/>
  <c r="F21" i="63" s="1"/>
  <c r="G22" i="63" s="1"/>
  <c r="S14" i="63"/>
  <c r="T14" i="63" s="1"/>
  <c r="Q14" i="63"/>
  <c r="S13" i="63"/>
  <c r="T13" i="63" s="1"/>
  <c r="Q13" i="63"/>
  <c r="S12" i="63"/>
  <c r="T12" i="63" s="1"/>
  <c r="Q12" i="63"/>
  <c r="S11" i="63"/>
  <c r="T11" i="63" s="1"/>
  <c r="Q11" i="63"/>
  <c r="S10" i="63"/>
  <c r="T10" i="63" s="1"/>
  <c r="Q10" i="63"/>
  <c r="S9" i="63"/>
  <c r="T9" i="63" s="1"/>
  <c r="Q9" i="63"/>
  <c r="S8" i="63"/>
  <c r="T8" i="63" s="1"/>
  <c r="Q8" i="63"/>
  <c r="S7" i="63"/>
  <c r="T7" i="63" s="1"/>
  <c r="Q7" i="63"/>
  <c r="S6" i="63"/>
  <c r="T6" i="63" s="1"/>
  <c r="Q6" i="63"/>
  <c r="S5" i="63"/>
  <c r="T5" i="63" s="1"/>
  <c r="Q5" i="63"/>
  <c r="S4" i="63"/>
  <c r="T4" i="63" s="1"/>
  <c r="Q4" i="63"/>
  <c r="T1" i="63"/>
  <c r="E34" i="63" l="1"/>
  <c r="F35" i="63" s="1"/>
  <c r="F34" i="63" s="1"/>
  <c r="G35" i="63" s="1"/>
  <c r="G34" i="63" s="1"/>
  <c r="H35" i="63" s="1"/>
  <c r="H34" i="63" s="1"/>
  <c r="I35" i="63" s="1"/>
  <c r="I34" i="63" s="1"/>
  <c r="J35" i="63" s="1"/>
  <c r="J34" i="63" s="1"/>
  <c r="K35" i="63" s="1"/>
  <c r="K34" i="63" s="1"/>
  <c r="L35" i="63" s="1"/>
  <c r="L34" i="63" s="1"/>
  <c r="M35" i="63" s="1"/>
  <c r="M34" i="63" s="1"/>
  <c r="N35" i="63" s="1"/>
  <c r="N34" i="63" s="1"/>
  <c r="O35" i="63" s="1"/>
  <c r="O34" i="63" s="1"/>
  <c r="P35" i="63" s="1"/>
  <c r="P34" i="63" s="1"/>
  <c r="H33" i="63"/>
  <c r="G21" i="63"/>
  <c r="H22" i="63" s="1"/>
  <c r="H21" i="63" s="1"/>
  <c r="I22" i="63" s="1"/>
  <c r="I21" i="63" s="1"/>
  <c r="J22" i="63" s="1"/>
  <c r="J21" i="63" s="1"/>
  <c r="K22" i="63" s="1"/>
  <c r="K21" i="63" s="1"/>
  <c r="L22" i="63" s="1"/>
  <c r="L21" i="63" s="1"/>
  <c r="M22" i="63" s="1"/>
  <c r="M21" i="63" s="1"/>
  <c r="N22" i="63" s="1"/>
  <c r="N21" i="63" s="1"/>
  <c r="O22" i="63" s="1"/>
  <c r="O21" i="63" s="1"/>
  <c r="P22" i="63" s="1"/>
  <c r="P21" i="63" s="1"/>
  <c r="T51" i="63"/>
  <c r="Q33" i="63"/>
  <c r="T56" i="63"/>
  <c r="T52" i="63"/>
  <c r="M88" i="63"/>
  <c r="T57" i="63"/>
  <c r="Q64" i="63"/>
  <c r="I104" i="63"/>
  <c r="I105" i="63" s="1"/>
  <c r="T54" i="63"/>
  <c r="Q70" i="63"/>
  <c r="T50" i="63"/>
  <c r="T15" i="63"/>
  <c r="L68" i="63"/>
  <c r="L73" i="63" s="1"/>
  <c r="L107" i="63" s="1"/>
  <c r="E58" i="63"/>
  <c r="E106" i="63" s="1"/>
  <c r="Q65" i="63"/>
  <c r="P68" i="63"/>
  <c r="P73" i="63" s="1"/>
  <c r="P107" i="63" s="1"/>
  <c r="G104" i="63"/>
  <c r="G105" i="63" s="1"/>
  <c r="K104" i="63"/>
  <c r="K105" i="63" s="1"/>
  <c r="O104" i="63"/>
  <c r="O105" i="63" s="1"/>
  <c r="I58" i="63"/>
  <c r="I106" i="63" s="1"/>
  <c r="Q72" i="63"/>
  <c r="S15" i="63"/>
  <c r="H104" i="63"/>
  <c r="H105" i="63" s="1"/>
  <c r="L104" i="63"/>
  <c r="L105" i="63" s="1"/>
  <c r="P104" i="63"/>
  <c r="P105" i="63" s="1"/>
  <c r="M58" i="63"/>
  <c r="M90" i="63" s="1"/>
  <c r="Q67" i="63"/>
  <c r="H68" i="63"/>
  <c r="H73" i="63" s="1"/>
  <c r="H107" i="63" s="1"/>
  <c r="Q69" i="63"/>
  <c r="Q81" i="63"/>
  <c r="Q87" i="63"/>
  <c r="I88" i="63"/>
  <c r="M105" i="63"/>
  <c r="E104" i="63"/>
  <c r="E105" i="63" s="1"/>
  <c r="E23" i="63"/>
  <c r="Q53" i="63"/>
  <c r="Q88" i="63" s="1"/>
  <c r="Q62" i="63"/>
  <c r="I73" i="63"/>
  <c r="I107" i="63" s="1"/>
  <c r="M73" i="63"/>
  <c r="M107" i="63" s="1"/>
  <c r="Q95" i="63"/>
  <c r="Q96" i="63"/>
  <c r="T49" i="63"/>
  <c r="S53" i="63"/>
  <c r="T53" i="63" s="1"/>
  <c r="J73" i="63"/>
  <c r="J107" i="63" s="1"/>
  <c r="N73" i="63"/>
  <c r="N107" i="63" s="1"/>
  <c r="E98" i="63"/>
  <c r="Q99" i="63"/>
  <c r="T55" i="63"/>
  <c r="T48" i="63"/>
  <c r="Q28" i="63"/>
  <c r="S28" i="63" s="1"/>
  <c r="G68" i="63"/>
  <c r="G73" i="63" s="1"/>
  <c r="G107" i="63" s="1"/>
  <c r="G88" i="63"/>
  <c r="G58" i="63"/>
  <c r="K68" i="63"/>
  <c r="K73" i="63" s="1"/>
  <c r="K107" i="63" s="1"/>
  <c r="K88" i="63"/>
  <c r="K58" i="63"/>
  <c r="O68" i="63"/>
  <c r="O73" i="63" s="1"/>
  <c r="O107" i="63" s="1"/>
  <c r="O88" i="63"/>
  <c r="O58" i="63"/>
  <c r="Q63" i="63"/>
  <c r="Q66" i="63"/>
  <c r="Q71" i="63"/>
  <c r="I98" i="63"/>
  <c r="Q103" i="63"/>
  <c r="Q20" i="63"/>
  <c r="F58" i="63"/>
  <c r="J58" i="63"/>
  <c r="N58" i="63"/>
  <c r="E68" i="63"/>
  <c r="E73" i="63" s="1"/>
  <c r="F88" i="63"/>
  <c r="J88" i="63"/>
  <c r="N88" i="63"/>
  <c r="F98" i="63"/>
  <c r="J98" i="63"/>
  <c r="N98" i="63"/>
  <c r="F104" i="63"/>
  <c r="J104" i="63"/>
  <c r="J105" i="63" s="1"/>
  <c r="N104" i="63"/>
  <c r="N105" i="63" s="1"/>
  <c r="Q15" i="63"/>
  <c r="F68" i="63"/>
  <c r="F73" i="63" s="1"/>
  <c r="F107" i="63" s="1"/>
  <c r="H58" i="63"/>
  <c r="L58" i="63"/>
  <c r="P58" i="63"/>
  <c r="I90" i="63" l="1"/>
  <c r="M106" i="63"/>
  <c r="E36" i="63"/>
  <c r="E90" i="63"/>
  <c r="T16" i="63"/>
  <c r="E74" i="63"/>
  <c r="P106" i="63"/>
  <c r="P74" i="63"/>
  <c r="P90" i="63"/>
  <c r="Q68" i="63"/>
  <c r="Q73" i="63" s="1"/>
  <c r="O90" i="63"/>
  <c r="O106" i="63"/>
  <c r="O74" i="63"/>
  <c r="H106" i="63"/>
  <c r="H74" i="63"/>
  <c r="H90" i="63"/>
  <c r="J106" i="63"/>
  <c r="J74" i="63"/>
  <c r="J90" i="63"/>
  <c r="I74" i="63"/>
  <c r="G90" i="63"/>
  <c r="G106" i="63"/>
  <c r="G74" i="63"/>
  <c r="M74" i="63"/>
  <c r="E107" i="63"/>
  <c r="Q107" i="63" s="1"/>
  <c r="F36" i="63"/>
  <c r="Q104" i="63"/>
  <c r="Q105" i="63" s="1"/>
  <c r="F106" i="63"/>
  <c r="F74" i="63"/>
  <c r="F90" i="63"/>
  <c r="Q58" i="63"/>
  <c r="K90" i="63"/>
  <c r="K106" i="63"/>
  <c r="K74" i="63"/>
  <c r="L106" i="63"/>
  <c r="L74" i="63"/>
  <c r="L90" i="63"/>
  <c r="N106" i="63"/>
  <c r="N74" i="63"/>
  <c r="N90" i="63"/>
  <c r="Q98" i="63"/>
  <c r="F105" i="63"/>
  <c r="Q90" i="63" l="1"/>
  <c r="Q106" i="63"/>
  <c r="G36" i="63"/>
  <c r="F23" i="63"/>
  <c r="H36" i="63" l="1"/>
  <c r="G23" i="63" l="1"/>
  <c r="I36" i="63" l="1"/>
  <c r="H23" i="63" l="1"/>
  <c r="J36" i="63" l="1"/>
  <c r="I23" i="63" l="1"/>
  <c r="K36" i="63"/>
  <c r="J23" i="63" l="1"/>
  <c r="L36" i="63"/>
  <c r="M36" i="63" l="1"/>
  <c r="K23" i="63"/>
  <c r="L23" i="63" l="1"/>
  <c r="N36" i="63"/>
  <c r="O36" i="63" l="1"/>
  <c r="M23" i="63"/>
  <c r="N23" i="63" l="1"/>
  <c r="Q35" i="63"/>
  <c r="P36" i="63" l="1"/>
  <c r="Q34" i="63"/>
  <c r="Q36" i="63" s="1"/>
  <c r="D29" i="5" s="1"/>
  <c r="O23" i="63"/>
  <c r="Q22" i="63" l="1"/>
  <c r="P23" i="63" l="1"/>
  <c r="Q21" i="63"/>
  <c r="Q23" i="63" l="1"/>
  <c r="O107" i="62"/>
  <c r="N107" i="62"/>
  <c r="M107" i="62"/>
  <c r="L107" i="62"/>
  <c r="K107" i="62"/>
  <c r="J107" i="62"/>
  <c r="I107" i="62"/>
  <c r="H107" i="62"/>
  <c r="G107" i="62"/>
  <c r="F107" i="62"/>
  <c r="E107" i="62"/>
  <c r="D107" i="62"/>
  <c r="P106" i="62"/>
  <c r="P105" i="62"/>
  <c r="P104" i="62"/>
  <c r="O101" i="62"/>
  <c r="N101" i="62"/>
  <c r="M101" i="62"/>
  <c r="L101" i="62"/>
  <c r="K101" i="62"/>
  <c r="J101" i="62"/>
  <c r="I101" i="62"/>
  <c r="H101" i="62"/>
  <c r="G101" i="62"/>
  <c r="F101" i="62"/>
  <c r="E101" i="62"/>
  <c r="D101" i="62"/>
  <c r="P100" i="62"/>
  <c r="P99" i="62"/>
  <c r="C20" i="5" s="1"/>
  <c r="P98" i="62"/>
  <c r="O97" i="62"/>
  <c r="N97" i="62"/>
  <c r="M97" i="62"/>
  <c r="L97" i="62"/>
  <c r="K97" i="62"/>
  <c r="J97" i="62"/>
  <c r="I97" i="62"/>
  <c r="H97" i="62"/>
  <c r="G97" i="62"/>
  <c r="F97" i="62"/>
  <c r="E97" i="62"/>
  <c r="D97" i="62"/>
  <c r="O91" i="62"/>
  <c r="N91" i="62"/>
  <c r="M91" i="62"/>
  <c r="L91" i="62"/>
  <c r="K91" i="62"/>
  <c r="J91" i="62"/>
  <c r="I91" i="62"/>
  <c r="H91" i="62"/>
  <c r="G91" i="62"/>
  <c r="F91" i="62"/>
  <c r="E91" i="62"/>
  <c r="D91" i="62"/>
  <c r="C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C90" i="62"/>
  <c r="O89" i="62"/>
  <c r="N89" i="62"/>
  <c r="M89" i="62"/>
  <c r="L89" i="62"/>
  <c r="K89" i="62"/>
  <c r="J89" i="62"/>
  <c r="I89" i="62"/>
  <c r="H89" i="62"/>
  <c r="G89" i="62"/>
  <c r="F89" i="62"/>
  <c r="E89" i="62"/>
  <c r="D89" i="62"/>
  <c r="C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C88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C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C86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85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C84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C83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C82" i="62"/>
  <c r="O81" i="62"/>
  <c r="N81" i="62"/>
  <c r="M81" i="62"/>
  <c r="L81" i="62"/>
  <c r="K81" i="62"/>
  <c r="J81" i="62"/>
  <c r="I81" i="62"/>
  <c r="H81" i="62"/>
  <c r="G81" i="62"/>
  <c r="F81" i="62"/>
  <c r="E81" i="62"/>
  <c r="D81" i="62"/>
  <c r="C81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C79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C77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C76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C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C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C73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C72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O69" i="62"/>
  <c r="O92" i="62" s="1"/>
  <c r="N69" i="62"/>
  <c r="M69" i="62"/>
  <c r="L69" i="62"/>
  <c r="K69" i="62"/>
  <c r="J69" i="62"/>
  <c r="I69" i="62"/>
  <c r="H69" i="62"/>
  <c r="G69" i="62"/>
  <c r="G92" i="62" s="1"/>
  <c r="F69" i="62"/>
  <c r="E69" i="62"/>
  <c r="D69" i="62"/>
  <c r="C69" i="62"/>
  <c r="B69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P67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Q64" i="62"/>
  <c r="P64" i="62"/>
  <c r="Q63" i="62"/>
  <c r="P63" i="62"/>
  <c r="Q62" i="62"/>
  <c r="P62" i="62"/>
  <c r="Q61" i="62"/>
  <c r="P61" i="62"/>
  <c r="Q60" i="62"/>
  <c r="P60" i="62"/>
  <c r="Q59" i="62"/>
  <c r="P59" i="62"/>
  <c r="Q58" i="62"/>
  <c r="P58" i="62"/>
  <c r="Q57" i="62"/>
  <c r="P57" i="62"/>
  <c r="Q56" i="62"/>
  <c r="P56" i="62"/>
  <c r="Q55" i="62"/>
  <c r="P55" i="62"/>
  <c r="Q54" i="62"/>
  <c r="P54" i="62"/>
  <c r="Q53" i="62"/>
  <c r="P53" i="62"/>
  <c r="Q52" i="62"/>
  <c r="P52" i="62"/>
  <c r="Q51" i="62"/>
  <c r="P51" i="62"/>
  <c r="Q50" i="62"/>
  <c r="P50" i="62"/>
  <c r="Q49" i="62"/>
  <c r="P49" i="62"/>
  <c r="Q48" i="62"/>
  <c r="R48" i="62" s="1"/>
  <c r="P48" i="62"/>
  <c r="Q47" i="62"/>
  <c r="P47" i="62"/>
  <c r="Q46" i="62"/>
  <c r="P46" i="62"/>
  <c r="Q45" i="62"/>
  <c r="P45" i="62"/>
  <c r="Q44" i="62"/>
  <c r="P44" i="62"/>
  <c r="Q43" i="62"/>
  <c r="P43" i="62"/>
  <c r="Q42" i="62"/>
  <c r="P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P36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D33" i="62" s="1"/>
  <c r="Q26" i="62"/>
  <c r="R26" i="62" s="1"/>
  <c r="S26" i="62" s="1"/>
  <c r="P26" i="62"/>
  <c r="Q25" i="62"/>
  <c r="R25" i="62" s="1"/>
  <c r="S25" i="62" s="1"/>
  <c r="P25" i="62"/>
  <c r="Q24" i="62"/>
  <c r="R24" i="62" s="1"/>
  <c r="S24" i="62" s="1"/>
  <c r="P24" i="62"/>
  <c r="Q23" i="62"/>
  <c r="R23" i="62" s="1"/>
  <c r="S23" i="62" s="1"/>
  <c r="P23" i="62"/>
  <c r="Q22" i="62"/>
  <c r="R22" i="62" s="1"/>
  <c r="S22" i="62" s="1"/>
  <c r="P22" i="62"/>
  <c r="Q21" i="62"/>
  <c r="R21" i="62" s="1"/>
  <c r="S21" i="62" s="1"/>
  <c r="P21" i="62"/>
  <c r="Q20" i="62"/>
  <c r="R20" i="62" s="1"/>
  <c r="S20" i="62" s="1"/>
  <c r="P20" i="62"/>
  <c r="Q19" i="62"/>
  <c r="R19" i="62" s="1"/>
  <c r="S19" i="62" s="1"/>
  <c r="P19" i="62"/>
  <c r="Q18" i="62"/>
  <c r="R18" i="62" s="1"/>
  <c r="S18" i="62" s="1"/>
  <c r="P18" i="62"/>
  <c r="Q17" i="62"/>
  <c r="R17" i="62" s="1"/>
  <c r="S17" i="62" s="1"/>
  <c r="P17" i="62"/>
  <c r="Q16" i="62"/>
  <c r="R16" i="62" s="1"/>
  <c r="S16" i="62" s="1"/>
  <c r="P16" i="62"/>
  <c r="Q15" i="62"/>
  <c r="R15" i="62" s="1"/>
  <c r="S15" i="62" s="1"/>
  <c r="P15" i="62"/>
  <c r="Q14" i="62"/>
  <c r="R14" i="62" s="1"/>
  <c r="S14" i="62" s="1"/>
  <c r="P14" i="62"/>
  <c r="Q13" i="62"/>
  <c r="R13" i="62" s="1"/>
  <c r="S13" i="62" s="1"/>
  <c r="P13" i="62"/>
  <c r="Q12" i="62"/>
  <c r="R12" i="62" s="1"/>
  <c r="S12" i="62" s="1"/>
  <c r="P12" i="62"/>
  <c r="Q11" i="62"/>
  <c r="R11" i="62" s="1"/>
  <c r="S11" i="62" s="1"/>
  <c r="P11" i="62"/>
  <c r="Q10" i="62"/>
  <c r="R10" i="62" s="1"/>
  <c r="S10" i="62" s="1"/>
  <c r="P10" i="62"/>
  <c r="Q9" i="62"/>
  <c r="R9" i="62" s="1"/>
  <c r="S9" i="62" s="1"/>
  <c r="P9" i="62"/>
  <c r="Q8" i="62"/>
  <c r="R8" i="62" s="1"/>
  <c r="S8" i="62" s="1"/>
  <c r="P8" i="62"/>
  <c r="Q7" i="62"/>
  <c r="R7" i="62" s="1"/>
  <c r="S7" i="62" s="1"/>
  <c r="P7" i="62"/>
  <c r="Q6" i="62"/>
  <c r="R6" i="62" s="1"/>
  <c r="S6" i="62" s="1"/>
  <c r="P6" i="62"/>
  <c r="Q5" i="62"/>
  <c r="R5" i="62" s="1"/>
  <c r="S5" i="62" s="1"/>
  <c r="P5" i="62"/>
  <c r="Q4" i="62"/>
  <c r="P4" i="62"/>
  <c r="S1" i="62"/>
  <c r="R1" i="62"/>
  <c r="R56" i="62" l="1"/>
  <c r="R64" i="62"/>
  <c r="D92" i="62"/>
  <c r="L92" i="62"/>
  <c r="P80" i="62"/>
  <c r="P88" i="62"/>
  <c r="D37" i="62"/>
  <c r="D38" i="62" s="1"/>
  <c r="E34" i="62"/>
  <c r="I92" i="62"/>
  <c r="R49" i="62"/>
  <c r="P77" i="62"/>
  <c r="P107" i="62"/>
  <c r="K92" i="62"/>
  <c r="P27" i="62"/>
  <c r="R54" i="62"/>
  <c r="E92" i="62"/>
  <c r="M92" i="62"/>
  <c r="R47" i="62"/>
  <c r="R51" i="62"/>
  <c r="P73" i="62"/>
  <c r="P84" i="62"/>
  <c r="J92" i="62"/>
  <c r="P72" i="62"/>
  <c r="P76" i="62"/>
  <c r="P79" i="62"/>
  <c r="P83" i="62"/>
  <c r="P87" i="62"/>
  <c r="P91" i="62"/>
  <c r="P65" i="62"/>
  <c r="P69" i="62"/>
  <c r="H92" i="62"/>
  <c r="P71" i="62"/>
  <c r="P75" i="62"/>
  <c r="P78" i="62"/>
  <c r="P82" i="62"/>
  <c r="P86" i="62"/>
  <c r="P90" i="62"/>
  <c r="P108" i="62"/>
  <c r="F92" i="62"/>
  <c r="N92" i="62"/>
  <c r="P74" i="62"/>
  <c r="P81" i="62"/>
  <c r="P85" i="62"/>
  <c r="P89" i="62"/>
  <c r="Q27" i="62"/>
  <c r="R43" i="62"/>
  <c r="R62" i="62"/>
  <c r="R57" i="62"/>
  <c r="R52" i="62"/>
  <c r="R55" i="62"/>
  <c r="R63" i="62"/>
  <c r="R42" i="62"/>
  <c r="R50" i="62"/>
  <c r="R58" i="62"/>
  <c r="R53" i="62"/>
  <c r="R61" i="62"/>
  <c r="R59" i="62"/>
  <c r="R60" i="62"/>
  <c r="R46" i="62"/>
  <c r="R45" i="62"/>
  <c r="R44" i="62"/>
  <c r="P101" i="62"/>
  <c r="R4" i="62"/>
  <c r="P70" i="62"/>
  <c r="P92" i="62" l="1"/>
  <c r="E33" i="62"/>
  <c r="R27" i="62"/>
  <c r="S4" i="62"/>
  <c r="S27" i="62" s="1"/>
  <c r="E37" i="62" l="1"/>
  <c r="E38" i="62" s="1"/>
  <c r="F34" i="62"/>
  <c r="S28" i="62"/>
  <c r="F33" i="62" l="1"/>
  <c r="F37" i="62" l="1"/>
  <c r="F38" i="62" s="1"/>
  <c r="G34" i="62"/>
  <c r="N39" i="45"/>
  <c r="M36" i="45"/>
  <c r="L36" i="45"/>
  <c r="K36" i="45"/>
  <c r="K9" i="45" s="1"/>
  <c r="J36" i="45"/>
  <c r="I36" i="45"/>
  <c r="I9" i="45" s="1"/>
  <c r="I10" i="45" s="1"/>
  <c r="H36" i="45"/>
  <c r="G36" i="45"/>
  <c r="F36" i="45"/>
  <c r="E36" i="45"/>
  <c r="E9" i="45" s="1"/>
  <c r="D36" i="45"/>
  <c r="C36" i="45"/>
  <c r="C9" i="45" s="1"/>
  <c r="B36" i="45"/>
  <c r="N35" i="45"/>
  <c r="N34" i="45"/>
  <c r="N33" i="45"/>
  <c r="N32" i="45"/>
  <c r="N31" i="45"/>
  <c r="N30" i="45"/>
  <c r="N29" i="45"/>
  <c r="N2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M16" i="45"/>
  <c r="M17" i="45" s="1"/>
  <c r="L16" i="45"/>
  <c r="L17" i="45" s="1"/>
  <c r="L19" i="45" s="1"/>
  <c r="M75" i="3" s="1"/>
  <c r="K16" i="45"/>
  <c r="K17" i="45" s="1"/>
  <c r="K19" i="45" s="1"/>
  <c r="L75" i="3" s="1"/>
  <c r="J16" i="45"/>
  <c r="J17" i="45" s="1"/>
  <c r="I16" i="45"/>
  <c r="I17" i="45" s="1"/>
  <c r="H16" i="45"/>
  <c r="H17" i="45" s="1"/>
  <c r="H19" i="45" s="1"/>
  <c r="G16" i="45"/>
  <c r="G17" i="45" s="1"/>
  <c r="G19" i="45" s="1"/>
  <c r="F16" i="45"/>
  <c r="F17" i="45" s="1"/>
  <c r="E16" i="45"/>
  <c r="E17" i="45" s="1"/>
  <c r="D16" i="45"/>
  <c r="D17" i="45" s="1"/>
  <c r="D19" i="45" s="1"/>
  <c r="C16" i="45"/>
  <c r="C17" i="45" s="1"/>
  <c r="C19" i="45" s="1"/>
  <c r="B16" i="45"/>
  <c r="B17" i="45" s="1"/>
  <c r="N15" i="45"/>
  <c r="N14" i="45"/>
  <c r="N13" i="45"/>
  <c r="M9" i="45"/>
  <c r="L9" i="45"/>
  <c r="J9" i="45"/>
  <c r="H9" i="45"/>
  <c r="G9" i="45"/>
  <c r="F9" i="45"/>
  <c r="D9" i="45"/>
  <c r="B9" i="45"/>
  <c r="M8" i="45"/>
  <c r="L8" i="45"/>
  <c r="L10" i="45" s="1"/>
  <c r="M74" i="3" s="1"/>
  <c r="K8" i="45"/>
  <c r="J8" i="45"/>
  <c r="I8" i="45"/>
  <c r="H8" i="45"/>
  <c r="G8" i="45"/>
  <c r="F8" i="45"/>
  <c r="E8" i="45"/>
  <c r="D8" i="45"/>
  <c r="D10" i="45" s="1"/>
  <c r="C8" i="45"/>
  <c r="B8" i="45"/>
  <c r="N7" i="45"/>
  <c r="N6" i="45"/>
  <c r="N5" i="45"/>
  <c r="N4" i="45"/>
  <c r="C2" i="45"/>
  <c r="D2" i="45" s="1"/>
  <c r="E2" i="45" s="1"/>
  <c r="F2" i="45" s="1"/>
  <c r="G2" i="45" s="1"/>
  <c r="H2" i="45" s="1"/>
  <c r="I2" i="45" s="1"/>
  <c r="J2" i="45" s="1"/>
  <c r="K2" i="45" s="1"/>
  <c r="L2" i="45" s="1"/>
  <c r="M2" i="45" s="1"/>
  <c r="M10" i="45" l="1"/>
  <c r="N74" i="3" s="1"/>
  <c r="E10" i="45"/>
  <c r="F10" i="45"/>
  <c r="F19" i="45"/>
  <c r="B19" i="45"/>
  <c r="J19" i="45"/>
  <c r="C10" i="45"/>
  <c r="C21" i="45" s="1"/>
  <c r="C20" i="45" s="1"/>
  <c r="E19" i="45"/>
  <c r="M19" i="45"/>
  <c r="N75" i="3" s="1"/>
  <c r="N36" i="45"/>
  <c r="N8" i="45"/>
  <c r="K10" i="45"/>
  <c r="L74" i="3" s="1"/>
  <c r="J10" i="45"/>
  <c r="G10" i="45"/>
  <c r="G21" i="45" s="1"/>
  <c r="G20" i="45" s="1"/>
  <c r="I19" i="45"/>
  <c r="I21" i="45" s="1"/>
  <c r="N18" i="45"/>
  <c r="B10" i="45"/>
  <c r="G33" i="62"/>
  <c r="H10" i="45"/>
  <c r="H21" i="45" s="1"/>
  <c r="K21" i="45"/>
  <c r="K11" i="45" s="1"/>
  <c r="D21" i="45"/>
  <c r="D11" i="45" s="1"/>
  <c r="L21" i="45"/>
  <c r="L11" i="45" s="1"/>
  <c r="F21" i="45"/>
  <c r="F20" i="45" s="1"/>
  <c r="N16" i="45"/>
  <c r="N17" i="45" s="1"/>
  <c r="N19" i="45" s="1"/>
  <c r="N9" i="45"/>
  <c r="E21" i="45" l="1"/>
  <c r="E11" i="45" s="1"/>
  <c r="B21" i="45"/>
  <c r="M21" i="45"/>
  <c r="M11" i="45" s="1"/>
  <c r="J21" i="45"/>
  <c r="J20" i="45" s="1"/>
  <c r="H11" i="45"/>
  <c r="H20" i="45"/>
  <c r="I20" i="45"/>
  <c r="I11" i="45"/>
  <c r="G37" i="62"/>
  <c r="G38" i="62" s="1"/>
  <c r="H34" i="62"/>
  <c r="N10" i="45"/>
  <c r="M20" i="45"/>
  <c r="K20" i="45"/>
  <c r="F11" i="45"/>
  <c r="E20" i="45"/>
  <c r="N21" i="45"/>
  <c r="N20" i="45" s="1"/>
  <c r="C11" i="45"/>
  <c r="D20" i="45"/>
  <c r="G11" i="45"/>
  <c r="B20" i="45"/>
  <c r="L20" i="45"/>
  <c r="J11" i="45"/>
  <c r="B11" i="45"/>
  <c r="N11" i="45" l="1"/>
  <c r="H33" i="62"/>
  <c r="E18" i="5"/>
  <c r="E17" i="5"/>
  <c r="C34" i="5"/>
  <c r="I34" i="62" l="1"/>
  <c r="I33" i="62" s="1"/>
  <c r="H37" i="62"/>
  <c r="H38" i="62" s="1"/>
  <c r="P110" i="62"/>
  <c r="J34" i="62" l="1"/>
  <c r="J33" i="62" s="1"/>
  <c r="I37" i="62"/>
  <c r="I38" i="62" s="1"/>
  <c r="AP15" i="61"/>
  <c r="AC16" i="61"/>
  <c r="K34" i="62" l="1"/>
  <c r="K33" i="62" s="1"/>
  <c r="J37" i="62"/>
  <c r="J38" i="62" s="1"/>
  <c r="L70" i="3"/>
  <c r="D114" i="64"/>
  <c r="E114" i="64"/>
  <c r="F114" i="64"/>
  <c r="G114" i="64"/>
  <c r="H114" i="64"/>
  <c r="I114" i="64"/>
  <c r="J114" i="64"/>
  <c r="K114" i="64"/>
  <c r="L114" i="64"/>
  <c r="M114" i="64"/>
  <c r="N114" i="64"/>
  <c r="D116" i="64"/>
  <c r="E116" i="64"/>
  <c r="F116" i="64"/>
  <c r="G116" i="64"/>
  <c r="H116" i="64"/>
  <c r="I116" i="64"/>
  <c r="J116" i="64"/>
  <c r="K116" i="64"/>
  <c r="L116" i="64"/>
  <c r="M116" i="64"/>
  <c r="N116" i="64"/>
  <c r="C116" i="64"/>
  <c r="C114" i="64"/>
  <c r="D100" i="64"/>
  <c r="E100" i="64"/>
  <c r="F100" i="64"/>
  <c r="G100" i="64"/>
  <c r="H100" i="64"/>
  <c r="I100" i="64"/>
  <c r="J100" i="64"/>
  <c r="K100" i="64"/>
  <c r="L100" i="64"/>
  <c r="M100" i="64"/>
  <c r="N100" i="64"/>
  <c r="C100" i="64"/>
  <c r="L34" i="62" l="1"/>
  <c r="L33" i="62" s="1"/>
  <c r="K37" i="62"/>
  <c r="K38" i="62" s="1"/>
  <c r="O117" i="64"/>
  <c r="M34" i="62" l="1"/>
  <c r="M33" i="62" s="1"/>
  <c r="L37" i="62"/>
  <c r="L38" i="62" s="1"/>
  <c r="C69" i="20"/>
  <c r="C68" i="20"/>
  <c r="N34" i="62" l="1"/>
  <c r="N33" i="62" s="1"/>
  <c r="M37" i="62"/>
  <c r="M38" i="62" s="1"/>
  <c r="A111" i="64"/>
  <c r="A110" i="64"/>
  <c r="A109" i="64"/>
  <c r="A108" i="64"/>
  <c r="A107" i="64"/>
  <c r="A106" i="64"/>
  <c r="A96" i="64"/>
  <c r="A95" i="64"/>
  <c r="A94" i="64"/>
  <c r="A93" i="64"/>
  <c r="A92" i="64"/>
  <c r="A73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A39" i="64"/>
  <c r="A56" i="64" s="1"/>
  <c r="A71" i="64" s="1"/>
  <c r="A38" i="64"/>
  <c r="A55" i="64" s="1"/>
  <c r="A70" i="64" s="1"/>
  <c r="A37" i="64"/>
  <c r="A54" i="64" s="1"/>
  <c r="A69" i="64" s="1"/>
  <c r="A36" i="64"/>
  <c r="A53" i="64" s="1"/>
  <c r="A68" i="64" s="1"/>
  <c r="A35" i="64"/>
  <c r="A52" i="64" s="1"/>
  <c r="A67" i="64" s="1"/>
  <c r="N32" i="64"/>
  <c r="M32" i="64"/>
  <c r="L32" i="64"/>
  <c r="K32" i="64"/>
  <c r="J32" i="64"/>
  <c r="I32" i="64"/>
  <c r="H32" i="64"/>
  <c r="G32" i="64"/>
  <c r="F32" i="64"/>
  <c r="E32" i="64"/>
  <c r="D32" i="64"/>
  <c r="C32" i="64"/>
  <c r="A31" i="64"/>
  <c r="A49" i="64" s="1"/>
  <c r="A64" i="64" s="1"/>
  <c r="A30" i="64"/>
  <c r="A48" i="64" s="1"/>
  <c r="A63" i="64" s="1"/>
  <c r="A29" i="64"/>
  <c r="A47" i="64" s="1"/>
  <c r="A62" i="64" s="1"/>
  <c r="A28" i="64"/>
  <c r="A46" i="64" s="1"/>
  <c r="A61" i="64" s="1"/>
  <c r="A27" i="64"/>
  <c r="A45" i="64" s="1"/>
  <c r="A60" i="64" s="1"/>
  <c r="N23" i="64"/>
  <c r="M23" i="64"/>
  <c r="L23" i="64"/>
  <c r="K23" i="64"/>
  <c r="J23" i="64"/>
  <c r="I23" i="64"/>
  <c r="H23" i="64"/>
  <c r="G23" i="64"/>
  <c r="F23" i="64"/>
  <c r="E23" i="64"/>
  <c r="D23" i="64"/>
  <c r="C23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A5" i="64"/>
  <c r="F5" i="64" s="1"/>
  <c r="O34" i="62" l="1"/>
  <c r="N37" i="62"/>
  <c r="N38" i="62" s="1"/>
  <c r="J5" i="64"/>
  <c r="J73" i="64" s="1"/>
  <c r="O115" i="64"/>
  <c r="O100" i="64"/>
  <c r="N5" i="64"/>
  <c r="N43" i="64" s="1"/>
  <c r="N46" i="64" s="1"/>
  <c r="N61" i="64" s="1"/>
  <c r="F73" i="64"/>
  <c r="F42" i="64"/>
  <c r="F90" i="64"/>
  <c r="K5" i="64"/>
  <c r="G5" i="64"/>
  <c r="C5" i="64"/>
  <c r="C43" i="64" s="1"/>
  <c r="C45" i="64" s="1"/>
  <c r="M5" i="64"/>
  <c r="E5" i="64"/>
  <c r="L5" i="64"/>
  <c r="H5" i="64"/>
  <c r="D5" i="64"/>
  <c r="I5" i="64"/>
  <c r="F43" i="64"/>
  <c r="O33" i="62" l="1"/>
  <c r="P34" i="62"/>
  <c r="J42" i="64"/>
  <c r="N42" i="64"/>
  <c r="J90" i="64"/>
  <c r="N74" i="64"/>
  <c r="J43" i="64"/>
  <c r="J53" i="64" s="1"/>
  <c r="J68" i="64" s="1"/>
  <c r="N73" i="64"/>
  <c r="N48" i="64"/>
  <c r="N63" i="64" s="1"/>
  <c r="N54" i="64"/>
  <c r="N69" i="64" s="1"/>
  <c r="N47" i="64"/>
  <c r="N62" i="64" s="1"/>
  <c r="N56" i="64"/>
  <c r="N71" i="64" s="1"/>
  <c r="N53" i="64"/>
  <c r="N68" i="64" s="1"/>
  <c r="N45" i="64"/>
  <c r="N60" i="64" s="1"/>
  <c r="N49" i="64"/>
  <c r="N64" i="64" s="1"/>
  <c r="N52" i="64"/>
  <c r="N67" i="64" s="1"/>
  <c r="N90" i="64"/>
  <c r="N55" i="64"/>
  <c r="N70" i="64" s="1"/>
  <c r="C90" i="64"/>
  <c r="C73" i="64"/>
  <c r="C42" i="64"/>
  <c r="F56" i="64"/>
  <c r="F71" i="64" s="1"/>
  <c r="F52" i="64"/>
  <c r="F67" i="64" s="1"/>
  <c r="F46" i="64"/>
  <c r="F61" i="64" s="1"/>
  <c r="F53" i="64"/>
  <c r="F68" i="64" s="1"/>
  <c r="F47" i="64"/>
  <c r="F62" i="64" s="1"/>
  <c r="F49" i="64"/>
  <c r="F64" i="64" s="1"/>
  <c r="F74" i="64"/>
  <c r="F45" i="64"/>
  <c r="F60" i="64" s="1"/>
  <c r="F48" i="64"/>
  <c r="F63" i="64" s="1"/>
  <c r="F55" i="64"/>
  <c r="F70" i="64" s="1"/>
  <c r="F54" i="64"/>
  <c r="F69" i="64" s="1"/>
  <c r="I43" i="64"/>
  <c r="I42" i="64"/>
  <c r="I90" i="64"/>
  <c r="I73" i="64"/>
  <c r="E42" i="64"/>
  <c r="E90" i="64"/>
  <c r="E43" i="64"/>
  <c r="E73" i="64"/>
  <c r="K90" i="64"/>
  <c r="K73" i="64"/>
  <c r="K42" i="64"/>
  <c r="K43" i="64"/>
  <c r="H43" i="64"/>
  <c r="H90" i="64"/>
  <c r="H73" i="64"/>
  <c r="H42" i="64"/>
  <c r="D43" i="64"/>
  <c r="D90" i="64"/>
  <c r="D73" i="64"/>
  <c r="D42" i="64"/>
  <c r="M43" i="64"/>
  <c r="M73" i="64"/>
  <c r="M90" i="64"/>
  <c r="M42" i="64"/>
  <c r="L43" i="64"/>
  <c r="L42" i="64"/>
  <c r="L90" i="64"/>
  <c r="L73" i="64"/>
  <c r="G90" i="64"/>
  <c r="G73" i="64"/>
  <c r="G43" i="64"/>
  <c r="G42" i="64"/>
  <c r="P33" i="62" l="1"/>
  <c r="O37" i="62"/>
  <c r="O38" i="62" s="1"/>
  <c r="J46" i="64"/>
  <c r="J61" i="64" s="1"/>
  <c r="N85" i="64"/>
  <c r="N108" i="64" s="1"/>
  <c r="N79" i="64"/>
  <c r="N95" i="64" s="1"/>
  <c r="N87" i="64"/>
  <c r="N110" i="64" s="1"/>
  <c r="F85" i="64"/>
  <c r="F108" i="64" s="1"/>
  <c r="F79" i="64"/>
  <c r="F95" i="64" s="1"/>
  <c r="F87" i="64"/>
  <c r="F110" i="64" s="1"/>
  <c r="J48" i="64"/>
  <c r="J63" i="64" s="1"/>
  <c r="J55" i="64"/>
  <c r="J70" i="64" s="1"/>
  <c r="J49" i="64"/>
  <c r="J64" i="64" s="1"/>
  <c r="J74" i="64"/>
  <c r="J54" i="64"/>
  <c r="J69" i="64" s="1"/>
  <c r="J47" i="64"/>
  <c r="J62" i="64" s="1"/>
  <c r="J56" i="64"/>
  <c r="J71" i="64" s="1"/>
  <c r="J52" i="64"/>
  <c r="J67" i="64" s="1"/>
  <c r="J45" i="64"/>
  <c r="J60" i="64" s="1"/>
  <c r="M53" i="64"/>
  <c r="M68" i="64" s="1"/>
  <c r="M47" i="64"/>
  <c r="M62" i="64" s="1"/>
  <c r="M54" i="64"/>
  <c r="M69" i="64" s="1"/>
  <c r="M48" i="64"/>
  <c r="M63" i="64" s="1"/>
  <c r="M56" i="64"/>
  <c r="M71" i="64" s="1"/>
  <c r="M46" i="64"/>
  <c r="M61" i="64" s="1"/>
  <c r="M74" i="64"/>
  <c r="M55" i="64"/>
  <c r="M70" i="64" s="1"/>
  <c r="M45" i="64"/>
  <c r="M60" i="64" s="1"/>
  <c r="M52" i="64"/>
  <c r="M67" i="64" s="1"/>
  <c r="M49" i="64"/>
  <c r="M64" i="64" s="1"/>
  <c r="C74" i="64"/>
  <c r="C55" i="64"/>
  <c r="C70" i="64" s="1"/>
  <c r="C49" i="64"/>
  <c r="C64" i="64" s="1"/>
  <c r="C60" i="64"/>
  <c r="C56" i="64"/>
  <c r="C71" i="64" s="1"/>
  <c r="C52" i="64"/>
  <c r="C67" i="64" s="1"/>
  <c r="C46" i="64"/>
  <c r="C61" i="64" s="1"/>
  <c r="C48" i="64"/>
  <c r="C63" i="64" s="1"/>
  <c r="C47" i="64"/>
  <c r="C62" i="64" s="1"/>
  <c r="C54" i="64"/>
  <c r="C69" i="64" s="1"/>
  <c r="C53" i="64"/>
  <c r="C68" i="64" s="1"/>
  <c r="K74" i="64"/>
  <c r="K55" i="64"/>
  <c r="K70" i="64" s="1"/>
  <c r="K49" i="64"/>
  <c r="K64" i="64" s="1"/>
  <c r="K45" i="64"/>
  <c r="K60" i="64" s="1"/>
  <c r="K56" i="64"/>
  <c r="K71" i="64" s="1"/>
  <c r="K52" i="64"/>
  <c r="K67" i="64" s="1"/>
  <c r="K46" i="64"/>
  <c r="K61" i="64" s="1"/>
  <c r="K48" i="64"/>
  <c r="K63" i="64" s="1"/>
  <c r="K47" i="64"/>
  <c r="K62" i="64" s="1"/>
  <c r="K54" i="64"/>
  <c r="K69" i="64" s="1"/>
  <c r="K53" i="64"/>
  <c r="K68" i="64" s="1"/>
  <c r="I53" i="64"/>
  <c r="I68" i="64" s="1"/>
  <c r="I47" i="64"/>
  <c r="I62" i="64" s="1"/>
  <c r="I54" i="64"/>
  <c r="I69" i="64" s="1"/>
  <c r="I48" i="64"/>
  <c r="I63" i="64" s="1"/>
  <c r="I52" i="64"/>
  <c r="I67" i="64" s="1"/>
  <c r="I49" i="64"/>
  <c r="I64" i="64" s="1"/>
  <c r="I56" i="64"/>
  <c r="I71" i="64" s="1"/>
  <c r="I46" i="64"/>
  <c r="I61" i="64" s="1"/>
  <c r="I74" i="64"/>
  <c r="I45" i="64"/>
  <c r="I60" i="64" s="1"/>
  <c r="I55" i="64"/>
  <c r="I70" i="64" s="1"/>
  <c r="L54" i="64"/>
  <c r="L69" i="64" s="1"/>
  <c r="L48" i="64"/>
  <c r="L63" i="64" s="1"/>
  <c r="L74" i="64"/>
  <c r="L55" i="64"/>
  <c r="L70" i="64" s="1"/>
  <c r="L49" i="64"/>
  <c r="L64" i="64" s="1"/>
  <c r="L45" i="64"/>
  <c r="L60" i="64" s="1"/>
  <c r="L53" i="64"/>
  <c r="L68" i="64" s="1"/>
  <c r="L52" i="64"/>
  <c r="L67" i="64" s="1"/>
  <c r="L47" i="64"/>
  <c r="L62" i="64" s="1"/>
  <c r="L56" i="64"/>
  <c r="L71" i="64" s="1"/>
  <c r="L46" i="64"/>
  <c r="L61" i="64" s="1"/>
  <c r="G74" i="64"/>
  <c r="G55" i="64"/>
  <c r="G70" i="64" s="1"/>
  <c r="G49" i="64"/>
  <c r="G64" i="64" s="1"/>
  <c r="G45" i="64"/>
  <c r="G60" i="64" s="1"/>
  <c r="G56" i="64"/>
  <c r="G71" i="64" s="1"/>
  <c r="G52" i="64"/>
  <c r="G67" i="64" s="1"/>
  <c r="G46" i="64"/>
  <c r="G61" i="64" s="1"/>
  <c r="G54" i="64"/>
  <c r="G69" i="64" s="1"/>
  <c r="G53" i="64"/>
  <c r="G68" i="64" s="1"/>
  <c r="G48" i="64"/>
  <c r="G63" i="64" s="1"/>
  <c r="G47" i="64"/>
  <c r="G62" i="64" s="1"/>
  <c r="D54" i="64"/>
  <c r="D69" i="64" s="1"/>
  <c r="D48" i="64"/>
  <c r="D63" i="64" s="1"/>
  <c r="D74" i="64"/>
  <c r="D55" i="64"/>
  <c r="D70" i="64" s="1"/>
  <c r="D49" i="64"/>
  <c r="D64" i="64" s="1"/>
  <c r="D45" i="64"/>
  <c r="D60" i="64" s="1"/>
  <c r="D53" i="64"/>
  <c r="D68" i="64" s="1"/>
  <c r="D52" i="64"/>
  <c r="D67" i="64" s="1"/>
  <c r="D47" i="64"/>
  <c r="D62" i="64" s="1"/>
  <c r="D46" i="64"/>
  <c r="D61" i="64" s="1"/>
  <c r="D56" i="64"/>
  <c r="D71" i="64" s="1"/>
  <c r="H54" i="64"/>
  <c r="H69" i="64" s="1"/>
  <c r="H48" i="64"/>
  <c r="H63" i="64" s="1"/>
  <c r="H74" i="64"/>
  <c r="H55" i="64"/>
  <c r="H70" i="64" s="1"/>
  <c r="H49" i="64"/>
  <c r="H64" i="64" s="1"/>
  <c r="H45" i="64"/>
  <c r="H60" i="64" s="1"/>
  <c r="H47" i="64"/>
  <c r="H62" i="64" s="1"/>
  <c r="H56" i="64"/>
  <c r="H71" i="64" s="1"/>
  <c r="H46" i="64"/>
  <c r="H61" i="64" s="1"/>
  <c r="H53" i="64"/>
  <c r="H68" i="64" s="1"/>
  <c r="H52" i="64"/>
  <c r="H67" i="64" s="1"/>
  <c r="E53" i="64"/>
  <c r="E68" i="64" s="1"/>
  <c r="E47" i="64"/>
  <c r="E62" i="64" s="1"/>
  <c r="E54" i="64"/>
  <c r="E69" i="64" s="1"/>
  <c r="E48" i="64"/>
  <c r="E63" i="64" s="1"/>
  <c r="E56" i="64"/>
  <c r="E71" i="64" s="1"/>
  <c r="E46" i="64"/>
  <c r="E61" i="64" s="1"/>
  <c r="E52" i="64"/>
  <c r="E67" i="64" s="1"/>
  <c r="E74" i="64"/>
  <c r="E55" i="64"/>
  <c r="E70" i="64" s="1"/>
  <c r="E45" i="64"/>
  <c r="E60" i="64" s="1"/>
  <c r="E49" i="64"/>
  <c r="E64" i="64" s="1"/>
  <c r="L79" i="64" l="1"/>
  <c r="L95" i="64" s="1"/>
  <c r="L85" i="64"/>
  <c r="L108" i="64" s="1"/>
  <c r="L87" i="64"/>
  <c r="L110" i="64" s="1"/>
  <c r="J85" i="64"/>
  <c r="J108" i="64" s="1"/>
  <c r="J79" i="64"/>
  <c r="J95" i="64" s="1"/>
  <c r="J87" i="64"/>
  <c r="J110" i="64" s="1"/>
  <c r="D79" i="64"/>
  <c r="D95" i="64" s="1"/>
  <c r="D87" i="64"/>
  <c r="D110" i="64" s="1"/>
  <c r="D85" i="64"/>
  <c r="D108" i="64" s="1"/>
  <c r="I87" i="64"/>
  <c r="I110" i="64" s="1"/>
  <c r="I79" i="64"/>
  <c r="I95" i="64" s="1"/>
  <c r="I85" i="64"/>
  <c r="I108" i="64" s="1"/>
  <c r="E85" i="64"/>
  <c r="E108" i="64" s="1"/>
  <c r="E79" i="64"/>
  <c r="E95" i="64" s="1"/>
  <c r="E87" i="64"/>
  <c r="E110" i="64" s="1"/>
  <c r="H79" i="64"/>
  <c r="H95" i="64" s="1"/>
  <c r="H85" i="64"/>
  <c r="H108" i="64" s="1"/>
  <c r="H87" i="64"/>
  <c r="H110" i="64" s="1"/>
  <c r="G87" i="64"/>
  <c r="G110" i="64" s="1"/>
  <c r="G79" i="64"/>
  <c r="G95" i="64" s="1"/>
  <c r="G85" i="64"/>
  <c r="G108" i="64" s="1"/>
  <c r="K87" i="64"/>
  <c r="K110" i="64" s="1"/>
  <c r="K85" i="64"/>
  <c r="K108" i="64" s="1"/>
  <c r="K79" i="64"/>
  <c r="K95" i="64" s="1"/>
  <c r="M85" i="64"/>
  <c r="M108" i="64" s="1"/>
  <c r="M79" i="64"/>
  <c r="M95" i="64" s="1"/>
  <c r="M87" i="64"/>
  <c r="M110" i="64" s="1"/>
  <c r="C85" i="64"/>
  <c r="C108" i="64" s="1"/>
  <c r="C87" i="64"/>
  <c r="C110" i="64" s="1"/>
  <c r="C79" i="64"/>
  <c r="C95" i="64" s="1"/>
  <c r="P38" i="62" l="1"/>
  <c r="C28" i="5"/>
  <c r="O95" i="64"/>
  <c r="O108" i="64"/>
  <c r="O110" i="64"/>
  <c r="D20" i="5" l="1"/>
  <c r="D28" i="5" s="1"/>
  <c r="O116" i="64" l="1"/>
  <c r="D101" i="64"/>
  <c r="L101" i="64"/>
  <c r="F101" i="64"/>
  <c r="H101" i="64"/>
  <c r="K101" i="64" l="1"/>
  <c r="M101" i="64"/>
  <c r="I101" i="64"/>
  <c r="N101" i="64"/>
  <c r="E101" i="64"/>
  <c r="G101" i="64"/>
  <c r="J101" i="64"/>
  <c r="O102" i="64"/>
  <c r="O114" i="64"/>
  <c r="O101" i="64" l="1"/>
  <c r="Q84" i="49" l="1"/>
  <c r="Q85" i="49" s="1"/>
  <c r="R84" i="49"/>
  <c r="R85" i="49"/>
  <c r="R86" i="49"/>
  <c r="Q87" i="49"/>
  <c r="Q88" i="49" s="1"/>
  <c r="R87" i="49"/>
  <c r="R88" i="49"/>
  <c r="R89" i="49"/>
  <c r="T84" i="49" l="1"/>
  <c r="S84" i="49"/>
  <c r="Q89" i="49"/>
  <c r="T89" i="49" s="1"/>
  <c r="T88" i="49"/>
  <c r="Q86" i="49"/>
  <c r="T86" i="49" s="1"/>
  <c r="T85" i="49"/>
  <c r="S88" i="49"/>
  <c r="S87" i="49"/>
  <c r="T87" i="49"/>
  <c r="S85" i="49"/>
  <c r="C61" i="20"/>
  <c r="C60" i="20"/>
  <c r="C53" i="20"/>
  <c r="C45" i="20"/>
  <c r="C32" i="20"/>
  <c r="C26" i="20"/>
  <c r="C20" i="20"/>
  <c r="C12" i="20"/>
  <c r="C12" i="19"/>
  <c r="C20" i="19"/>
  <c r="C26" i="19"/>
  <c r="C32" i="19"/>
  <c r="C45" i="19"/>
  <c r="C53" i="19"/>
  <c r="C61" i="19"/>
  <c r="C60" i="19"/>
  <c r="I74" i="3"/>
  <c r="J74" i="3"/>
  <c r="K74" i="3"/>
  <c r="S86" i="49" l="1"/>
  <c r="S89" i="49"/>
  <c r="O117" i="47" l="1"/>
  <c r="I75" i="3" l="1"/>
  <c r="G75" i="3"/>
  <c r="F75" i="3"/>
  <c r="E75" i="3"/>
  <c r="C75" i="3"/>
  <c r="K75" i="3"/>
  <c r="J75" i="3"/>
  <c r="H75" i="3"/>
  <c r="D75" i="3"/>
  <c r="H74" i="3"/>
  <c r="F74" i="3"/>
  <c r="E74" i="3"/>
  <c r="D74" i="3"/>
  <c r="C74" i="3"/>
  <c r="G74" i="3" l="1"/>
  <c r="M49" i="61"/>
  <c r="L49" i="61"/>
  <c r="K49" i="61"/>
  <c r="J49" i="61"/>
  <c r="I49" i="61"/>
  <c r="H49" i="61"/>
  <c r="G49" i="61"/>
  <c r="F49" i="61"/>
  <c r="E49" i="61"/>
  <c r="D49" i="61"/>
  <c r="C49" i="61"/>
  <c r="B49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B53" i="61" s="1"/>
  <c r="B54" i="61" s="1"/>
  <c r="B58" i="61" s="1"/>
  <c r="B47" i="61"/>
  <c r="C47" i="61" s="1"/>
  <c r="D47" i="61" s="1"/>
  <c r="E47" i="61" s="1"/>
  <c r="F47" i="61" s="1"/>
  <c r="G47" i="61" s="1"/>
  <c r="H47" i="61" s="1"/>
  <c r="I47" i="61" s="1"/>
  <c r="J47" i="61" s="1"/>
  <c r="K47" i="61" s="1"/>
  <c r="L47" i="61" s="1"/>
  <c r="M47" i="61" s="1"/>
  <c r="E45" i="61"/>
  <c r="G45" i="61" s="1"/>
  <c r="I45" i="61" s="1"/>
  <c r="K45" i="61" s="1"/>
  <c r="M45" i="61" s="1"/>
  <c r="O45" i="61" s="1"/>
  <c r="Q45" i="61" s="1"/>
  <c r="S45" i="61" s="1"/>
  <c r="U45" i="61" s="1"/>
  <c r="W45" i="61" s="1"/>
  <c r="Y45" i="61" s="1"/>
  <c r="D45" i="61"/>
  <c r="F45" i="61" s="1"/>
  <c r="H45" i="61" s="1"/>
  <c r="AY39" i="61"/>
  <c r="AX39" i="61"/>
  <c r="AW39" i="61"/>
  <c r="AV39" i="61"/>
  <c r="AU39" i="61"/>
  <c r="AT39" i="61"/>
  <c r="AS39" i="61"/>
  <c r="AR39" i="61"/>
  <c r="AQ39" i="61"/>
  <c r="AP39" i="61"/>
  <c r="AO39" i="61"/>
  <c r="AN39" i="61"/>
  <c r="AL39" i="61"/>
  <c r="AK39" i="61"/>
  <c r="AJ39" i="61"/>
  <c r="AI39" i="61"/>
  <c r="AH39" i="61"/>
  <c r="AG39" i="61"/>
  <c r="AF39" i="61"/>
  <c r="AE39" i="61"/>
  <c r="AD39" i="61"/>
  <c r="AC39" i="61"/>
  <c r="AB39" i="61"/>
  <c r="AA39" i="61"/>
  <c r="AY38" i="61"/>
  <c r="AX38" i="61"/>
  <c r="AW38" i="61"/>
  <c r="AV38" i="61"/>
  <c r="AU38" i="61"/>
  <c r="AT38" i="61"/>
  <c r="AS38" i="61"/>
  <c r="AR38" i="61"/>
  <c r="AQ38" i="61"/>
  <c r="AP38" i="61"/>
  <c r="AO38" i="61"/>
  <c r="AN38" i="61"/>
  <c r="AL38" i="61"/>
  <c r="AK38" i="61"/>
  <c r="AJ38" i="61"/>
  <c r="AI38" i="61"/>
  <c r="AH38" i="61"/>
  <c r="AG38" i="61"/>
  <c r="AF38" i="61"/>
  <c r="AE38" i="61"/>
  <c r="AD38" i="61"/>
  <c r="AC38" i="61"/>
  <c r="AB38" i="61"/>
  <c r="AA38" i="61"/>
  <c r="AY37" i="61"/>
  <c r="AX37" i="61"/>
  <c r="AW37" i="61"/>
  <c r="AV37" i="61"/>
  <c r="AU37" i="61"/>
  <c r="AT37" i="61"/>
  <c r="AS37" i="61"/>
  <c r="AR37" i="61"/>
  <c r="AQ37" i="61"/>
  <c r="AP37" i="61"/>
  <c r="AO37" i="61"/>
  <c r="AN37" i="61"/>
  <c r="AL37" i="61"/>
  <c r="AK37" i="61"/>
  <c r="AJ37" i="61"/>
  <c r="AI37" i="61"/>
  <c r="AH37" i="61"/>
  <c r="AG37" i="61"/>
  <c r="AF37" i="61"/>
  <c r="AE37" i="61"/>
  <c r="AD37" i="61"/>
  <c r="AC37" i="61"/>
  <c r="AB37" i="61"/>
  <c r="AA37" i="61"/>
  <c r="AY36" i="61"/>
  <c r="AX36" i="61"/>
  <c r="AW36" i="61"/>
  <c r="AV36" i="61"/>
  <c r="AU36" i="61"/>
  <c r="AT36" i="61"/>
  <c r="AS36" i="61"/>
  <c r="AR36" i="61"/>
  <c r="AQ36" i="61"/>
  <c r="AP36" i="61"/>
  <c r="AO36" i="61"/>
  <c r="AN36" i="61"/>
  <c r="AL36" i="61"/>
  <c r="AK36" i="61"/>
  <c r="AJ36" i="61"/>
  <c r="AI36" i="61"/>
  <c r="AH36" i="61"/>
  <c r="AG36" i="61"/>
  <c r="AF36" i="61"/>
  <c r="AE36" i="61"/>
  <c r="AD36" i="61"/>
  <c r="AC36" i="61"/>
  <c r="AB36" i="61"/>
  <c r="AA36" i="61"/>
  <c r="AY35" i="61"/>
  <c r="AX35" i="61"/>
  <c r="AW35" i="61"/>
  <c r="AV35" i="61"/>
  <c r="AU35" i="61"/>
  <c r="AT35" i="61"/>
  <c r="AS35" i="61"/>
  <c r="AR35" i="61"/>
  <c r="AQ35" i="61"/>
  <c r="AP35" i="61"/>
  <c r="AO35" i="61"/>
  <c r="AN35" i="61"/>
  <c r="AL35" i="61"/>
  <c r="AK35" i="61"/>
  <c r="AJ35" i="61"/>
  <c r="AI35" i="61"/>
  <c r="AH35" i="61"/>
  <c r="AG35" i="61"/>
  <c r="AF35" i="61"/>
  <c r="AE35" i="61"/>
  <c r="AD35" i="61"/>
  <c r="AC35" i="61"/>
  <c r="AB35" i="61"/>
  <c r="AA35" i="61"/>
  <c r="AY34" i="61"/>
  <c r="AX34" i="61"/>
  <c r="AW34" i="61"/>
  <c r="AV34" i="61"/>
  <c r="AU34" i="61"/>
  <c r="AT34" i="61"/>
  <c r="AS34" i="61"/>
  <c r="AR34" i="61"/>
  <c r="AQ34" i="61"/>
  <c r="AP34" i="61"/>
  <c r="AO34" i="61"/>
  <c r="AN34" i="61"/>
  <c r="AL34" i="61"/>
  <c r="AK34" i="61"/>
  <c r="AJ34" i="61"/>
  <c r="AI34" i="61"/>
  <c r="AH34" i="61"/>
  <c r="AG34" i="61"/>
  <c r="AF34" i="61"/>
  <c r="AE34" i="61"/>
  <c r="AD34" i="61"/>
  <c r="AC34" i="61"/>
  <c r="AB34" i="61"/>
  <c r="AA34" i="61"/>
  <c r="AY33" i="61"/>
  <c r="AX33" i="61"/>
  <c r="AW33" i="61"/>
  <c r="AV33" i="61"/>
  <c r="AU33" i="61"/>
  <c r="AT33" i="61"/>
  <c r="AS33" i="61"/>
  <c r="AR33" i="61"/>
  <c r="AQ33" i="61"/>
  <c r="AP33" i="61"/>
  <c r="AO33" i="61"/>
  <c r="AN33" i="61"/>
  <c r="AL33" i="61"/>
  <c r="AK33" i="61"/>
  <c r="AJ33" i="61"/>
  <c r="AI33" i="61"/>
  <c r="AH33" i="61"/>
  <c r="AG33" i="61"/>
  <c r="AF33" i="61"/>
  <c r="AE33" i="61"/>
  <c r="AD33" i="61"/>
  <c r="AC33" i="61"/>
  <c r="AB33" i="61"/>
  <c r="AA33" i="61"/>
  <c r="AY32" i="61"/>
  <c r="AX32" i="61"/>
  <c r="AW32" i="61"/>
  <c r="AV32" i="61"/>
  <c r="AU32" i="61"/>
  <c r="AT32" i="61"/>
  <c r="AS32" i="61"/>
  <c r="AR32" i="61"/>
  <c r="AQ32" i="61"/>
  <c r="AP32" i="61"/>
  <c r="AO32" i="61"/>
  <c r="AN32" i="61"/>
  <c r="AL32" i="61"/>
  <c r="AK32" i="61"/>
  <c r="AJ32" i="61"/>
  <c r="AI32" i="61"/>
  <c r="AH32" i="61"/>
  <c r="AG32" i="61"/>
  <c r="AF32" i="61"/>
  <c r="AE32" i="61"/>
  <c r="AD32" i="61"/>
  <c r="AC32" i="61"/>
  <c r="AB32" i="61"/>
  <c r="AA32" i="61"/>
  <c r="AY31" i="61"/>
  <c r="AX31" i="61"/>
  <c r="AW31" i="61"/>
  <c r="AV31" i="61"/>
  <c r="AU31" i="61"/>
  <c r="AT31" i="61"/>
  <c r="AS31" i="61"/>
  <c r="AR31" i="61"/>
  <c r="AQ31" i="61"/>
  <c r="AP31" i="61"/>
  <c r="AO31" i="61"/>
  <c r="AN31" i="61"/>
  <c r="AL31" i="61"/>
  <c r="AK31" i="61"/>
  <c r="AJ31" i="61"/>
  <c r="AI31" i="61"/>
  <c r="AH31" i="61"/>
  <c r="AG31" i="61"/>
  <c r="AF31" i="61"/>
  <c r="AE31" i="61"/>
  <c r="AD31" i="61"/>
  <c r="AC31" i="61"/>
  <c r="AB31" i="61"/>
  <c r="AA31" i="61"/>
  <c r="AY30" i="61"/>
  <c r="AX30" i="61"/>
  <c r="AW30" i="61"/>
  <c r="AV30" i="61"/>
  <c r="AU30" i="61"/>
  <c r="AT30" i="61"/>
  <c r="AS30" i="61"/>
  <c r="AR30" i="61"/>
  <c r="AQ30" i="61"/>
  <c r="AP30" i="61"/>
  <c r="AO30" i="61"/>
  <c r="AN30" i="61"/>
  <c r="AL30" i="61"/>
  <c r="AK30" i="61"/>
  <c r="AJ30" i="61"/>
  <c r="AI30" i="61"/>
  <c r="AH30" i="61"/>
  <c r="AG30" i="61"/>
  <c r="AF30" i="61"/>
  <c r="AE30" i="61"/>
  <c r="AD30" i="61"/>
  <c r="AC30" i="61"/>
  <c r="AB30" i="61"/>
  <c r="AA30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AY28" i="61"/>
  <c r="AX28" i="61"/>
  <c r="AW28" i="61"/>
  <c r="AV28" i="61"/>
  <c r="AU28" i="61"/>
  <c r="AT28" i="61"/>
  <c r="AS28" i="61"/>
  <c r="AR28" i="61"/>
  <c r="AQ28" i="61"/>
  <c r="AP28" i="61"/>
  <c r="AO28" i="61"/>
  <c r="AN28" i="61"/>
  <c r="AL28" i="61"/>
  <c r="AK28" i="61"/>
  <c r="AJ28" i="61"/>
  <c r="AI28" i="61"/>
  <c r="AH28" i="61"/>
  <c r="AG28" i="61"/>
  <c r="AF28" i="61"/>
  <c r="AE28" i="61"/>
  <c r="AD28" i="61"/>
  <c r="AC28" i="61"/>
  <c r="AB28" i="61"/>
  <c r="AA28" i="61"/>
  <c r="AY27" i="61"/>
  <c r="AX27" i="61"/>
  <c r="AW27" i="61"/>
  <c r="AV27" i="61"/>
  <c r="AU27" i="61"/>
  <c r="AT27" i="61"/>
  <c r="AS27" i="61"/>
  <c r="AR27" i="61"/>
  <c r="AQ27" i="61"/>
  <c r="AP27" i="61"/>
  <c r="AO27" i="61"/>
  <c r="AN27" i="61"/>
  <c r="AL27" i="61"/>
  <c r="AK27" i="61"/>
  <c r="AJ27" i="61"/>
  <c r="AI27" i="61"/>
  <c r="AH27" i="61"/>
  <c r="AG27" i="61"/>
  <c r="AF27" i="61"/>
  <c r="AE27" i="61"/>
  <c r="AD27" i="61"/>
  <c r="AC27" i="61"/>
  <c r="AB27" i="61"/>
  <c r="AA27" i="61"/>
  <c r="AY26" i="61"/>
  <c r="AX26" i="61"/>
  <c r="AW26" i="61"/>
  <c r="AV26" i="61"/>
  <c r="AU26" i="61"/>
  <c r="AT26" i="61"/>
  <c r="AS26" i="61"/>
  <c r="AR26" i="61"/>
  <c r="AQ26" i="61"/>
  <c r="AP26" i="61"/>
  <c r="AO26" i="61"/>
  <c r="AN26" i="61"/>
  <c r="AL26" i="61"/>
  <c r="AK26" i="61"/>
  <c r="AJ26" i="61"/>
  <c r="AI26" i="61"/>
  <c r="AH26" i="61"/>
  <c r="AG26" i="61"/>
  <c r="AF26" i="61"/>
  <c r="AE26" i="61"/>
  <c r="AD26" i="61"/>
  <c r="AC26" i="61"/>
  <c r="AB26" i="61"/>
  <c r="AA26" i="61"/>
  <c r="AY25" i="61"/>
  <c r="AX25" i="61"/>
  <c r="AW25" i="61"/>
  <c r="AV25" i="61"/>
  <c r="AU25" i="61"/>
  <c r="AT25" i="61"/>
  <c r="AS25" i="61"/>
  <c r="AR25" i="61"/>
  <c r="AQ25" i="61"/>
  <c r="AP25" i="61"/>
  <c r="AO25" i="61"/>
  <c r="AN25" i="61"/>
  <c r="AL25" i="61"/>
  <c r="AK25" i="61"/>
  <c r="AJ25" i="61"/>
  <c r="AI25" i="61"/>
  <c r="AH25" i="61"/>
  <c r="AG25" i="61"/>
  <c r="AF25" i="61"/>
  <c r="AE25" i="61"/>
  <c r="AD25" i="61"/>
  <c r="AC25" i="61"/>
  <c r="AB25" i="61"/>
  <c r="AA25" i="61"/>
  <c r="AY24" i="61"/>
  <c r="AX24" i="61"/>
  <c r="AW24" i="61"/>
  <c r="AV24" i="61"/>
  <c r="AU24" i="61"/>
  <c r="AT24" i="61"/>
  <c r="AS24" i="61"/>
  <c r="AR24" i="61"/>
  <c r="AQ24" i="61"/>
  <c r="AP24" i="61"/>
  <c r="AO24" i="61"/>
  <c r="AN24" i="61"/>
  <c r="AL24" i="61"/>
  <c r="AK24" i="61"/>
  <c r="AJ24" i="61"/>
  <c r="AI24" i="61"/>
  <c r="AH24" i="61"/>
  <c r="AG24" i="61"/>
  <c r="AF24" i="61"/>
  <c r="AE24" i="61"/>
  <c r="AD24" i="61"/>
  <c r="AC24" i="61"/>
  <c r="AB24" i="61"/>
  <c r="AA24" i="61"/>
  <c r="AY23" i="61"/>
  <c r="AX23" i="61"/>
  <c r="AW23" i="61"/>
  <c r="AV23" i="61"/>
  <c r="AU23" i="61"/>
  <c r="AT23" i="61"/>
  <c r="AS23" i="61"/>
  <c r="AR23" i="61"/>
  <c r="AQ23" i="61"/>
  <c r="AP23" i="61"/>
  <c r="AO23" i="61"/>
  <c r="AN23" i="61"/>
  <c r="AL23" i="61"/>
  <c r="AK23" i="61"/>
  <c r="AJ23" i="61"/>
  <c r="AI23" i="61"/>
  <c r="AH23" i="61"/>
  <c r="AG23" i="61"/>
  <c r="AF23" i="61"/>
  <c r="AE23" i="61"/>
  <c r="AD23" i="61"/>
  <c r="AC23" i="61"/>
  <c r="AB23" i="61"/>
  <c r="AA23" i="61"/>
  <c r="AY22" i="61"/>
  <c r="AX22" i="61"/>
  <c r="AW22" i="61"/>
  <c r="AV22" i="61"/>
  <c r="AU22" i="61"/>
  <c r="AT22" i="61"/>
  <c r="AS22" i="61"/>
  <c r="AR22" i="61"/>
  <c r="AQ22" i="61"/>
  <c r="AP22" i="61"/>
  <c r="AO22" i="61"/>
  <c r="AN22" i="61"/>
  <c r="AL22" i="61"/>
  <c r="AK22" i="61"/>
  <c r="AJ22" i="61"/>
  <c r="AI22" i="61"/>
  <c r="AH22" i="61"/>
  <c r="AG22" i="61"/>
  <c r="AF22" i="61"/>
  <c r="AE22" i="61"/>
  <c r="AD22" i="61"/>
  <c r="AC22" i="61"/>
  <c r="AB22" i="61"/>
  <c r="AA22" i="61"/>
  <c r="AY21" i="61"/>
  <c r="AX21" i="61"/>
  <c r="AW21" i="61"/>
  <c r="AV21" i="61"/>
  <c r="AU21" i="61"/>
  <c r="AT21" i="61"/>
  <c r="AS21" i="61"/>
  <c r="AR21" i="61"/>
  <c r="AQ21" i="61"/>
  <c r="AP21" i="61"/>
  <c r="AO21" i="61"/>
  <c r="AN21" i="61"/>
  <c r="AL21" i="61"/>
  <c r="AK21" i="61"/>
  <c r="AJ21" i="61"/>
  <c r="AI21" i="61"/>
  <c r="AH21" i="61"/>
  <c r="AG21" i="61"/>
  <c r="AF21" i="61"/>
  <c r="AE21" i="61"/>
  <c r="AD21" i="61"/>
  <c r="AC21" i="61"/>
  <c r="AB21" i="61"/>
  <c r="AA21" i="61"/>
  <c r="AY20" i="61"/>
  <c r="AX20" i="61"/>
  <c r="AW20" i="61"/>
  <c r="AV20" i="61"/>
  <c r="AU20" i="61"/>
  <c r="AT20" i="61"/>
  <c r="AS20" i="61"/>
  <c r="AR20" i="61"/>
  <c r="AQ20" i="61"/>
  <c r="AP20" i="61"/>
  <c r="AO20" i="61"/>
  <c r="AN20" i="61"/>
  <c r="AL20" i="61"/>
  <c r="AK20" i="61"/>
  <c r="AJ20" i="61"/>
  <c r="AI20" i="61"/>
  <c r="AH20" i="61"/>
  <c r="AG20" i="61"/>
  <c r="AF20" i="61"/>
  <c r="AE20" i="61"/>
  <c r="AD20" i="61"/>
  <c r="AC20" i="61"/>
  <c r="AB20" i="61"/>
  <c r="AA20" i="61"/>
  <c r="AY19" i="61"/>
  <c r="AX19" i="61"/>
  <c r="AW19" i="61"/>
  <c r="AV19" i="61"/>
  <c r="AU19" i="61"/>
  <c r="AT19" i="61"/>
  <c r="AS19" i="61"/>
  <c r="AR19" i="61"/>
  <c r="AQ19" i="61"/>
  <c r="AP19" i="61"/>
  <c r="AO19" i="61"/>
  <c r="AN19" i="61"/>
  <c r="AL19" i="61"/>
  <c r="AK19" i="61"/>
  <c r="AJ19" i="61"/>
  <c r="AI19" i="61"/>
  <c r="AH19" i="61"/>
  <c r="AG19" i="61"/>
  <c r="AF19" i="61"/>
  <c r="AE19" i="61"/>
  <c r="AD19" i="61"/>
  <c r="AC19" i="61"/>
  <c r="AB19" i="61"/>
  <c r="AA19" i="6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AY17" i="61"/>
  <c r="AX17" i="61"/>
  <c r="AW17" i="61"/>
  <c r="AV17" i="61"/>
  <c r="AU17" i="61"/>
  <c r="AT17" i="61"/>
  <c r="AS17" i="61"/>
  <c r="AR17" i="61"/>
  <c r="AQ17" i="61"/>
  <c r="AP17" i="61"/>
  <c r="AO17" i="61"/>
  <c r="AN17" i="61"/>
  <c r="AL17" i="61"/>
  <c r="AK17" i="61"/>
  <c r="AJ17" i="61"/>
  <c r="AI17" i="61"/>
  <c r="AH17" i="61"/>
  <c r="AG17" i="61"/>
  <c r="AF17" i="61"/>
  <c r="AE17" i="61"/>
  <c r="AD17" i="61"/>
  <c r="AC17" i="61"/>
  <c r="AB17" i="61"/>
  <c r="AA17" i="61"/>
  <c r="AY16" i="61"/>
  <c r="AX16" i="61"/>
  <c r="AW16" i="61"/>
  <c r="AV16" i="61"/>
  <c r="AU16" i="61"/>
  <c r="AT16" i="61"/>
  <c r="AS16" i="61"/>
  <c r="AR16" i="61"/>
  <c r="AQ16" i="61"/>
  <c r="AP16" i="61"/>
  <c r="AO16" i="61"/>
  <c r="AN16" i="61"/>
  <c r="AL16" i="61"/>
  <c r="AK16" i="61"/>
  <c r="AJ16" i="61"/>
  <c r="AI16" i="61"/>
  <c r="AH16" i="61"/>
  <c r="AG16" i="61"/>
  <c r="AF16" i="61"/>
  <c r="AE16" i="61"/>
  <c r="AD16" i="61"/>
  <c r="AB16" i="61"/>
  <c r="AA16" i="61"/>
  <c r="AY15" i="61"/>
  <c r="AX15" i="61"/>
  <c r="AW15" i="61"/>
  <c r="AV15" i="61"/>
  <c r="AU15" i="61"/>
  <c r="AT15" i="61"/>
  <c r="AS15" i="61"/>
  <c r="AR15" i="61"/>
  <c r="AQ15" i="61"/>
  <c r="AO15" i="61"/>
  <c r="AN15" i="61"/>
  <c r="AL15" i="61"/>
  <c r="AK15" i="61"/>
  <c r="AJ15" i="61"/>
  <c r="AI15" i="61"/>
  <c r="AH15" i="61"/>
  <c r="AG15" i="61"/>
  <c r="AF15" i="61"/>
  <c r="AE15" i="61"/>
  <c r="AD15" i="61"/>
  <c r="AC15" i="61"/>
  <c r="AB15" i="61"/>
  <c r="AA15" i="61"/>
  <c r="AY14" i="61"/>
  <c r="AX14" i="61"/>
  <c r="AW14" i="61"/>
  <c r="AV14" i="61"/>
  <c r="AU14" i="61"/>
  <c r="AT14" i="61"/>
  <c r="AS14" i="61"/>
  <c r="AR14" i="61"/>
  <c r="AQ14" i="61"/>
  <c r="AP14" i="61"/>
  <c r="AO14" i="61"/>
  <c r="AN14" i="61"/>
  <c r="AL14" i="61"/>
  <c r="AK14" i="61"/>
  <c r="AJ14" i="61"/>
  <c r="AI14" i="61"/>
  <c r="AH14" i="61"/>
  <c r="AG14" i="61"/>
  <c r="AF14" i="61"/>
  <c r="AE14" i="61"/>
  <c r="AD14" i="61"/>
  <c r="AC14" i="61"/>
  <c r="AB14" i="61"/>
  <c r="AA14" i="61"/>
  <c r="AY13" i="61"/>
  <c r="AX13" i="61"/>
  <c r="AW13" i="61"/>
  <c r="AV13" i="61"/>
  <c r="AU13" i="61"/>
  <c r="AT13" i="61"/>
  <c r="AS13" i="61"/>
  <c r="AR13" i="61"/>
  <c r="AQ13" i="61"/>
  <c r="AP13" i="61"/>
  <c r="AO13" i="61"/>
  <c r="AN13" i="61"/>
  <c r="AL13" i="61"/>
  <c r="AK13" i="61"/>
  <c r="AJ13" i="61"/>
  <c r="AI13" i="61"/>
  <c r="AH13" i="61"/>
  <c r="AG13" i="61"/>
  <c r="AF13" i="61"/>
  <c r="AE13" i="61"/>
  <c r="AD13" i="61"/>
  <c r="AC13" i="61"/>
  <c r="AB13" i="61"/>
  <c r="AA13" i="61"/>
  <c r="AY12" i="61"/>
  <c r="AX12" i="61"/>
  <c r="AW12" i="61"/>
  <c r="AV12" i="61"/>
  <c r="AU12" i="61"/>
  <c r="AT12" i="61"/>
  <c r="AS12" i="61"/>
  <c r="AR12" i="61"/>
  <c r="AQ12" i="61"/>
  <c r="AP12" i="61"/>
  <c r="AO12" i="61"/>
  <c r="AN12" i="61"/>
  <c r="AL12" i="61"/>
  <c r="AK12" i="61"/>
  <c r="AJ12" i="61"/>
  <c r="AI12" i="61"/>
  <c r="AH12" i="61"/>
  <c r="AG12" i="61"/>
  <c r="AF12" i="61"/>
  <c r="AE12" i="61"/>
  <c r="AD12" i="61"/>
  <c r="AC12" i="61"/>
  <c r="AB12" i="61"/>
  <c r="AA12" i="61"/>
  <c r="AY11" i="61"/>
  <c r="AX11" i="61"/>
  <c r="AW11" i="61"/>
  <c r="AV11" i="61"/>
  <c r="AU11" i="61"/>
  <c r="AT11" i="61"/>
  <c r="AS11" i="61"/>
  <c r="AR11" i="61"/>
  <c r="AQ11" i="61"/>
  <c r="AP11" i="61"/>
  <c r="AO11" i="61"/>
  <c r="AN11" i="61"/>
  <c r="AL11" i="61"/>
  <c r="AK11" i="61"/>
  <c r="AJ11" i="61"/>
  <c r="AI11" i="61"/>
  <c r="AH11" i="61"/>
  <c r="AG11" i="61"/>
  <c r="AF11" i="61"/>
  <c r="AE11" i="61"/>
  <c r="AD11" i="61"/>
  <c r="AC11" i="61"/>
  <c r="AB11" i="61"/>
  <c r="AA11" i="61"/>
  <c r="AY10" i="61"/>
  <c r="AX10" i="61"/>
  <c r="AW10" i="61"/>
  <c r="AV10" i="61"/>
  <c r="AU10" i="61"/>
  <c r="AT10" i="61"/>
  <c r="AS10" i="61"/>
  <c r="AR10" i="61"/>
  <c r="AQ10" i="61"/>
  <c r="AP10" i="61"/>
  <c r="AO10" i="61"/>
  <c r="AN10" i="61"/>
  <c r="AL10" i="61"/>
  <c r="AK10" i="61"/>
  <c r="AJ10" i="61"/>
  <c r="AI10" i="61"/>
  <c r="AH10" i="61"/>
  <c r="AG10" i="61"/>
  <c r="AF10" i="61"/>
  <c r="AE10" i="61"/>
  <c r="AD10" i="61"/>
  <c r="AC10" i="61"/>
  <c r="AB10" i="61"/>
  <c r="AA10" i="61"/>
  <c r="AY9" i="61"/>
  <c r="AX9" i="61"/>
  <c r="AW9" i="61"/>
  <c r="AV9" i="61"/>
  <c r="AU9" i="61"/>
  <c r="AT9" i="61"/>
  <c r="AS9" i="61"/>
  <c r="AR9" i="61"/>
  <c r="AQ9" i="61"/>
  <c r="AP9" i="61"/>
  <c r="AO9" i="61"/>
  <c r="AN9" i="61"/>
  <c r="AL9" i="61"/>
  <c r="AK9" i="61"/>
  <c r="AJ9" i="61"/>
  <c r="AI9" i="61"/>
  <c r="AH9" i="61"/>
  <c r="AG9" i="61"/>
  <c r="AF9" i="61"/>
  <c r="AE9" i="61"/>
  <c r="AD9" i="61"/>
  <c r="AC9" i="61"/>
  <c r="AB9" i="61"/>
  <c r="AA9" i="61"/>
  <c r="AA7" i="61"/>
  <c r="AB7" i="61" s="1"/>
  <c r="D7" i="61"/>
  <c r="F7" i="61" s="1"/>
  <c r="H7" i="61" s="1"/>
  <c r="J7" i="61" s="1"/>
  <c r="L7" i="61" s="1"/>
  <c r="N7" i="61" s="1"/>
  <c r="P7" i="61" s="1"/>
  <c r="R7" i="61" s="1"/>
  <c r="T7" i="61" s="1"/>
  <c r="V7" i="61" s="1"/>
  <c r="X7" i="61" s="1"/>
  <c r="AL63" i="61" l="1"/>
  <c r="AH63" i="61"/>
  <c r="AD63" i="61"/>
  <c r="AQ63" i="61" a="1"/>
  <c r="AQ63" i="61" s="1"/>
  <c r="AU63" i="61" a="1"/>
  <c r="AU63" i="61" s="1"/>
  <c r="AY63" i="61" a="1"/>
  <c r="AY63" i="61" s="1"/>
  <c r="BD14" i="61"/>
  <c r="C53" i="61"/>
  <c r="C54" i="61" s="1"/>
  <c r="C58" i="61" s="1"/>
  <c r="BD10" i="61"/>
  <c r="D53" i="61"/>
  <c r="BL10" i="61"/>
  <c r="BI16" i="61"/>
  <c r="BI20" i="61"/>
  <c r="BI21" i="61"/>
  <c r="BI25" i="61"/>
  <c r="BI28" i="61"/>
  <c r="BI29" i="61"/>
  <c r="BI32" i="61"/>
  <c r="BI36" i="61"/>
  <c r="BI37" i="61"/>
  <c r="BE27" i="61"/>
  <c r="BE28" i="61"/>
  <c r="BE37" i="61"/>
  <c r="AX63" i="61" a="1"/>
  <c r="AX63" i="61" s="1"/>
  <c r="BI24" i="61"/>
  <c r="BE33" i="61"/>
  <c r="BD12" i="61"/>
  <c r="BL12" i="61"/>
  <c r="BE21" i="61"/>
  <c r="BE31" i="61"/>
  <c r="BE32" i="61"/>
  <c r="BE15" i="61"/>
  <c r="BE16" i="61"/>
  <c r="AP63" i="61" a="1"/>
  <c r="AP63" i="61" s="1"/>
  <c r="BE11" i="61"/>
  <c r="BE13" i="61"/>
  <c r="BE23" i="61"/>
  <c r="BE24" i="61"/>
  <c r="BE25" i="61"/>
  <c r="BI33" i="61"/>
  <c r="BE35" i="61"/>
  <c r="BE36" i="61"/>
  <c r="BE9" i="61"/>
  <c r="BE17" i="61"/>
  <c r="BI17" i="61"/>
  <c r="BE19" i="61"/>
  <c r="BE20" i="61"/>
  <c r="BE29" i="61"/>
  <c r="BE39" i="61"/>
  <c r="D51" i="61"/>
  <c r="D52" i="61" s="1"/>
  <c r="BG10" i="61"/>
  <c r="BA11" i="61"/>
  <c r="BH12" i="61"/>
  <c r="BB13" i="61"/>
  <c r="BJ13" i="61"/>
  <c r="BA14" i="61"/>
  <c r="BI14" i="61"/>
  <c r="BD15" i="61"/>
  <c r="BL15" i="61"/>
  <c r="BG16" i="61"/>
  <c r="BA17" i="61"/>
  <c r="BC18" i="61"/>
  <c r="BK18" i="61"/>
  <c r="BC19" i="61"/>
  <c r="BK19" i="61"/>
  <c r="BF20" i="61"/>
  <c r="BD21" i="61"/>
  <c r="BL21" i="61"/>
  <c r="BF22" i="61"/>
  <c r="BB23" i="61"/>
  <c r="BJ23" i="61"/>
  <c r="BC25" i="61"/>
  <c r="BK25" i="61"/>
  <c r="BA26" i="61"/>
  <c r="BI26" i="61"/>
  <c r="BD28" i="61"/>
  <c r="BL28" i="61"/>
  <c r="BF29" i="61"/>
  <c r="BH30" i="61"/>
  <c r="BD31" i="61"/>
  <c r="BL31" i="61"/>
  <c r="BG32" i="61"/>
  <c r="BA33" i="61"/>
  <c r="BG34" i="61"/>
  <c r="BC35" i="61"/>
  <c r="BK35" i="61"/>
  <c r="BF36" i="61"/>
  <c r="BH37" i="61"/>
  <c r="BB38" i="61"/>
  <c r="BF38" i="61"/>
  <c r="BB39" i="61"/>
  <c r="BF39" i="61"/>
  <c r="BJ39" i="61"/>
  <c r="AC63" i="61"/>
  <c r="AK63" i="61"/>
  <c r="BG9" i="61"/>
  <c r="BF10" i="61"/>
  <c r="BH11" i="61"/>
  <c r="BC12" i="61"/>
  <c r="BK12" i="61"/>
  <c r="BI13" i="61"/>
  <c r="BG15" i="61"/>
  <c r="BF16" i="61"/>
  <c r="BH17" i="61"/>
  <c r="BB18" i="61"/>
  <c r="BJ18" i="61"/>
  <c r="BF19" i="61"/>
  <c r="BA20" i="61"/>
  <c r="BG21" i="61"/>
  <c r="BE22" i="61"/>
  <c r="BA23" i="61"/>
  <c r="BH24" i="61"/>
  <c r="BF25" i="61"/>
  <c r="BH26" i="61"/>
  <c r="BD27" i="61"/>
  <c r="BL27" i="61"/>
  <c r="BG28" i="61"/>
  <c r="BA29" i="61"/>
  <c r="BC30" i="61"/>
  <c r="BK30" i="61"/>
  <c r="BG31" i="61"/>
  <c r="BB32" i="61"/>
  <c r="BJ32" i="61"/>
  <c r="BD33" i="61"/>
  <c r="BL33" i="61"/>
  <c r="BF34" i="61"/>
  <c r="BB35" i="61"/>
  <c r="BJ35" i="61"/>
  <c r="BC37" i="61"/>
  <c r="BK37" i="61"/>
  <c r="BE38" i="61"/>
  <c r="AA63" i="61"/>
  <c r="AN63" i="61" a="1"/>
  <c r="AN63" i="61" s="1"/>
  <c r="AV63" i="61" a="1"/>
  <c r="AV63" i="61" s="1"/>
  <c r="BH10" i="61"/>
  <c r="BB11" i="61"/>
  <c r="BF11" i="61"/>
  <c r="BJ11" i="61"/>
  <c r="BA12" i="61"/>
  <c r="BE12" i="61"/>
  <c r="BI12" i="61"/>
  <c r="BC13" i="61"/>
  <c r="BG13" i="61"/>
  <c r="BK13" i="61"/>
  <c r="BB14" i="61"/>
  <c r="BF14" i="61"/>
  <c r="BJ14" i="61"/>
  <c r="BA15" i="61"/>
  <c r="BI15" i="61"/>
  <c r="BD16" i="61"/>
  <c r="BH16" i="61"/>
  <c r="BL16" i="61"/>
  <c r="BB17" i="61"/>
  <c r="BF17" i="61"/>
  <c r="BJ17" i="61"/>
  <c r="BD18" i="61"/>
  <c r="BH18" i="61"/>
  <c r="BL18" i="61"/>
  <c r="BD19" i="61"/>
  <c r="BH19" i="61"/>
  <c r="BL19" i="61"/>
  <c r="BC20" i="61"/>
  <c r="BG20" i="61"/>
  <c r="BK20" i="61"/>
  <c r="BA21" i="61"/>
  <c r="BC22" i="61"/>
  <c r="BG22" i="61"/>
  <c r="BK22" i="61"/>
  <c r="BC23" i="61"/>
  <c r="BG23" i="61"/>
  <c r="BK23" i="61"/>
  <c r="BB24" i="61"/>
  <c r="BF24" i="61"/>
  <c r="BJ24" i="61"/>
  <c r="BD25" i="61"/>
  <c r="BH25" i="61"/>
  <c r="BL25" i="61"/>
  <c r="BB26" i="61"/>
  <c r="BF26" i="61"/>
  <c r="BJ26" i="61"/>
  <c r="BB27" i="61"/>
  <c r="BF27" i="61"/>
  <c r="BJ27" i="61"/>
  <c r="BA28" i="61"/>
  <c r="BC29" i="61"/>
  <c r="BG29" i="61"/>
  <c r="BK29" i="61"/>
  <c r="BA30" i="61"/>
  <c r="BE30" i="61"/>
  <c r="BI30" i="61"/>
  <c r="BA31" i="61"/>
  <c r="BI31" i="61"/>
  <c r="BD32" i="61"/>
  <c r="BH32" i="61"/>
  <c r="BL32" i="61"/>
  <c r="BB33" i="61"/>
  <c r="BF33" i="61"/>
  <c r="BJ33" i="61"/>
  <c r="BD34" i="61"/>
  <c r="BH34" i="61"/>
  <c r="BL34" i="61"/>
  <c r="BD35" i="61"/>
  <c r="BH35" i="61"/>
  <c r="BL35" i="61"/>
  <c r="BC36" i="61"/>
  <c r="BG36" i="61"/>
  <c r="BK36" i="61"/>
  <c r="BA37" i="61"/>
  <c r="BC38" i="61"/>
  <c r="BG38" i="61"/>
  <c r="BK38" i="61"/>
  <c r="BC39" i="61"/>
  <c r="BG39" i="61"/>
  <c r="BK39" i="61"/>
  <c r="BC10" i="61"/>
  <c r="BK10" i="61"/>
  <c r="BI11" i="61"/>
  <c r="BF13" i="61"/>
  <c r="BE14" i="61"/>
  <c r="BH15" i="61"/>
  <c r="BC16" i="61"/>
  <c r="BK16" i="61"/>
  <c r="BG18" i="61"/>
  <c r="BG19" i="61"/>
  <c r="BB20" i="61"/>
  <c r="BJ20" i="61"/>
  <c r="BH21" i="61"/>
  <c r="BB22" i="61"/>
  <c r="BJ22" i="61"/>
  <c r="BF23" i="61"/>
  <c r="BA24" i="61"/>
  <c r="BG25" i="61"/>
  <c r="BE26" i="61"/>
  <c r="BA27" i="61"/>
  <c r="BI27" i="61"/>
  <c r="BH28" i="61"/>
  <c r="BB29" i="61"/>
  <c r="BJ29" i="61"/>
  <c r="BD30" i="61"/>
  <c r="BL30" i="61"/>
  <c r="BH31" i="61"/>
  <c r="BC32" i="61"/>
  <c r="BK32" i="61"/>
  <c r="BC34" i="61"/>
  <c r="BK34" i="61"/>
  <c r="BG35" i="61"/>
  <c r="BB36" i="61"/>
  <c r="BJ36" i="61"/>
  <c r="BD37" i="61"/>
  <c r="BL37" i="61"/>
  <c r="BJ38" i="61"/>
  <c r="AT63" i="61" a="1"/>
  <c r="AT63" i="61" s="1"/>
  <c r="AG63" i="61"/>
  <c r="BC9" i="61"/>
  <c r="BK9" i="61"/>
  <c r="BB10" i="61"/>
  <c r="BJ10" i="61"/>
  <c r="BD11" i="61"/>
  <c r="BL11" i="61"/>
  <c r="BG12" i="61"/>
  <c r="BA13" i="61"/>
  <c r="BC15" i="61"/>
  <c r="BK15" i="61"/>
  <c r="BB16" i="61"/>
  <c r="BJ16" i="61"/>
  <c r="BD17" i="61"/>
  <c r="BL17" i="61"/>
  <c r="BF18" i="61"/>
  <c r="BB19" i="61"/>
  <c r="BJ19" i="61"/>
  <c r="BC21" i="61"/>
  <c r="BK21" i="61"/>
  <c r="BA22" i="61"/>
  <c r="BI22" i="61"/>
  <c r="BI23" i="61"/>
  <c r="BD24" i="61"/>
  <c r="BL24" i="61"/>
  <c r="BB25" i="61"/>
  <c r="BJ25" i="61"/>
  <c r="BD26" i="61"/>
  <c r="BL26" i="61"/>
  <c r="BH27" i="61"/>
  <c r="BC28" i="61"/>
  <c r="BK28" i="61"/>
  <c r="BG30" i="61"/>
  <c r="BC31" i="61"/>
  <c r="BK31" i="61"/>
  <c r="BF32" i="61"/>
  <c r="BH33" i="61"/>
  <c r="BB34" i="61"/>
  <c r="BJ34" i="61"/>
  <c r="BF35" i="61"/>
  <c r="BA36" i="61"/>
  <c r="BG37" i="61"/>
  <c r="BA38" i="61"/>
  <c r="BI38" i="61"/>
  <c r="BA39" i="61"/>
  <c r="BI39" i="61"/>
  <c r="AB63" i="61"/>
  <c r="AF63" i="61"/>
  <c r="AJ63" i="61"/>
  <c r="BB9" i="61"/>
  <c r="BF9" i="61"/>
  <c r="BJ9" i="61"/>
  <c r="AE63" i="61"/>
  <c r="BA10" i="61"/>
  <c r="AR63" i="61" a="1"/>
  <c r="AR63" i="61" s="1"/>
  <c r="BI10" i="61"/>
  <c r="BC11" i="61"/>
  <c r="BG11" i="61"/>
  <c r="BK11" i="61"/>
  <c r="BB12" i="61"/>
  <c r="BF12" i="61"/>
  <c r="BJ12" i="61"/>
  <c r="BD13" i="61"/>
  <c r="BH13" i="61"/>
  <c r="BL13" i="61"/>
  <c r="BC14" i="61"/>
  <c r="BG14" i="61"/>
  <c r="BK14" i="61"/>
  <c r="BB15" i="61"/>
  <c r="BF15" i="61"/>
  <c r="BJ15" i="61"/>
  <c r="BA16" i="61"/>
  <c r="BC17" i="61"/>
  <c r="BG17" i="61"/>
  <c r="BK17" i="61"/>
  <c r="AI63" i="61"/>
  <c r="BA18" i="61"/>
  <c r="BE18" i="61"/>
  <c r="BI18" i="61"/>
  <c r="BA19" i="61"/>
  <c r="BI19" i="61"/>
  <c r="BD20" i="61"/>
  <c r="BH20" i="61"/>
  <c r="BL20" i="61"/>
  <c r="BB21" i="61"/>
  <c r="BF21" i="61"/>
  <c r="BJ21" i="61"/>
  <c r="BD22" i="61"/>
  <c r="BH22" i="61"/>
  <c r="BL22" i="61"/>
  <c r="BD23" i="61"/>
  <c r="BH23" i="61"/>
  <c r="BL23" i="61"/>
  <c r="BC24" i="61"/>
  <c r="BG24" i="61"/>
  <c r="BK24" i="61"/>
  <c r="BA25" i="61"/>
  <c r="BC26" i="61"/>
  <c r="BG26" i="61"/>
  <c r="BK26" i="61"/>
  <c r="BC27" i="61"/>
  <c r="BG27" i="61"/>
  <c r="BK27" i="61"/>
  <c r="BB28" i="61"/>
  <c r="BF28" i="61"/>
  <c r="BJ28" i="61"/>
  <c r="BD29" i="61"/>
  <c r="BH29" i="61"/>
  <c r="BL29" i="61"/>
  <c r="BB30" i="61"/>
  <c r="BF30" i="61"/>
  <c r="BJ30" i="61"/>
  <c r="BB31" i="61"/>
  <c r="BF31" i="61"/>
  <c r="BJ31" i="61"/>
  <c r="BA32" i="61"/>
  <c r="BC33" i="61"/>
  <c r="BG33" i="61"/>
  <c r="BK33" i="61"/>
  <c r="BA34" i="61"/>
  <c r="BE34" i="61"/>
  <c r="BI34" i="61"/>
  <c r="BA35" i="61"/>
  <c r="BI35" i="61"/>
  <c r="BD36" i="61"/>
  <c r="BH36" i="61"/>
  <c r="BL36" i="61"/>
  <c r="BB37" i="61"/>
  <c r="BF37" i="61"/>
  <c r="BJ37" i="61"/>
  <c r="BD38" i="61"/>
  <c r="BH38" i="61"/>
  <c r="BL38" i="61"/>
  <c r="BD39" i="61"/>
  <c r="BH39" i="61"/>
  <c r="BL39" i="61"/>
  <c r="J45" i="61"/>
  <c r="L45" i="61" s="1"/>
  <c r="N45" i="61" s="1"/>
  <c r="P45" i="61" s="1"/>
  <c r="R45" i="61" s="1"/>
  <c r="T45" i="61" s="1"/>
  <c r="V45" i="61" s="1"/>
  <c r="X45" i="61" s="1"/>
  <c r="BH9" i="61"/>
  <c r="BA7" i="61"/>
  <c r="BD9" i="61"/>
  <c r="BL9" i="61"/>
  <c r="BL14" i="61"/>
  <c r="AN7" i="61"/>
  <c r="BA9" i="61"/>
  <c r="BI9" i="61"/>
  <c r="BE10" i="61"/>
  <c r="BB7" i="61"/>
  <c r="AO7" i="61"/>
  <c r="AC7" i="61"/>
  <c r="BH14" i="61"/>
  <c r="E53" i="61"/>
  <c r="C51" i="61"/>
  <c r="C52" i="61" s="1"/>
  <c r="C57" i="61" s="1"/>
  <c r="B51" i="61"/>
  <c r="B52" i="61" s="1"/>
  <c r="B57" i="61" s="1"/>
  <c r="AO63" i="61" a="1"/>
  <c r="AO63" i="61" s="1"/>
  <c r="AS63" i="61" a="1"/>
  <c r="AS63" i="61" s="1"/>
  <c r="AW63" i="61" a="1"/>
  <c r="AW63" i="61" s="1"/>
  <c r="E51" i="61"/>
  <c r="E54" i="61" l="1"/>
  <c r="E58" i="61" s="1"/>
  <c r="E52" i="61"/>
  <c r="E57" i="61" s="1"/>
  <c r="E59" i="61" s="1"/>
  <c r="M63" i="61"/>
  <c r="I63" i="61"/>
  <c r="E63" i="61"/>
  <c r="D54" i="61"/>
  <c r="D58" i="61" s="1"/>
  <c r="G63" i="61"/>
  <c r="H63" i="61"/>
  <c r="K63" i="61"/>
  <c r="BJ63" i="61"/>
  <c r="K62" i="61" s="1"/>
  <c r="J63" i="61"/>
  <c r="BG63" i="61"/>
  <c r="H62" i="61" s="1"/>
  <c r="M51" i="61"/>
  <c r="M52" i="61" s="1"/>
  <c r="M57" i="61" s="1"/>
  <c r="F53" i="61"/>
  <c r="D63" i="61"/>
  <c r="G51" i="61"/>
  <c r="D57" i="61"/>
  <c r="BF63" i="61"/>
  <c r="G62" i="61" s="1"/>
  <c r="BK63" i="61"/>
  <c r="L62" i="61" s="1"/>
  <c r="L63" i="61"/>
  <c r="BA63" i="61"/>
  <c r="B62" i="61" s="1"/>
  <c r="BD63" i="61"/>
  <c r="E62" i="61" s="1"/>
  <c r="BB63" i="61"/>
  <c r="C62" i="61" s="1"/>
  <c r="B63" i="61"/>
  <c r="C59" i="61"/>
  <c r="B59" i="61"/>
  <c r="BC63" i="61"/>
  <c r="D62" i="61" s="1"/>
  <c r="BE63" i="61"/>
  <c r="F62" i="61" s="1"/>
  <c r="BH63" i="61"/>
  <c r="I62" i="61" s="1"/>
  <c r="F63" i="61"/>
  <c r="BI63" i="61"/>
  <c r="J62" i="61" s="1"/>
  <c r="C63" i="61"/>
  <c r="K51" i="61"/>
  <c r="I53" i="61"/>
  <c r="G53" i="61"/>
  <c r="J53" i="61"/>
  <c r="H51" i="61"/>
  <c r="F51" i="61"/>
  <c r="H53" i="61"/>
  <c r="M53" i="61"/>
  <c r="M54" i="61" s="1"/>
  <c r="M58" i="61" s="1"/>
  <c r="K53" i="61"/>
  <c r="L53" i="61"/>
  <c r="L54" i="61" s="1"/>
  <c r="L58" i="61" s="1"/>
  <c r="BC7" i="61"/>
  <c r="AP7" i="61"/>
  <c r="AD7" i="61"/>
  <c r="I51" i="61"/>
  <c r="J51" i="61"/>
  <c r="BL63" i="61"/>
  <c r="M62" i="61" s="1"/>
  <c r="M64" i="61" s="1"/>
  <c r="L51" i="61"/>
  <c r="L52" i="61" s="1"/>
  <c r="L57" i="61" s="1"/>
  <c r="H52" i="61" l="1"/>
  <c r="H57" i="61" s="1"/>
  <c r="F52" i="61"/>
  <c r="F57" i="61" s="1"/>
  <c r="F54" i="61"/>
  <c r="F58" i="61" s="1"/>
  <c r="J54" i="61"/>
  <c r="J58" i="61" s="1"/>
  <c r="G54" i="61"/>
  <c r="G58" i="61" s="1"/>
  <c r="I54" i="61"/>
  <c r="I58" i="61" s="1"/>
  <c r="K54" i="61"/>
  <c r="K58" i="61" s="1"/>
  <c r="K52" i="61"/>
  <c r="K57" i="61" s="1"/>
  <c r="K59" i="61" s="1"/>
  <c r="J52" i="61"/>
  <c r="J57" i="61" s="1"/>
  <c r="G52" i="61"/>
  <c r="G57" i="61" s="1"/>
  <c r="G59" i="61" s="1"/>
  <c r="I52" i="61"/>
  <c r="I57" i="61" s="1"/>
  <c r="H54" i="61"/>
  <c r="H58" i="61" s="1"/>
  <c r="I64" i="61"/>
  <c r="H64" i="61"/>
  <c r="E64" i="61"/>
  <c r="D64" i="61"/>
  <c r="D59" i="61"/>
  <c r="J64" i="61"/>
  <c r="K64" i="61"/>
  <c r="G64" i="61"/>
  <c r="C64" i="61"/>
  <c r="B64" i="61"/>
  <c r="M59" i="61"/>
  <c r="F64" i="61"/>
  <c r="N63" i="61"/>
  <c r="L64" i="61"/>
  <c r="L59" i="61"/>
  <c r="N62" i="61"/>
  <c r="BD7" i="61"/>
  <c r="AE7" i="61"/>
  <c r="AQ7" i="61"/>
  <c r="I59" i="61" l="1"/>
  <c r="F59" i="61"/>
  <c r="J59" i="61"/>
  <c r="H59" i="61"/>
  <c r="N64" i="61"/>
  <c r="AF7" i="61"/>
  <c r="AR7" i="61"/>
  <c r="BE7" i="61"/>
  <c r="BF7" i="61" l="1"/>
  <c r="AS7" i="61"/>
  <c r="AG7" i="61"/>
  <c r="A129" i="4"/>
  <c r="A48" i="3"/>
  <c r="A92" i="3" s="1"/>
  <c r="BG7" i="61" l="1"/>
  <c r="AT7" i="61"/>
  <c r="AH7" i="61"/>
  <c r="O116" i="47"/>
  <c r="BH7" i="61" l="1"/>
  <c r="AU7" i="61"/>
  <c r="AI7" i="61"/>
  <c r="AJ7" i="61" l="1"/>
  <c r="BI7" i="61"/>
  <c r="AV7" i="61"/>
  <c r="BJ7" i="61" l="1"/>
  <c r="AW7" i="61"/>
  <c r="AK7" i="61"/>
  <c r="A81" i="20"/>
  <c r="A82" i="20" s="1"/>
  <c r="A73" i="19"/>
  <c r="A74" i="19" s="1"/>
  <c r="A38" i="4"/>
  <c r="A55" i="4" s="1"/>
  <c r="A70" i="4" s="1"/>
  <c r="A30" i="4"/>
  <c r="A48" i="4" s="1"/>
  <c r="A63" i="4" s="1"/>
  <c r="BK7" i="61" l="1"/>
  <c r="AX7" i="61"/>
  <c r="AL7" i="61"/>
  <c r="A36" i="4"/>
  <c r="A53" i="4" s="1"/>
  <c r="A68" i="4" s="1"/>
  <c r="A37" i="4"/>
  <c r="A54" i="4" s="1"/>
  <c r="A69" i="4" s="1"/>
  <c r="A39" i="4"/>
  <c r="A56" i="4" s="1"/>
  <c r="A71" i="4" s="1"/>
  <c r="A35" i="4"/>
  <c r="A52" i="4" s="1"/>
  <c r="A67" i="4" s="1"/>
  <c r="A28" i="4"/>
  <c r="A46" i="4" s="1"/>
  <c r="A61" i="4" s="1"/>
  <c r="A29" i="4"/>
  <c r="A47" i="4" s="1"/>
  <c r="A62" i="4" s="1"/>
  <c r="A31" i="4"/>
  <c r="A49" i="4" s="1"/>
  <c r="A64" i="4" s="1"/>
  <c r="A27" i="4"/>
  <c r="A45" i="4" s="1"/>
  <c r="A60" i="4" s="1"/>
  <c r="AY7" i="61" l="1"/>
  <c r="BL7" i="61"/>
  <c r="B147" i="4"/>
  <c r="D147" i="4" s="1"/>
  <c r="A146" i="4"/>
  <c r="A64" i="3"/>
  <c r="A108" i="3" s="1"/>
  <c r="A65" i="3"/>
  <c r="A109" i="3" s="1"/>
  <c r="A66" i="3"/>
  <c r="A110" i="3" s="1"/>
  <c r="C66" i="3"/>
  <c r="A51" i="3"/>
  <c r="C147" i="4" l="1"/>
  <c r="M147" i="4"/>
  <c r="K147" i="4"/>
  <c r="I147" i="4"/>
  <c r="G147" i="4"/>
  <c r="E147" i="4"/>
  <c r="N147" i="4"/>
  <c r="L147" i="4"/>
  <c r="J147" i="4"/>
  <c r="H147" i="4"/>
  <c r="F147" i="4"/>
  <c r="C52" i="20"/>
  <c r="C31" i="20"/>
  <c r="C31" i="19"/>
  <c r="O147" i="4" l="1"/>
  <c r="C52" i="19" l="1"/>
  <c r="E3" i="20"/>
  <c r="D3" i="20"/>
  <c r="F3" i="20"/>
  <c r="G3" i="20"/>
  <c r="H3" i="20"/>
  <c r="I3" i="20"/>
  <c r="J3" i="20"/>
  <c r="K3" i="20"/>
  <c r="L3" i="20"/>
  <c r="E7" i="20"/>
  <c r="E8" i="20"/>
  <c r="F7" i="20"/>
  <c r="F8" i="20"/>
  <c r="G7" i="20"/>
  <c r="G8" i="20"/>
  <c r="H7" i="20"/>
  <c r="H8" i="20"/>
  <c r="I7" i="20"/>
  <c r="I8" i="20"/>
  <c r="J7" i="20"/>
  <c r="J8" i="20"/>
  <c r="L7" i="20"/>
  <c r="L8" i="20"/>
  <c r="D7" i="20"/>
  <c r="D8" i="20"/>
  <c r="C44" i="20"/>
  <c r="C25" i="20"/>
  <c r="C19" i="20"/>
  <c r="C11" i="20"/>
  <c r="E3" i="19"/>
  <c r="D3" i="19"/>
  <c r="F3" i="19"/>
  <c r="G3" i="19"/>
  <c r="H3" i="19"/>
  <c r="I3" i="19"/>
  <c r="J3" i="19"/>
  <c r="K3" i="19"/>
  <c r="L3" i="19"/>
  <c r="M3" i="19"/>
  <c r="N3" i="19"/>
  <c r="O3" i="19"/>
  <c r="E7" i="19"/>
  <c r="E8" i="19"/>
  <c r="F7" i="19"/>
  <c r="F8" i="19"/>
  <c r="G7" i="19"/>
  <c r="G8" i="19"/>
  <c r="H7" i="19"/>
  <c r="H8" i="19"/>
  <c r="I7" i="19"/>
  <c r="I8" i="19"/>
  <c r="J7" i="19"/>
  <c r="J8" i="19"/>
  <c r="K7" i="19"/>
  <c r="K8" i="19"/>
  <c r="L7" i="19"/>
  <c r="L8" i="19"/>
  <c r="M7" i="19"/>
  <c r="M8" i="19"/>
  <c r="N7" i="19"/>
  <c r="N8" i="19"/>
  <c r="O7" i="19"/>
  <c r="O8" i="19"/>
  <c r="D7" i="19"/>
  <c r="D8" i="19"/>
  <c r="C44" i="19"/>
  <c r="C25" i="19"/>
  <c r="C19" i="19"/>
  <c r="C11" i="19"/>
  <c r="R81" i="47"/>
  <c r="R80" i="47"/>
  <c r="R79" i="47"/>
  <c r="R78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Q8" i="47"/>
  <c r="Q9" i="47" s="1"/>
  <c r="R11" i="47"/>
  <c r="R10" i="47"/>
  <c r="R9" i="47"/>
  <c r="R8" i="47"/>
  <c r="A5" i="4"/>
  <c r="D5" i="4" s="1"/>
  <c r="R72" i="49"/>
  <c r="R71" i="49"/>
  <c r="R70" i="49"/>
  <c r="R69" i="49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3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Q8" i="49"/>
  <c r="M3" i="20"/>
  <c r="N3" i="20"/>
  <c r="O3" i="20"/>
  <c r="K7" i="20"/>
  <c r="K8" i="20"/>
  <c r="M7" i="20"/>
  <c r="M8" i="20"/>
  <c r="N7" i="20"/>
  <c r="N8" i="20"/>
  <c r="O7" i="20"/>
  <c r="O8" i="20"/>
  <c r="E4" i="20"/>
  <c r="F4" i="20"/>
  <c r="G4" i="20"/>
  <c r="H4" i="20"/>
  <c r="I4" i="20"/>
  <c r="J4" i="20"/>
  <c r="K4" i="20"/>
  <c r="O4" i="20"/>
  <c r="E4" i="19"/>
  <c r="A11" i="19"/>
  <c r="A12" i="19" s="1"/>
  <c r="F4" i="19"/>
  <c r="G4" i="19"/>
  <c r="H4" i="19"/>
  <c r="I4" i="19"/>
  <c r="J4" i="19"/>
  <c r="K4" i="19"/>
  <c r="L4" i="19"/>
  <c r="M4" i="19"/>
  <c r="N4" i="19"/>
  <c r="O4" i="19"/>
  <c r="A40" i="19"/>
  <c r="A41" i="19" s="1"/>
  <c r="A68" i="19"/>
  <c r="A69" i="19" s="1"/>
  <c r="A78" i="19"/>
  <c r="A79" i="19" s="1"/>
  <c r="O114" i="47"/>
  <c r="C27" i="5" s="1"/>
  <c r="O133" i="49"/>
  <c r="D27" i="5" s="1"/>
  <c r="E24" i="5"/>
  <c r="E37" i="5" s="1"/>
  <c r="D66" i="3"/>
  <c r="D110" i="3" s="1"/>
  <c r="E66" i="3"/>
  <c r="E110" i="3" s="1"/>
  <c r="F66" i="3"/>
  <c r="F110" i="3" s="1"/>
  <c r="G66" i="3"/>
  <c r="G110" i="3" s="1"/>
  <c r="H66" i="3"/>
  <c r="H110" i="3" s="1"/>
  <c r="I66" i="3"/>
  <c r="I110" i="3" s="1"/>
  <c r="J66" i="3"/>
  <c r="J110" i="3" s="1"/>
  <c r="K66" i="3"/>
  <c r="K110" i="3" s="1"/>
  <c r="L66" i="3"/>
  <c r="L110" i="3" s="1"/>
  <c r="M66" i="3"/>
  <c r="M110" i="3" s="1"/>
  <c r="N66" i="3"/>
  <c r="N110" i="3" s="1"/>
  <c r="D4" i="20"/>
  <c r="A40" i="20"/>
  <c r="A41" i="20" s="1"/>
  <c r="L4" i="20"/>
  <c r="M4" i="20"/>
  <c r="N4" i="20"/>
  <c r="D4" i="19"/>
  <c r="O134" i="49"/>
  <c r="I35" i="5"/>
  <c r="H44" i="5" s="1"/>
  <c r="B50" i="3" s="1"/>
  <c r="A11" i="20"/>
  <c r="A12" i="20" s="1"/>
  <c r="A76" i="20"/>
  <c r="A71" i="20" s="1"/>
  <c r="A72" i="20" s="1"/>
  <c r="A86" i="20"/>
  <c r="A87" i="20" s="1"/>
  <c r="C110" i="3"/>
  <c r="C70" i="3"/>
  <c r="D2" i="20" s="1"/>
  <c r="D70" i="3"/>
  <c r="E2" i="20" s="1"/>
  <c r="E70" i="3"/>
  <c r="F2" i="20" s="1"/>
  <c r="F70" i="3"/>
  <c r="G2" i="20" s="1"/>
  <c r="G70" i="3"/>
  <c r="H2" i="20" s="1"/>
  <c r="H70" i="3"/>
  <c r="I2" i="20" s="1"/>
  <c r="I70" i="3"/>
  <c r="J2" i="20" s="1"/>
  <c r="J70" i="3"/>
  <c r="K2" i="20" s="1"/>
  <c r="K70" i="3"/>
  <c r="L2" i="20" s="1"/>
  <c r="M2" i="20"/>
  <c r="M70" i="3"/>
  <c r="N2" i="20" s="1"/>
  <c r="N70" i="3"/>
  <c r="O2" i="20" s="1"/>
  <c r="I15" i="4"/>
  <c r="C15" i="4"/>
  <c r="F23" i="4"/>
  <c r="L23" i="4"/>
  <c r="C23" i="4"/>
  <c r="D32" i="4"/>
  <c r="E32" i="4"/>
  <c r="F32" i="4"/>
  <c r="H32" i="4"/>
  <c r="J32" i="4"/>
  <c r="L32" i="4"/>
  <c r="M32" i="4"/>
  <c r="N32" i="4"/>
  <c r="C32" i="4"/>
  <c r="E40" i="4"/>
  <c r="G40" i="4"/>
  <c r="H40" i="4"/>
  <c r="I40" i="4"/>
  <c r="K40" i="4"/>
  <c r="M40" i="4"/>
  <c r="A73" i="4"/>
  <c r="A92" i="4"/>
  <c r="A122" i="4" s="1"/>
  <c r="A93" i="4"/>
  <c r="A123" i="4" s="1"/>
  <c r="A94" i="4"/>
  <c r="A124" i="4" s="1"/>
  <c r="A95" i="4"/>
  <c r="A125" i="4" s="1"/>
  <c r="A96" i="4"/>
  <c r="A126" i="4" s="1"/>
  <c r="A106" i="4"/>
  <c r="A136" i="4" s="1"/>
  <c r="A107" i="4"/>
  <c r="A137" i="4" s="1"/>
  <c r="A108" i="4"/>
  <c r="A138" i="4" s="1"/>
  <c r="A109" i="4"/>
  <c r="A139" i="4" s="1"/>
  <c r="A110" i="4"/>
  <c r="A140" i="4" s="1"/>
  <c r="A111" i="4"/>
  <c r="A141" i="4" s="1"/>
  <c r="A127" i="4"/>
  <c r="A128" i="4"/>
  <c r="A130" i="4"/>
  <c r="A131" i="4"/>
  <c r="A132" i="4"/>
  <c r="A142" i="4"/>
  <c r="A143" i="4"/>
  <c r="A144" i="4"/>
  <c r="A145" i="4"/>
  <c r="A147" i="4"/>
  <c r="A41" i="3"/>
  <c r="A85" i="3" s="1"/>
  <c r="A42" i="3"/>
  <c r="A86" i="3" s="1"/>
  <c r="A43" i="3"/>
  <c r="A87" i="3" s="1"/>
  <c r="A44" i="3"/>
  <c r="A88" i="3" s="1"/>
  <c r="A45" i="3"/>
  <c r="A89" i="3" s="1"/>
  <c r="A46" i="3"/>
  <c r="A90" i="3" s="1"/>
  <c r="A47" i="3"/>
  <c r="A91" i="3" s="1"/>
  <c r="A49" i="3"/>
  <c r="A93" i="3" s="1"/>
  <c r="A50" i="3"/>
  <c r="A94" i="3" s="1"/>
  <c r="A95" i="3"/>
  <c r="A55" i="3"/>
  <c r="A99" i="3" s="1"/>
  <c r="A56" i="3"/>
  <c r="A100" i="3" s="1"/>
  <c r="A57" i="3"/>
  <c r="A101" i="3" s="1"/>
  <c r="A58" i="3"/>
  <c r="A102" i="3" s="1"/>
  <c r="A59" i="3"/>
  <c r="A103" i="3" s="1"/>
  <c r="A60" i="3"/>
  <c r="A104" i="3" s="1"/>
  <c r="A61" i="3"/>
  <c r="A105" i="3" s="1"/>
  <c r="A62" i="3"/>
  <c r="A106" i="3" s="1"/>
  <c r="A63" i="3"/>
  <c r="A107" i="3" s="1"/>
  <c r="H138" i="49" l="1"/>
  <c r="D139" i="49"/>
  <c r="L139" i="49"/>
  <c r="H140" i="49"/>
  <c r="D141" i="49"/>
  <c r="L141" i="49"/>
  <c r="H142" i="49"/>
  <c r="D143" i="49"/>
  <c r="L143" i="49"/>
  <c r="H144" i="49"/>
  <c r="D145" i="49"/>
  <c r="L145" i="49"/>
  <c r="H146" i="49"/>
  <c r="D147" i="49"/>
  <c r="L147" i="49"/>
  <c r="H148" i="49"/>
  <c r="C139" i="49"/>
  <c r="C147" i="49"/>
  <c r="I138" i="49"/>
  <c r="E139" i="49"/>
  <c r="M139" i="49"/>
  <c r="I140" i="49"/>
  <c r="E141" i="49"/>
  <c r="M141" i="49"/>
  <c r="I142" i="49"/>
  <c r="E143" i="49"/>
  <c r="M143" i="49"/>
  <c r="I144" i="49"/>
  <c r="E145" i="49"/>
  <c r="M145" i="49"/>
  <c r="I146" i="49"/>
  <c r="E147" i="49"/>
  <c r="M147" i="49"/>
  <c r="I148" i="49"/>
  <c r="C140" i="49"/>
  <c r="C148" i="49"/>
  <c r="G147" i="49"/>
  <c r="K148" i="49"/>
  <c r="J138" i="49"/>
  <c r="F139" i="49"/>
  <c r="N139" i="49"/>
  <c r="J140" i="49"/>
  <c r="F141" i="49"/>
  <c r="N141" i="49"/>
  <c r="J142" i="49"/>
  <c r="F143" i="49"/>
  <c r="N143" i="49"/>
  <c r="J144" i="49"/>
  <c r="F145" i="49"/>
  <c r="N145" i="49"/>
  <c r="J146" i="49"/>
  <c r="F147" i="49"/>
  <c r="N147" i="49"/>
  <c r="J148" i="49"/>
  <c r="C141" i="49"/>
  <c r="C138" i="49"/>
  <c r="K138" i="49"/>
  <c r="G139" i="49"/>
  <c r="O139" i="49"/>
  <c r="K140" i="49"/>
  <c r="G141" i="49"/>
  <c r="O141" i="49"/>
  <c r="K142" i="49"/>
  <c r="G143" i="49"/>
  <c r="O143" i="49"/>
  <c r="K144" i="49"/>
  <c r="G145" i="49"/>
  <c r="O145" i="49"/>
  <c r="K146" i="49"/>
  <c r="O147" i="49"/>
  <c r="C142" i="49"/>
  <c r="D138" i="49"/>
  <c r="L138" i="49"/>
  <c r="H139" i="49"/>
  <c r="D140" i="49"/>
  <c r="L140" i="49"/>
  <c r="H141" i="49"/>
  <c r="D142" i="49"/>
  <c r="L142" i="49"/>
  <c r="H143" i="49"/>
  <c r="D144" i="49"/>
  <c r="L144" i="49"/>
  <c r="H145" i="49"/>
  <c r="D146" i="49"/>
  <c r="L146" i="49"/>
  <c r="H147" i="49"/>
  <c r="D148" i="49"/>
  <c r="L148" i="49"/>
  <c r="C143" i="49"/>
  <c r="E138" i="49"/>
  <c r="M138" i="49"/>
  <c r="I139" i="49"/>
  <c r="E140" i="49"/>
  <c r="M140" i="49"/>
  <c r="I141" i="49"/>
  <c r="E142" i="49"/>
  <c r="M142" i="49"/>
  <c r="I143" i="49"/>
  <c r="E144" i="49"/>
  <c r="M144" i="49"/>
  <c r="I145" i="49"/>
  <c r="E146" i="49"/>
  <c r="M146" i="49"/>
  <c r="I147" i="49"/>
  <c r="E148" i="49"/>
  <c r="M148" i="49"/>
  <c r="C144" i="49"/>
  <c r="F138" i="49"/>
  <c r="N138" i="49"/>
  <c r="J139" i="49"/>
  <c r="F140" i="49"/>
  <c r="N140" i="49"/>
  <c r="J141" i="49"/>
  <c r="F142" i="49"/>
  <c r="N142" i="49"/>
  <c r="J143" i="49"/>
  <c r="F144" i="49"/>
  <c r="N144" i="49"/>
  <c r="J145" i="49"/>
  <c r="F146" i="49"/>
  <c r="N146" i="49"/>
  <c r="J147" i="49"/>
  <c r="F148" i="49"/>
  <c r="N148" i="49"/>
  <c r="C145" i="49"/>
  <c r="G138" i="49"/>
  <c r="O138" i="49"/>
  <c r="K139" i="49"/>
  <c r="G140" i="49"/>
  <c r="O140" i="49"/>
  <c r="K141" i="49"/>
  <c r="G142" i="49"/>
  <c r="O142" i="49"/>
  <c r="K143" i="49"/>
  <c r="G144" i="49"/>
  <c r="O144" i="49"/>
  <c r="K145" i="49"/>
  <c r="G146" i="49"/>
  <c r="O146" i="49"/>
  <c r="K147" i="49"/>
  <c r="G148" i="49"/>
  <c r="O148" i="49"/>
  <c r="C146" i="49"/>
  <c r="D120" i="4"/>
  <c r="D43" i="4"/>
  <c r="Q9" i="49"/>
  <c r="S9" i="49" s="1"/>
  <c r="T8" i="49"/>
  <c r="H6" i="20"/>
  <c r="H15" i="20" s="1"/>
  <c r="J6" i="19"/>
  <c r="J74" i="19" s="1"/>
  <c r="J6" i="20"/>
  <c r="J82" i="20" s="1"/>
  <c r="D6" i="19"/>
  <c r="D74" i="19" s="1"/>
  <c r="O62" i="19"/>
  <c r="O63" i="19"/>
  <c r="H45" i="5"/>
  <c r="N63" i="19"/>
  <c r="N62" i="19"/>
  <c r="M62" i="19"/>
  <c r="M63" i="19"/>
  <c r="A55" i="20"/>
  <c r="A56" i="20" s="1"/>
  <c r="A63" i="20"/>
  <c r="A64" i="20" s="1"/>
  <c r="A77" i="20"/>
  <c r="N70" i="20"/>
  <c r="N71" i="20"/>
  <c r="K71" i="20"/>
  <c r="K70" i="20"/>
  <c r="G70" i="20"/>
  <c r="G71" i="20"/>
  <c r="O70" i="20"/>
  <c r="O71" i="20"/>
  <c r="L70" i="20"/>
  <c r="L71" i="20"/>
  <c r="H70" i="20"/>
  <c r="H71" i="20"/>
  <c r="E71" i="20"/>
  <c r="E70" i="20"/>
  <c r="I71" i="20"/>
  <c r="I70" i="20"/>
  <c r="D70" i="20"/>
  <c r="D71" i="20"/>
  <c r="M71" i="20"/>
  <c r="M70" i="20"/>
  <c r="J71" i="20"/>
  <c r="J70" i="20"/>
  <c r="F70" i="20"/>
  <c r="F71" i="20"/>
  <c r="L62" i="19"/>
  <c r="L63" i="19"/>
  <c r="K63" i="19"/>
  <c r="K62" i="19"/>
  <c r="J63" i="19"/>
  <c r="J62" i="19"/>
  <c r="I62" i="19"/>
  <c r="I63" i="19"/>
  <c r="H62" i="19"/>
  <c r="G63" i="19"/>
  <c r="G62" i="19"/>
  <c r="F62" i="19"/>
  <c r="F63" i="19"/>
  <c r="E62" i="19"/>
  <c r="E63" i="19"/>
  <c r="E6" i="20"/>
  <c r="D62" i="19"/>
  <c r="D63" i="19"/>
  <c r="O124" i="47"/>
  <c r="O128" i="47"/>
  <c r="D121" i="47"/>
  <c r="H121" i="47"/>
  <c r="L121" i="47"/>
  <c r="E122" i="47"/>
  <c r="I122" i="47"/>
  <c r="M122" i="47"/>
  <c r="F123" i="47"/>
  <c r="J123" i="47"/>
  <c r="N123" i="47"/>
  <c r="G124" i="47"/>
  <c r="K124" i="47"/>
  <c r="D125" i="47"/>
  <c r="H125" i="47"/>
  <c r="L125" i="47"/>
  <c r="E126" i="47"/>
  <c r="I126" i="47"/>
  <c r="M126" i="47"/>
  <c r="F127" i="47"/>
  <c r="J127" i="47"/>
  <c r="N127" i="47"/>
  <c r="G128" i="47"/>
  <c r="K128" i="47"/>
  <c r="D129" i="47"/>
  <c r="H129" i="47"/>
  <c r="L129" i="47"/>
  <c r="E130" i="47"/>
  <c r="I130" i="47"/>
  <c r="M130" i="47"/>
  <c r="F131" i="47"/>
  <c r="J131" i="47"/>
  <c r="N131" i="47"/>
  <c r="C125" i="47"/>
  <c r="C129" i="47"/>
  <c r="E121" i="47"/>
  <c r="M121" i="47"/>
  <c r="J122" i="47"/>
  <c r="G123" i="47"/>
  <c r="H124" i="47"/>
  <c r="E125" i="47"/>
  <c r="M125" i="47"/>
  <c r="J126" i="47"/>
  <c r="G127" i="47"/>
  <c r="D128" i="47"/>
  <c r="L128" i="47"/>
  <c r="I129" i="47"/>
  <c r="F130" i="47"/>
  <c r="N130" i="47"/>
  <c r="K131" i="47"/>
  <c r="C126" i="47"/>
  <c r="O123" i="47"/>
  <c r="O127" i="47"/>
  <c r="O131" i="47"/>
  <c r="G121" i="47"/>
  <c r="K121" i="47"/>
  <c r="D122" i="47"/>
  <c r="H122" i="47"/>
  <c r="L122" i="47"/>
  <c r="E123" i="47"/>
  <c r="I123" i="47"/>
  <c r="M123" i="47"/>
  <c r="F124" i="47"/>
  <c r="J124" i="47"/>
  <c r="N124" i="47"/>
  <c r="G125" i="47"/>
  <c r="K125" i="47"/>
  <c r="D126" i="47"/>
  <c r="H126" i="47"/>
  <c r="L126" i="47"/>
  <c r="E127" i="47"/>
  <c r="I127" i="47"/>
  <c r="M127" i="47"/>
  <c r="F128" i="47"/>
  <c r="J128" i="47"/>
  <c r="N128" i="47"/>
  <c r="G129" i="47"/>
  <c r="K129" i="47"/>
  <c r="D130" i="47"/>
  <c r="H130" i="47"/>
  <c r="L130" i="47"/>
  <c r="E131" i="47"/>
  <c r="I131" i="47"/>
  <c r="M131" i="47"/>
  <c r="C124" i="47"/>
  <c r="C128" i="47"/>
  <c r="C121" i="47"/>
  <c r="O122" i="47"/>
  <c r="O126" i="47"/>
  <c r="O130" i="47"/>
  <c r="F121" i="47"/>
  <c r="J121" i="47"/>
  <c r="N121" i="47"/>
  <c r="G122" i="47"/>
  <c r="K122" i="47"/>
  <c r="D123" i="47"/>
  <c r="H123" i="47"/>
  <c r="L123" i="47"/>
  <c r="E124" i="47"/>
  <c r="I124" i="47"/>
  <c r="M124" i="47"/>
  <c r="F125" i="47"/>
  <c r="J125" i="47"/>
  <c r="N125" i="47"/>
  <c r="G126" i="47"/>
  <c r="K126" i="47"/>
  <c r="D127" i="47"/>
  <c r="H127" i="47"/>
  <c r="L127" i="47"/>
  <c r="E128" i="47"/>
  <c r="I128" i="47"/>
  <c r="M128" i="47"/>
  <c r="F129" i="47"/>
  <c r="J129" i="47"/>
  <c r="N129" i="47"/>
  <c r="G130" i="47"/>
  <c r="K130" i="47"/>
  <c r="D131" i="47"/>
  <c r="H131" i="47"/>
  <c r="L131" i="47"/>
  <c r="C123" i="47"/>
  <c r="C127" i="47"/>
  <c r="C131" i="47"/>
  <c r="O121" i="47"/>
  <c r="O125" i="47"/>
  <c r="O129" i="47"/>
  <c r="I121" i="47"/>
  <c r="F122" i="47"/>
  <c r="N122" i="47"/>
  <c r="K123" i="47"/>
  <c r="D124" i="47"/>
  <c r="L124" i="47"/>
  <c r="I125" i="47"/>
  <c r="F126" i="47"/>
  <c r="N126" i="47"/>
  <c r="K127" i="47"/>
  <c r="H128" i="47"/>
  <c r="E129" i="47"/>
  <c r="M129" i="47"/>
  <c r="J130" i="47"/>
  <c r="G131" i="47"/>
  <c r="C122" i="47"/>
  <c r="C130" i="47"/>
  <c r="O63" i="20"/>
  <c r="O62" i="20"/>
  <c r="I63" i="20"/>
  <c r="I62" i="20"/>
  <c r="D62" i="20"/>
  <c r="D63" i="20"/>
  <c r="J62" i="20"/>
  <c r="J63" i="20"/>
  <c r="F62" i="20"/>
  <c r="F63" i="20"/>
  <c r="M63" i="20"/>
  <c r="M62" i="20"/>
  <c r="K63" i="20"/>
  <c r="K62" i="20"/>
  <c r="G63" i="20"/>
  <c r="G62" i="20"/>
  <c r="N62" i="20"/>
  <c r="N63" i="20"/>
  <c r="L62" i="20"/>
  <c r="L63" i="20"/>
  <c r="H62" i="20"/>
  <c r="E63" i="20"/>
  <c r="E62" i="20"/>
  <c r="K6" i="20"/>
  <c r="K40" i="20" s="1"/>
  <c r="K48" i="20" s="1"/>
  <c r="O46" i="20"/>
  <c r="O34" i="20"/>
  <c r="O13" i="20"/>
  <c r="O27" i="20"/>
  <c r="O54" i="20"/>
  <c r="O47" i="20"/>
  <c r="O21" i="20"/>
  <c r="O14" i="20"/>
  <c r="O33" i="20"/>
  <c r="O28" i="20"/>
  <c r="O55" i="20"/>
  <c r="O22" i="20"/>
  <c r="I55" i="20"/>
  <c r="I27" i="20"/>
  <c r="I22" i="20"/>
  <c r="I33" i="20"/>
  <c r="I28" i="20"/>
  <c r="I54" i="20"/>
  <c r="I47" i="20"/>
  <c r="I21" i="20"/>
  <c r="I14" i="20"/>
  <c r="I46" i="20"/>
  <c r="I34" i="20"/>
  <c r="I13" i="20"/>
  <c r="D54" i="20"/>
  <c r="D47" i="20"/>
  <c r="D21" i="20"/>
  <c r="D14" i="20"/>
  <c r="D33" i="20"/>
  <c r="D55" i="20"/>
  <c r="D27" i="20"/>
  <c r="D22" i="20"/>
  <c r="D28" i="20"/>
  <c r="D46" i="20"/>
  <c r="D34" i="20"/>
  <c r="D13" i="20"/>
  <c r="J33" i="20"/>
  <c r="J28" i="20"/>
  <c r="J21" i="20"/>
  <c r="J46" i="20"/>
  <c r="J34" i="20"/>
  <c r="J13" i="20"/>
  <c r="J54" i="20"/>
  <c r="J55" i="20"/>
  <c r="J27" i="20"/>
  <c r="J22" i="20"/>
  <c r="J47" i="20"/>
  <c r="J14" i="20"/>
  <c r="F33" i="20"/>
  <c r="F28" i="20"/>
  <c r="F47" i="20"/>
  <c r="F46" i="20"/>
  <c r="F34" i="20"/>
  <c r="F13" i="20"/>
  <c r="F14" i="20"/>
  <c r="F55" i="20"/>
  <c r="F27" i="20"/>
  <c r="F22" i="20"/>
  <c r="F54" i="20"/>
  <c r="F21" i="20"/>
  <c r="I6" i="20"/>
  <c r="I72" i="20" s="1"/>
  <c r="M55" i="20"/>
  <c r="M27" i="20"/>
  <c r="M22" i="20"/>
  <c r="M13" i="20"/>
  <c r="M33" i="20"/>
  <c r="M28" i="20"/>
  <c r="M46" i="20"/>
  <c r="M54" i="20"/>
  <c r="M47" i="20"/>
  <c r="M21" i="20"/>
  <c r="M14" i="20"/>
  <c r="M34" i="20"/>
  <c r="K46" i="20"/>
  <c r="K34" i="20"/>
  <c r="K13" i="20"/>
  <c r="K22" i="20"/>
  <c r="K54" i="20"/>
  <c r="K47" i="20"/>
  <c r="K21" i="20"/>
  <c r="K14" i="20"/>
  <c r="K33" i="20"/>
  <c r="K28" i="20"/>
  <c r="K55" i="20"/>
  <c r="K27" i="20"/>
  <c r="G46" i="20"/>
  <c r="G34" i="20"/>
  <c r="G13" i="20"/>
  <c r="G54" i="20"/>
  <c r="G47" i="20"/>
  <c r="G21" i="20"/>
  <c r="G14" i="20"/>
  <c r="G27" i="20"/>
  <c r="G33" i="20"/>
  <c r="G28" i="20"/>
  <c r="G55" i="20"/>
  <c r="G22" i="20"/>
  <c r="N33" i="20"/>
  <c r="N28" i="20"/>
  <c r="N54" i="20"/>
  <c r="N14" i="20"/>
  <c r="N46" i="20"/>
  <c r="N34" i="20"/>
  <c r="N13" i="20"/>
  <c r="N21" i="20"/>
  <c r="N55" i="20"/>
  <c r="N27" i="20"/>
  <c r="N22" i="20"/>
  <c r="N47" i="20"/>
  <c r="L54" i="20"/>
  <c r="L47" i="20"/>
  <c r="L21" i="20"/>
  <c r="L14" i="20"/>
  <c r="L55" i="20"/>
  <c r="L27" i="20"/>
  <c r="L22" i="20"/>
  <c r="L46" i="20"/>
  <c r="L34" i="20"/>
  <c r="L13" i="20"/>
  <c r="L33" i="20"/>
  <c r="L28" i="20"/>
  <c r="H54" i="20"/>
  <c r="H47" i="20"/>
  <c r="H21" i="20"/>
  <c r="H27" i="20"/>
  <c r="H33" i="20"/>
  <c r="H28" i="20"/>
  <c r="H46" i="20"/>
  <c r="H13" i="20"/>
  <c r="E55" i="20"/>
  <c r="E27" i="20"/>
  <c r="E22" i="20"/>
  <c r="E33" i="20"/>
  <c r="E28" i="20"/>
  <c r="E34" i="20"/>
  <c r="E13" i="20"/>
  <c r="E54" i="20"/>
  <c r="E47" i="20"/>
  <c r="E21" i="20"/>
  <c r="E14" i="20"/>
  <c r="E46" i="20"/>
  <c r="L54" i="19"/>
  <c r="L46" i="19"/>
  <c r="L33" i="19"/>
  <c r="L21" i="19"/>
  <c r="L13" i="19"/>
  <c r="L55" i="19"/>
  <c r="L47" i="19"/>
  <c r="L34" i="19"/>
  <c r="L22" i="19"/>
  <c r="L14" i="19"/>
  <c r="L27" i="19"/>
  <c r="L28" i="19"/>
  <c r="H54" i="19"/>
  <c r="H46" i="19"/>
  <c r="H33" i="19"/>
  <c r="H21" i="19"/>
  <c r="H13" i="19"/>
  <c r="H47" i="19"/>
  <c r="H34" i="19"/>
  <c r="H27" i="19"/>
  <c r="E55" i="19"/>
  <c r="E47" i="19"/>
  <c r="E34" i="19"/>
  <c r="E22" i="19"/>
  <c r="E14" i="19"/>
  <c r="E27" i="19"/>
  <c r="E28" i="19"/>
  <c r="E54" i="19"/>
  <c r="E46" i="19"/>
  <c r="E33" i="19"/>
  <c r="E21" i="19"/>
  <c r="E13" i="19"/>
  <c r="M55" i="19"/>
  <c r="M47" i="19"/>
  <c r="M34" i="19"/>
  <c r="M22" i="19"/>
  <c r="M14" i="19"/>
  <c r="M27" i="19"/>
  <c r="M28" i="19"/>
  <c r="M54" i="19"/>
  <c r="M46" i="19"/>
  <c r="M33" i="19"/>
  <c r="M21" i="19"/>
  <c r="M13" i="19"/>
  <c r="I55" i="19"/>
  <c r="I47" i="19"/>
  <c r="I34" i="19"/>
  <c r="I22" i="19"/>
  <c r="I14" i="19"/>
  <c r="I27" i="19"/>
  <c r="I28" i="19"/>
  <c r="I54" i="19"/>
  <c r="I46" i="19"/>
  <c r="I33" i="19"/>
  <c r="I21" i="19"/>
  <c r="I13" i="19"/>
  <c r="D54" i="19"/>
  <c r="D46" i="19"/>
  <c r="D33" i="19"/>
  <c r="D21" i="19"/>
  <c r="D13" i="19"/>
  <c r="D55" i="19"/>
  <c r="D47" i="19"/>
  <c r="D34" i="19"/>
  <c r="D22" i="19"/>
  <c r="D14" i="19"/>
  <c r="D27" i="19"/>
  <c r="D28" i="19"/>
  <c r="N27" i="19"/>
  <c r="N28" i="19"/>
  <c r="N54" i="19"/>
  <c r="N46" i="19"/>
  <c r="N33" i="19"/>
  <c r="N21" i="19"/>
  <c r="N13" i="19"/>
  <c r="N55" i="19"/>
  <c r="N47" i="19"/>
  <c r="N34" i="19"/>
  <c r="N22" i="19"/>
  <c r="N14" i="19"/>
  <c r="J27" i="19"/>
  <c r="J28" i="19"/>
  <c r="J54" i="19"/>
  <c r="J46" i="19"/>
  <c r="J33" i="19"/>
  <c r="J21" i="19"/>
  <c r="J13" i="19"/>
  <c r="J55" i="19"/>
  <c r="J47" i="19"/>
  <c r="J34" i="19"/>
  <c r="J22" i="19"/>
  <c r="J14" i="19"/>
  <c r="F27" i="19"/>
  <c r="F28" i="19"/>
  <c r="F54" i="19"/>
  <c r="F46" i="19"/>
  <c r="F33" i="19"/>
  <c r="F21" i="19"/>
  <c r="F13" i="19"/>
  <c r="F55" i="19"/>
  <c r="F47" i="19"/>
  <c r="F34" i="19"/>
  <c r="F22" i="19"/>
  <c r="F14" i="19"/>
  <c r="H6" i="19"/>
  <c r="H74" i="19" s="1"/>
  <c r="O28" i="19"/>
  <c r="O54" i="19"/>
  <c r="O46" i="19"/>
  <c r="O33" i="19"/>
  <c r="O21" i="19"/>
  <c r="O13" i="19"/>
  <c r="O55" i="19"/>
  <c r="O47" i="19"/>
  <c r="O34" i="19"/>
  <c r="O22" i="19"/>
  <c r="O14" i="19"/>
  <c r="O27" i="19"/>
  <c r="K28" i="19"/>
  <c r="K54" i="19"/>
  <c r="K46" i="19"/>
  <c r="K33" i="19"/>
  <c r="K21" i="19"/>
  <c r="K13" i="19"/>
  <c r="K55" i="19"/>
  <c r="K47" i="19"/>
  <c r="K34" i="19"/>
  <c r="K22" i="19"/>
  <c r="K14" i="19"/>
  <c r="K27" i="19"/>
  <c r="G28" i="19"/>
  <c r="G54" i="19"/>
  <c r="G46" i="19"/>
  <c r="G33" i="19"/>
  <c r="G21" i="19"/>
  <c r="G13" i="19"/>
  <c r="G55" i="19"/>
  <c r="G47" i="19"/>
  <c r="G34" i="19"/>
  <c r="G22" i="19"/>
  <c r="G14" i="19"/>
  <c r="G27" i="19"/>
  <c r="N6" i="19"/>
  <c r="N74" i="19" s="1"/>
  <c r="G6" i="19"/>
  <c r="G74" i="19" s="1"/>
  <c r="F6" i="19"/>
  <c r="F74" i="19" s="1"/>
  <c r="O6" i="19"/>
  <c r="O69" i="19" s="1"/>
  <c r="O64" i="19" s="1"/>
  <c r="M6" i="19"/>
  <c r="M69" i="19" s="1"/>
  <c r="M64" i="19" s="1"/>
  <c r="L6" i="19"/>
  <c r="L74" i="19" s="1"/>
  <c r="L6" i="20"/>
  <c r="F6" i="20"/>
  <c r="F72" i="20" s="1"/>
  <c r="D6" i="20"/>
  <c r="B131" i="4"/>
  <c r="D131" i="4" s="1"/>
  <c r="C50" i="3"/>
  <c r="C94" i="3" s="1"/>
  <c r="L50" i="3"/>
  <c r="D50" i="3"/>
  <c r="D94" i="3" s="1"/>
  <c r="J50" i="3"/>
  <c r="J94" i="3" s="1"/>
  <c r="M50" i="3"/>
  <c r="I50" i="3"/>
  <c r="I94" i="3" s="1"/>
  <c r="E50" i="3"/>
  <c r="E94" i="3" s="1"/>
  <c r="H50" i="3"/>
  <c r="H94" i="3" s="1"/>
  <c r="N50" i="3"/>
  <c r="F50" i="3"/>
  <c r="F94" i="3" s="1"/>
  <c r="K50" i="3"/>
  <c r="K94" i="3" s="1"/>
  <c r="G50" i="3"/>
  <c r="G94" i="3" s="1"/>
  <c r="K6" i="19"/>
  <c r="K15" i="19" s="1"/>
  <c r="I6" i="19"/>
  <c r="I74" i="19" s="1"/>
  <c r="G6" i="20"/>
  <c r="G72" i="20" s="1"/>
  <c r="I76" i="3"/>
  <c r="D76" i="3"/>
  <c r="J76" i="3"/>
  <c r="G76" i="3"/>
  <c r="C76" i="3"/>
  <c r="S8" i="49"/>
  <c r="Q10" i="47"/>
  <c r="Q11" i="47" s="1"/>
  <c r="S9" i="47"/>
  <c r="S8" i="47"/>
  <c r="D73" i="4"/>
  <c r="D42" i="4"/>
  <c r="K5" i="4"/>
  <c r="K43" i="4" s="1"/>
  <c r="G5" i="4"/>
  <c r="G43" i="4" s="1"/>
  <c r="C5" i="4"/>
  <c r="C43" i="4" s="1"/>
  <c r="I5" i="4"/>
  <c r="I43" i="4" s="1"/>
  <c r="E5" i="4"/>
  <c r="E43" i="4" s="1"/>
  <c r="K2" i="19"/>
  <c r="O6" i="20"/>
  <c r="O2" i="19"/>
  <c r="G2" i="19"/>
  <c r="N5" i="4"/>
  <c r="N43" i="4" s="1"/>
  <c r="M5" i="4"/>
  <c r="M43" i="4" s="1"/>
  <c r="L5" i="4"/>
  <c r="L43" i="4" s="1"/>
  <c r="J5" i="4"/>
  <c r="J43" i="4" s="1"/>
  <c r="H5" i="4"/>
  <c r="H43" i="4" s="1"/>
  <c r="F5" i="4"/>
  <c r="F43" i="4" s="1"/>
  <c r="L5" i="20"/>
  <c r="J5" i="20"/>
  <c r="H5" i="20"/>
  <c r="F5" i="20"/>
  <c r="K5" i="20"/>
  <c r="I5" i="20"/>
  <c r="G5" i="20"/>
  <c r="J5" i="19"/>
  <c r="J73" i="19" s="1"/>
  <c r="O5" i="19"/>
  <c r="O73" i="19" s="1"/>
  <c r="M5" i="19"/>
  <c r="M73" i="19" s="1"/>
  <c r="K5" i="19"/>
  <c r="K73" i="19" s="1"/>
  <c r="H5" i="19"/>
  <c r="H73" i="19" s="1"/>
  <c r="F5" i="19"/>
  <c r="F73" i="19" s="1"/>
  <c r="N5" i="19"/>
  <c r="N73" i="19" s="1"/>
  <c r="L5" i="19"/>
  <c r="L73" i="19" s="1"/>
  <c r="I5" i="19"/>
  <c r="I73" i="19" s="1"/>
  <c r="G5" i="19"/>
  <c r="G73" i="19" s="1"/>
  <c r="D5" i="19"/>
  <c r="D73" i="19" s="1"/>
  <c r="C40" i="4"/>
  <c r="M2" i="19"/>
  <c r="I2" i="19"/>
  <c r="E2" i="19"/>
  <c r="E5" i="19"/>
  <c r="E73" i="19" s="1"/>
  <c r="E5" i="20"/>
  <c r="B65" i="3"/>
  <c r="E6" i="19"/>
  <c r="E69" i="19" s="1"/>
  <c r="E64" i="19" s="1"/>
  <c r="B74" i="3"/>
  <c r="B110" i="3"/>
  <c r="M23" i="4"/>
  <c r="K23" i="4"/>
  <c r="I23" i="4"/>
  <c r="G23" i="4"/>
  <c r="E23" i="4"/>
  <c r="N15" i="4"/>
  <c r="L15" i="4"/>
  <c r="J15" i="4"/>
  <c r="H15" i="4"/>
  <c r="F15" i="4"/>
  <c r="D15" i="4"/>
  <c r="B59" i="3"/>
  <c r="B63" i="3"/>
  <c r="H40" i="20"/>
  <c r="H48" i="20" s="1"/>
  <c r="O5" i="20"/>
  <c r="M5" i="20"/>
  <c r="M6" i="20"/>
  <c r="M72" i="20" s="1"/>
  <c r="K15" i="4"/>
  <c r="N23" i="4"/>
  <c r="I32" i="4"/>
  <c r="L40" i="4"/>
  <c r="D40" i="4"/>
  <c r="N2" i="19"/>
  <c r="L2" i="19"/>
  <c r="J2" i="19"/>
  <c r="H2" i="19"/>
  <c r="F2" i="19"/>
  <c r="D2" i="19"/>
  <c r="D79" i="19"/>
  <c r="M15" i="4"/>
  <c r="E15" i="4"/>
  <c r="H23" i="4"/>
  <c r="D23" i="4"/>
  <c r="K32" i="4"/>
  <c r="G32" i="4"/>
  <c r="N40" i="4"/>
  <c r="J40" i="4"/>
  <c r="F40" i="4"/>
  <c r="B44" i="3"/>
  <c r="N5" i="20"/>
  <c r="N6" i="20"/>
  <c r="G15" i="4"/>
  <c r="J23" i="4"/>
  <c r="Q11" i="49"/>
  <c r="Q12" i="49" s="1"/>
  <c r="D90" i="4"/>
  <c r="D5" i="20"/>
  <c r="D20" i="65" l="1"/>
  <c r="L20" i="65"/>
  <c r="H25" i="65"/>
  <c r="I25" i="65"/>
  <c r="G20" i="65"/>
  <c r="O25" i="65"/>
  <c r="E20" i="65"/>
  <c r="E6" i="65" s="1"/>
  <c r="M20" i="65"/>
  <c r="H20" i="65"/>
  <c r="H6" i="65" s="1"/>
  <c r="L25" i="65"/>
  <c r="M25" i="65"/>
  <c r="J20" i="65"/>
  <c r="N25" i="65"/>
  <c r="K20" i="65"/>
  <c r="F20" i="65"/>
  <c r="F6" i="65" s="1"/>
  <c r="N20" i="65"/>
  <c r="N6" i="65" s="1"/>
  <c r="J25" i="65"/>
  <c r="J13" i="65" s="1"/>
  <c r="K25" i="65"/>
  <c r="I20" i="65"/>
  <c r="F25" i="65"/>
  <c r="F13" i="65" s="1"/>
  <c r="O20" i="65"/>
  <c r="E25" i="65"/>
  <c r="G25" i="65"/>
  <c r="G13" i="65" s="1"/>
  <c r="D25" i="65"/>
  <c r="D13" i="65" s="1"/>
  <c r="D65" i="3"/>
  <c r="C65" i="3"/>
  <c r="E65" i="3"/>
  <c r="H72" i="20"/>
  <c r="G6" i="65"/>
  <c r="O6" i="65"/>
  <c r="K6" i="65"/>
  <c r="K13" i="65"/>
  <c r="L13" i="65"/>
  <c r="I6" i="65"/>
  <c r="E13" i="65"/>
  <c r="J6" i="65"/>
  <c r="N13" i="65"/>
  <c r="L6" i="65"/>
  <c r="M13" i="65"/>
  <c r="O13" i="65"/>
  <c r="H13" i="65"/>
  <c r="M6" i="65"/>
  <c r="I13" i="65"/>
  <c r="D6" i="65"/>
  <c r="H82" i="20"/>
  <c r="H87" i="20"/>
  <c r="J15" i="20"/>
  <c r="J72" i="20"/>
  <c r="D69" i="19"/>
  <c r="D64" i="19" s="1"/>
  <c r="D40" i="19"/>
  <c r="D48" i="19" s="1"/>
  <c r="T9" i="49"/>
  <c r="C45" i="4"/>
  <c r="C60" i="4" s="1"/>
  <c r="C55" i="4"/>
  <c r="C70" i="4" s="1"/>
  <c r="J64" i="20"/>
  <c r="D81" i="20"/>
  <c r="D15" i="19"/>
  <c r="Q10" i="49"/>
  <c r="J87" i="20"/>
  <c r="J40" i="20"/>
  <c r="J48" i="20" s="1"/>
  <c r="H77" i="20"/>
  <c r="S10" i="47"/>
  <c r="J69" i="19"/>
  <c r="J64" i="19" s="1"/>
  <c r="J79" i="19"/>
  <c r="J15" i="19"/>
  <c r="J40" i="19"/>
  <c r="J48" i="19" s="1"/>
  <c r="J77" i="20"/>
  <c r="K40" i="19"/>
  <c r="K48" i="19" s="1"/>
  <c r="G77" i="20"/>
  <c r="E64" i="20"/>
  <c r="E72" i="20"/>
  <c r="B48" i="3"/>
  <c r="B49" i="3"/>
  <c r="D64" i="20"/>
  <c r="D72" i="20"/>
  <c r="N40" i="19"/>
  <c r="N48" i="19" s="1"/>
  <c r="N64" i="20"/>
  <c r="N72" i="20"/>
  <c r="O64" i="20"/>
  <c r="O72" i="20"/>
  <c r="L64" i="20"/>
  <c r="L72" i="20"/>
  <c r="K64" i="20"/>
  <c r="K72" i="20"/>
  <c r="H56" i="20"/>
  <c r="J56" i="20"/>
  <c r="M64" i="20"/>
  <c r="I64" i="20"/>
  <c r="H64" i="20"/>
  <c r="E40" i="20"/>
  <c r="E48" i="20" s="1"/>
  <c r="K15" i="20"/>
  <c r="G64" i="20"/>
  <c r="F64" i="20"/>
  <c r="I82" i="20"/>
  <c r="I56" i="20"/>
  <c r="D82" i="20"/>
  <c r="D56" i="20"/>
  <c r="N82" i="20"/>
  <c r="N56" i="20"/>
  <c r="O82" i="20"/>
  <c r="O56" i="20"/>
  <c r="L82" i="20"/>
  <c r="L56" i="20"/>
  <c r="K82" i="20"/>
  <c r="K56" i="20"/>
  <c r="E82" i="20"/>
  <c r="E56" i="20"/>
  <c r="M82" i="20"/>
  <c r="M56" i="20"/>
  <c r="G82" i="20"/>
  <c r="G56" i="20"/>
  <c r="F82" i="20"/>
  <c r="F56" i="20"/>
  <c r="E77" i="20"/>
  <c r="E15" i="20"/>
  <c r="I40" i="20"/>
  <c r="I48" i="20" s="1"/>
  <c r="B140" i="4"/>
  <c r="K69" i="19"/>
  <c r="K64" i="19" s="1"/>
  <c r="K79" i="19"/>
  <c r="I40" i="19"/>
  <c r="I48" i="19" s="1"/>
  <c r="G87" i="20"/>
  <c r="E87" i="20"/>
  <c r="D77" i="20"/>
  <c r="D40" i="20"/>
  <c r="D48" i="20" s="1"/>
  <c r="C150" i="49"/>
  <c r="I150" i="49"/>
  <c r="G15" i="20"/>
  <c r="K77" i="20"/>
  <c r="K87" i="20"/>
  <c r="I77" i="20"/>
  <c r="I87" i="20"/>
  <c r="I15" i="20"/>
  <c r="I79" i="19"/>
  <c r="L40" i="19"/>
  <c r="L48" i="19" s="1"/>
  <c r="H40" i="19"/>
  <c r="H48" i="19" s="1"/>
  <c r="H15" i="19"/>
  <c r="H69" i="19"/>
  <c r="I15" i="19"/>
  <c r="I69" i="19"/>
  <c r="I64" i="19" s="1"/>
  <c r="G79" i="19"/>
  <c r="H79" i="19"/>
  <c r="N79" i="19"/>
  <c r="O15" i="19"/>
  <c r="N69" i="19"/>
  <c r="N15" i="19"/>
  <c r="B125" i="4"/>
  <c r="N76" i="3"/>
  <c r="E76" i="3"/>
  <c r="H76" i="3"/>
  <c r="M76" i="3"/>
  <c r="F76" i="3"/>
  <c r="K76" i="3"/>
  <c r="G40" i="19"/>
  <c r="G48" i="19" s="1"/>
  <c r="G15" i="19"/>
  <c r="G69" i="19"/>
  <c r="G64" i="19" s="1"/>
  <c r="F40" i="19"/>
  <c r="F48" i="19" s="1"/>
  <c r="F40" i="20"/>
  <c r="F48" i="20" s="1"/>
  <c r="F79" i="19"/>
  <c r="F77" i="20"/>
  <c r="F15" i="20"/>
  <c r="F15" i="19"/>
  <c r="F87" i="20"/>
  <c r="F69" i="19"/>
  <c r="F64" i="19" s="1"/>
  <c r="E40" i="19"/>
  <c r="E48" i="19" s="1"/>
  <c r="D15" i="20"/>
  <c r="D87" i="20"/>
  <c r="O40" i="20"/>
  <c r="O48" i="20" s="1"/>
  <c r="O15" i="20"/>
  <c r="O40" i="19"/>
  <c r="O48" i="19" s="1"/>
  <c r="O79" i="19"/>
  <c r="O74" i="19"/>
  <c r="O75" i="19" s="1"/>
  <c r="N12" i="3" s="1"/>
  <c r="N44" i="3" s="1"/>
  <c r="O77" i="20"/>
  <c r="O87" i="20"/>
  <c r="M79" i="19"/>
  <c r="M74" i="19"/>
  <c r="M75" i="19" s="1"/>
  <c r="L12" i="3" s="1"/>
  <c r="L44" i="3" s="1"/>
  <c r="M40" i="19"/>
  <c r="M48" i="19" s="1"/>
  <c r="M15" i="19"/>
  <c r="L77" i="20"/>
  <c r="L15" i="19"/>
  <c r="L40" i="20"/>
  <c r="L48" i="20" s="1"/>
  <c r="L69" i="19"/>
  <c r="L79" i="19"/>
  <c r="L87" i="20"/>
  <c r="L15" i="20"/>
  <c r="K74" i="19"/>
  <c r="K75" i="19" s="1"/>
  <c r="J12" i="3" s="1"/>
  <c r="J44" i="3" s="1"/>
  <c r="F131" i="4"/>
  <c r="G131" i="4"/>
  <c r="L131" i="4"/>
  <c r="N131" i="4"/>
  <c r="M131" i="4"/>
  <c r="K131" i="4"/>
  <c r="H131" i="4"/>
  <c r="C131" i="4"/>
  <c r="J131" i="4"/>
  <c r="I131" i="4"/>
  <c r="E131" i="4"/>
  <c r="E150" i="49"/>
  <c r="M150" i="49"/>
  <c r="F75" i="19"/>
  <c r="E12" i="3" s="1"/>
  <c r="E44" i="3" s="1"/>
  <c r="J133" i="47"/>
  <c r="N133" i="47"/>
  <c r="C133" i="47"/>
  <c r="S11" i="47"/>
  <c r="Q12" i="47"/>
  <c r="F133" i="47"/>
  <c r="K133" i="47"/>
  <c r="I133" i="47"/>
  <c r="G133" i="47"/>
  <c r="D133" i="47"/>
  <c r="C109" i="3"/>
  <c r="B146" i="4"/>
  <c r="P5" i="19"/>
  <c r="G40" i="20"/>
  <c r="G48" i="20" s="1"/>
  <c r="L75" i="19"/>
  <c r="K12" i="3" s="1"/>
  <c r="K44" i="3" s="1"/>
  <c r="E79" i="19"/>
  <c r="E74" i="19"/>
  <c r="E75" i="19" s="1"/>
  <c r="D12" i="3" s="1"/>
  <c r="D44" i="3" s="1"/>
  <c r="H133" i="47"/>
  <c r="L133" i="47"/>
  <c r="E133" i="47"/>
  <c r="M133" i="47"/>
  <c r="G48" i="4"/>
  <c r="G63" i="4" s="1"/>
  <c r="G55" i="4"/>
  <c r="G70" i="4" s="1"/>
  <c r="I55" i="4"/>
  <c r="I70" i="4" s="1"/>
  <c r="I48" i="4"/>
  <c r="I63" i="4" s="1"/>
  <c r="L55" i="4"/>
  <c r="L70" i="4" s="1"/>
  <c r="L48" i="4"/>
  <c r="L63" i="4" s="1"/>
  <c r="M55" i="4"/>
  <c r="M70" i="4" s="1"/>
  <c r="M48" i="4"/>
  <c r="M63" i="4" s="1"/>
  <c r="E55" i="4"/>
  <c r="E70" i="4" s="1"/>
  <c r="E48" i="4"/>
  <c r="E63" i="4" s="1"/>
  <c r="C49" i="4"/>
  <c r="C64" i="4" s="1"/>
  <c r="C48" i="4"/>
  <c r="C63" i="4" s="1"/>
  <c r="K55" i="4"/>
  <c r="K70" i="4" s="1"/>
  <c r="K48" i="4"/>
  <c r="K63" i="4" s="1"/>
  <c r="F55" i="4"/>
  <c r="F70" i="4" s="1"/>
  <c r="F48" i="4"/>
  <c r="F63" i="4" s="1"/>
  <c r="H55" i="4"/>
  <c r="H70" i="4" s="1"/>
  <c r="H48" i="4"/>
  <c r="H63" i="4" s="1"/>
  <c r="J55" i="4"/>
  <c r="J70" i="4" s="1"/>
  <c r="J48" i="4"/>
  <c r="J63" i="4" s="1"/>
  <c r="D55" i="4"/>
  <c r="D70" i="4" s="1"/>
  <c r="D48" i="4"/>
  <c r="D63" i="4" s="1"/>
  <c r="N55" i="4"/>
  <c r="N70" i="4" s="1"/>
  <c r="N48" i="4"/>
  <c r="N63" i="4" s="1"/>
  <c r="C53" i="4"/>
  <c r="C68" i="4" s="1"/>
  <c r="C46" i="4"/>
  <c r="C61" i="4" s="1"/>
  <c r="K90" i="4"/>
  <c r="K120" i="4"/>
  <c r="K73" i="4"/>
  <c r="K42" i="4"/>
  <c r="G90" i="4"/>
  <c r="G120" i="4"/>
  <c r="G42" i="4"/>
  <c r="G73" i="4"/>
  <c r="M46" i="4"/>
  <c r="M61" i="4" s="1"/>
  <c r="M49" i="4"/>
  <c r="M64" i="4" s="1"/>
  <c r="M45" i="4"/>
  <c r="M60" i="4" s="1"/>
  <c r="E90" i="4"/>
  <c r="E120" i="4"/>
  <c r="E73" i="4"/>
  <c r="E42" i="4"/>
  <c r="C90" i="4"/>
  <c r="C120" i="4"/>
  <c r="C73" i="4"/>
  <c r="C42" i="4"/>
  <c r="I90" i="4"/>
  <c r="I120" i="4"/>
  <c r="I73" i="4"/>
  <c r="I42" i="4"/>
  <c r="N81" i="20"/>
  <c r="M81" i="20"/>
  <c r="G81" i="20"/>
  <c r="K81" i="20"/>
  <c r="H81" i="20"/>
  <c r="L81" i="20"/>
  <c r="O81" i="20"/>
  <c r="E81" i="20"/>
  <c r="I81" i="20"/>
  <c r="F81" i="20"/>
  <c r="J81" i="20"/>
  <c r="J83" i="20" s="1"/>
  <c r="I26" i="3" s="1"/>
  <c r="I59" i="3" s="1"/>
  <c r="F90" i="4"/>
  <c r="F120" i="4"/>
  <c r="F73" i="4"/>
  <c r="F42" i="4"/>
  <c r="J90" i="4"/>
  <c r="J120" i="4"/>
  <c r="J73" i="4"/>
  <c r="J42" i="4"/>
  <c r="M90" i="4"/>
  <c r="M120" i="4"/>
  <c r="M73" i="4"/>
  <c r="M42" i="4"/>
  <c r="C74" i="4"/>
  <c r="C47" i="4"/>
  <c r="C62" i="4" s="1"/>
  <c r="C54" i="4"/>
  <c r="C69" i="4" s="1"/>
  <c r="C56" i="4"/>
  <c r="C71" i="4" s="1"/>
  <c r="H90" i="4"/>
  <c r="H120" i="4"/>
  <c r="H73" i="4"/>
  <c r="H42" i="4"/>
  <c r="L90" i="4"/>
  <c r="L120" i="4"/>
  <c r="L73" i="4"/>
  <c r="L42" i="4"/>
  <c r="N90" i="4"/>
  <c r="N120" i="4"/>
  <c r="N73" i="4"/>
  <c r="N42" i="4"/>
  <c r="C52" i="4"/>
  <c r="C67" i="4" s="1"/>
  <c r="M74" i="4"/>
  <c r="M47" i="4"/>
  <c r="M62" i="4" s="1"/>
  <c r="M53" i="4"/>
  <c r="M68" i="4" s="1"/>
  <c r="M52" i="4"/>
  <c r="M67" i="4" s="1"/>
  <c r="M54" i="4"/>
  <c r="M69" i="4" s="1"/>
  <c r="M56" i="4"/>
  <c r="M71" i="4" s="1"/>
  <c r="F150" i="49"/>
  <c r="J150" i="49"/>
  <c r="N150" i="49"/>
  <c r="G150" i="49"/>
  <c r="K150" i="49"/>
  <c r="D150" i="49"/>
  <c r="S12" i="49"/>
  <c r="Q13" i="49"/>
  <c r="T12" i="49"/>
  <c r="D109" i="3"/>
  <c r="E109" i="3"/>
  <c r="D75" i="19"/>
  <c r="C12" i="3" s="1"/>
  <c r="C44" i="3" s="1"/>
  <c r="E15" i="19"/>
  <c r="P5" i="20"/>
  <c r="E59" i="20" s="1"/>
  <c r="F74" i="4"/>
  <c r="F46" i="4"/>
  <c r="F61" i="4" s="1"/>
  <c r="F45" i="4"/>
  <c r="F60" i="4" s="1"/>
  <c r="F47" i="4"/>
  <c r="F62" i="4" s="1"/>
  <c r="F49" i="4"/>
  <c r="F64" i="4" s="1"/>
  <c r="F52" i="4"/>
  <c r="F67" i="4" s="1"/>
  <c r="F53" i="4"/>
  <c r="F68" i="4" s="1"/>
  <c r="F54" i="4"/>
  <c r="F69" i="4" s="1"/>
  <c r="F56" i="4"/>
  <c r="F71" i="4" s="1"/>
  <c r="H74" i="4"/>
  <c r="H46" i="4"/>
  <c r="H61" i="4" s="1"/>
  <c r="H45" i="4"/>
  <c r="H60" i="4" s="1"/>
  <c r="H47" i="4"/>
  <c r="H62" i="4" s="1"/>
  <c r="H49" i="4"/>
  <c r="H64" i="4" s="1"/>
  <c r="H52" i="4"/>
  <c r="H67" i="4" s="1"/>
  <c r="H53" i="4"/>
  <c r="H68" i="4" s="1"/>
  <c r="H54" i="4"/>
  <c r="H69" i="4" s="1"/>
  <c r="H56" i="4"/>
  <c r="H71" i="4" s="1"/>
  <c r="J74" i="4"/>
  <c r="J46" i="4"/>
  <c r="J61" i="4" s="1"/>
  <c r="J45" i="4"/>
  <c r="J60" i="4" s="1"/>
  <c r="J47" i="4"/>
  <c r="J62" i="4" s="1"/>
  <c r="J49" i="4"/>
  <c r="J64" i="4" s="1"/>
  <c r="J52" i="4"/>
  <c r="J67" i="4" s="1"/>
  <c r="J53" i="4"/>
  <c r="J68" i="4" s="1"/>
  <c r="J54" i="4"/>
  <c r="J69" i="4" s="1"/>
  <c r="J56" i="4"/>
  <c r="J71" i="4" s="1"/>
  <c r="L74" i="4"/>
  <c r="L45" i="4"/>
  <c r="L60" i="4" s="1"/>
  <c r="L46" i="4"/>
  <c r="L61" i="4" s="1"/>
  <c r="L49" i="4"/>
  <c r="L64" i="4" s="1"/>
  <c r="L47" i="4"/>
  <c r="L62" i="4" s="1"/>
  <c r="L56" i="4"/>
  <c r="L71" i="4" s="1"/>
  <c r="L52" i="4"/>
  <c r="L67" i="4" s="1"/>
  <c r="L53" i="4"/>
  <c r="L68" i="4" s="1"/>
  <c r="L54" i="4"/>
  <c r="L69" i="4" s="1"/>
  <c r="N74" i="4"/>
  <c r="N45" i="4"/>
  <c r="N60" i="4" s="1"/>
  <c r="N46" i="4"/>
  <c r="N61" i="4" s="1"/>
  <c r="N49" i="4"/>
  <c r="N64" i="4" s="1"/>
  <c r="N47" i="4"/>
  <c r="N62" i="4" s="1"/>
  <c r="N56" i="4"/>
  <c r="N71" i="4" s="1"/>
  <c r="N53" i="4"/>
  <c r="N68" i="4" s="1"/>
  <c r="N52" i="4"/>
  <c r="N67" i="4" s="1"/>
  <c r="N54" i="4"/>
  <c r="N69" i="4" s="1"/>
  <c r="N75" i="19"/>
  <c r="M12" i="3" s="1"/>
  <c r="M44" i="3" s="1"/>
  <c r="L94" i="3"/>
  <c r="M94" i="3"/>
  <c r="N94" i="3"/>
  <c r="M77" i="20"/>
  <c r="M87" i="20"/>
  <c r="M15" i="20"/>
  <c r="M40" i="20"/>
  <c r="M48" i="20" s="1"/>
  <c r="E56" i="19"/>
  <c r="D63" i="3"/>
  <c r="D107" i="3" s="1"/>
  <c r="B144" i="4"/>
  <c r="N63" i="3"/>
  <c r="N107" i="3" s="1"/>
  <c r="E63" i="3"/>
  <c r="E107" i="3" s="1"/>
  <c r="G63" i="3"/>
  <c r="G107" i="3" s="1"/>
  <c r="I63" i="3"/>
  <c r="I107" i="3" s="1"/>
  <c r="K63" i="3"/>
  <c r="K107" i="3" s="1"/>
  <c r="C63" i="3"/>
  <c r="C107" i="3" s="1"/>
  <c r="F63" i="3"/>
  <c r="F107" i="3" s="1"/>
  <c r="H63" i="3"/>
  <c r="H107" i="3" s="1"/>
  <c r="J63" i="3"/>
  <c r="J107" i="3" s="1"/>
  <c r="L63" i="3"/>
  <c r="L107" i="3" s="1"/>
  <c r="M63" i="3"/>
  <c r="M107" i="3" s="1"/>
  <c r="E74" i="4"/>
  <c r="E46" i="4"/>
  <c r="E61" i="4" s="1"/>
  <c r="E45" i="4"/>
  <c r="E60" i="4" s="1"/>
  <c r="E47" i="4"/>
  <c r="E62" i="4" s="1"/>
  <c r="E49" i="4"/>
  <c r="E64" i="4" s="1"/>
  <c r="E52" i="4"/>
  <c r="E67" i="4" s="1"/>
  <c r="E53" i="4"/>
  <c r="E68" i="4" s="1"/>
  <c r="E54" i="4"/>
  <c r="E69" i="4" s="1"/>
  <c r="E56" i="4"/>
  <c r="E71" i="4" s="1"/>
  <c r="G74" i="4"/>
  <c r="G46" i="4"/>
  <c r="G61" i="4" s="1"/>
  <c r="G45" i="4"/>
  <c r="G60" i="4" s="1"/>
  <c r="G47" i="4"/>
  <c r="G62" i="4" s="1"/>
  <c r="G49" i="4"/>
  <c r="G64" i="4" s="1"/>
  <c r="G52" i="4"/>
  <c r="G67" i="4" s="1"/>
  <c r="G53" i="4"/>
  <c r="G68" i="4" s="1"/>
  <c r="G54" i="4"/>
  <c r="G69" i="4" s="1"/>
  <c r="G56" i="4"/>
  <c r="G71" i="4" s="1"/>
  <c r="I74" i="4"/>
  <c r="I46" i="4"/>
  <c r="I61" i="4" s="1"/>
  <c r="I45" i="4"/>
  <c r="I60" i="4" s="1"/>
  <c r="I47" i="4"/>
  <c r="I62" i="4" s="1"/>
  <c r="I49" i="4"/>
  <c r="I64" i="4" s="1"/>
  <c r="I52" i="4"/>
  <c r="I67" i="4" s="1"/>
  <c r="I53" i="4"/>
  <c r="I68" i="4" s="1"/>
  <c r="I54" i="4"/>
  <c r="I69" i="4" s="1"/>
  <c r="I56" i="4"/>
  <c r="I71" i="4" s="1"/>
  <c r="K74" i="4"/>
  <c r="K46" i="4"/>
  <c r="K61" i="4" s="1"/>
  <c r="K45" i="4"/>
  <c r="K60" i="4" s="1"/>
  <c r="K47" i="4"/>
  <c r="K62" i="4" s="1"/>
  <c r="K49" i="4"/>
  <c r="K64" i="4" s="1"/>
  <c r="K52" i="4"/>
  <c r="K67" i="4" s="1"/>
  <c r="K53" i="4"/>
  <c r="K68" i="4" s="1"/>
  <c r="K54" i="4"/>
  <c r="K69" i="4" s="1"/>
  <c r="K56" i="4"/>
  <c r="K71" i="4" s="1"/>
  <c r="D45" i="4"/>
  <c r="D60" i="4" s="1"/>
  <c r="D47" i="4"/>
  <c r="D62" i="4" s="1"/>
  <c r="D49" i="4"/>
  <c r="D64" i="4" s="1"/>
  <c r="D74" i="4"/>
  <c r="D46" i="4"/>
  <c r="D61" i="4" s="1"/>
  <c r="D52" i="4"/>
  <c r="D67" i="4" s="1"/>
  <c r="D54" i="4"/>
  <c r="D69" i="4" s="1"/>
  <c r="D53" i="4"/>
  <c r="D68" i="4" s="1"/>
  <c r="D56" i="4"/>
  <c r="D71" i="4" s="1"/>
  <c r="S11" i="49"/>
  <c r="T11" i="49"/>
  <c r="N40" i="20"/>
  <c r="N48" i="20" s="1"/>
  <c r="N87" i="20"/>
  <c r="N15" i="20"/>
  <c r="N77" i="20"/>
  <c r="G75" i="19"/>
  <c r="F12" i="3" s="1"/>
  <c r="F44" i="3" s="1"/>
  <c r="I75" i="19"/>
  <c r="H12" i="3" s="1"/>
  <c r="H44" i="3" s="1"/>
  <c r="M56" i="19"/>
  <c r="O56" i="19"/>
  <c r="J75" i="19"/>
  <c r="I12" i="3" s="1"/>
  <c r="I44" i="3" s="1"/>
  <c r="H150" i="49"/>
  <c r="L150" i="49"/>
  <c r="N14" i="65" l="1"/>
  <c r="D146" i="4"/>
  <c r="L146" i="4"/>
  <c r="G146" i="4"/>
  <c r="E146" i="4"/>
  <c r="M146" i="4"/>
  <c r="C146" i="4"/>
  <c r="F146" i="4"/>
  <c r="N146" i="4"/>
  <c r="H146" i="4"/>
  <c r="I146" i="4"/>
  <c r="J146" i="4"/>
  <c r="K146" i="4"/>
  <c r="I14" i="65"/>
  <c r="H144" i="4" s="1"/>
  <c r="L7" i="65"/>
  <c r="K65" i="3" s="1"/>
  <c r="K109" i="3" s="1"/>
  <c r="H14" i="65"/>
  <c r="G144" i="4" s="1"/>
  <c r="K14" i="65"/>
  <c r="J144" i="4" s="1"/>
  <c r="O14" i="65"/>
  <c r="N144" i="4" s="1"/>
  <c r="J14" i="65"/>
  <c r="I144" i="4" s="1"/>
  <c r="G14" i="65"/>
  <c r="F144" i="4" s="1"/>
  <c r="M14" i="65"/>
  <c r="L144" i="4" s="1"/>
  <c r="L14" i="65"/>
  <c r="K144" i="4" s="1"/>
  <c r="M7" i="65"/>
  <c r="L65" i="3" s="1"/>
  <c r="L109" i="3" s="1"/>
  <c r="O7" i="65"/>
  <c r="N65" i="3" s="1"/>
  <c r="N109" i="3" s="1"/>
  <c r="J7" i="65"/>
  <c r="I65" i="3" s="1"/>
  <c r="I109" i="3" s="1"/>
  <c r="G7" i="65"/>
  <c r="F65" i="3" s="1"/>
  <c r="F109" i="3" s="1"/>
  <c r="N7" i="65"/>
  <c r="M65" i="3" s="1"/>
  <c r="M109" i="3" s="1"/>
  <c r="B109" i="3" s="1"/>
  <c r="I7" i="65"/>
  <c r="H65" i="3" s="1"/>
  <c r="H109" i="3" s="1"/>
  <c r="K7" i="65"/>
  <c r="J65" i="3" s="1"/>
  <c r="J109" i="3" s="1"/>
  <c r="H7" i="65"/>
  <c r="G65" i="3" s="1"/>
  <c r="G109" i="3" s="1"/>
  <c r="H83" i="20"/>
  <c r="G26" i="3" s="1"/>
  <c r="G59" i="3" s="1"/>
  <c r="D56" i="19"/>
  <c r="G85" i="4"/>
  <c r="G79" i="4"/>
  <c r="G87" i="4"/>
  <c r="G110" i="4" s="1"/>
  <c r="N79" i="4"/>
  <c r="N85" i="4"/>
  <c r="N87" i="4"/>
  <c r="N110" i="4" s="1"/>
  <c r="F79" i="4"/>
  <c r="F87" i="4"/>
  <c r="F110" i="4" s="1"/>
  <c r="F85" i="4"/>
  <c r="E144" i="4"/>
  <c r="E79" i="4"/>
  <c r="E87" i="4"/>
  <c r="E110" i="4" s="1"/>
  <c r="E85" i="4"/>
  <c r="L87" i="4"/>
  <c r="L110" i="4" s="1"/>
  <c r="L85" i="4"/>
  <c r="L79" i="4"/>
  <c r="C87" i="4"/>
  <c r="C110" i="4" s="1"/>
  <c r="C79" i="4"/>
  <c r="C95" i="4" s="1"/>
  <c r="C125" i="4" s="1"/>
  <c r="D87" i="4"/>
  <c r="D110" i="4" s="1"/>
  <c r="D85" i="4"/>
  <c r="D79" i="4"/>
  <c r="K85" i="4"/>
  <c r="K79" i="4"/>
  <c r="K87" i="4"/>
  <c r="K110" i="4" s="1"/>
  <c r="J87" i="4"/>
  <c r="J110" i="4" s="1"/>
  <c r="J79" i="4"/>
  <c r="J85" i="4"/>
  <c r="J108" i="4" s="1"/>
  <c r="I79" i="4"/>
  <c r="I85" i="4"/>
  <c r="I87" i="4"/>
  <c r="I110" i="4" s="1"/>
  <c r="H87" i="4"/>
  <c r="H110" i="4" s="1"/>
  <c r="H85" i="4"/>
  <c r="H79" i="4"/>
  <c r="M144" i="4"/>
  <c r="M79" i="4"/>
  <c r="M87" i="4"/>
  <c r="M110" i="4" s="1"/>
  <c r="M85" i="4"/>
  <c r="D83" i="20"/>
  <c r="C26" i="3" s="1"/>
  <c r="C59" i="3" s="1"/>
  <c r="T10" i="49"/>
  <c r="S10" i="49"/>
  <c r="J56" i="19"/>
  <c r="C85" i="4"/>
  <c r="C108" i="4" s="1"/>
  <c r="O67" i="20"/>
  <c r="O73" i="20" s="1"/>
  <c r="K43" i="20"/>
  <c r="K49" i="20" s="1"/>
  <c r="K83" i="20"/>
  <c r="J26" i="3" s="1"/>
  <c r="J59" i="3" s="1"/>
  <c r="O83" i="20"/>
  <c r="N26" i="3" s="1"/>
  <c r="N59" i="3" s="1"/>
  <c r="F83" i="20"/>
  <c r="E26" i="3" s="1"/>
  <c r="E59" i="3" s="1"/>
  <c r="D48" i="3"/>
  <c r="D92" i="3" s="1"/>
  <c r="K48" i="3"/>
  <c r="K92" i="3" s="1"/>
  <c r="E48" i="3"/>
  <c r="E92" i="3" s="1"/>
  <c r="H48" i="3"/>
  <c r="H92" i="3" s="1"/>
  <c r="C48" i="3"/>
  <c r="C92" i="3" s="1"/>
  <c r="I48" i="3"/>
  <c r="I92" i="3" s="1"/>
  <c r="J48" i="3"/>
  <c r="J92" i="3" s="1"/>
  <c r="G48" i="3"/>
  <c r="G92" i="3" s="1"/>
  <c r="N48" i="3"/>
  <c r="N92" i="3" s="1"/>
  <c r="F48" i="3"/>
  <c r="F92" i="3" s="1"/>
  <c r="B129" i="4"/>
  <c r="M48" i="3"/>
  <c r="M92" i="3" s="1"/>
  <c r="L48" i="3"/>
  <c r="L92" i="3" s="1"/>
  <c r="E49" i="3"/>
  <c r="E93" i="3" s="1"/>
  <c r="H49" i="3"/>
  <c r="H93" i="3" s="1"/>
  <c r="K49" i="3"/>
  <c r="K93" i="3" s="1"/>
  <c r="J49" i="3"/>
  <c r="J93" i="3" s="1"/>
  <c r="M49" i="3"/>
  <c r="M93" i="3" s="1"/>
  <c r="N49" i="3"/>
  <c r="N93" i="3" s="1"/>
  <c r="F49" i="3"/>
  <c r="F93" i="3" s="1"/>
  <c r="I49" i="3"/>
  <c r="I93" i="3" s="1"/>
  <c r="L49" i="3"/>
  <c r="L93" i="3" s="1"/>
  <c r="D49" i="3"/>
  <c r="D93" i="3" s="1"/>
  <c r="G49" i="3"/>
  <c r="G93" i="3" s="1"/>
  <c r="C49" i="3"/>
  <c r="C93" i="3" s="1"/>
  <c r="B130" i="4"/>
  <c r="L83" i="20"/>
  <c r="K26" i="3" s="1"/>
  <c r="K59" i="3" s="1"/>
  <c r="E83" i="20"/>
  <c r="D26" i="3" s="1"/>
  <c r="D59" i="3" s="1"/>
  <c r="G67" i="20"/>
  <c r="G73" i="20" s="1"/>
  <c r="G83" i="20"/>
  <c r="F26" i="3" s="1"/>
  <c r="F59" i="3" s="1"/>
  <c r="I83" i="20"/>
  <c r="H26" i="3" s="1"/>
  <c r="H59" i="3" s="1"/>
  <c r="E67" i="20"/>
  <c r="E73" i="20" s="1"/>
  <c r="K67" i="20"/>
  <c r="K73" i="20" s="1"/>
  <c r="M67" i="20"/>
  <c r="M73" i="20" s="1"/>
  <c r="F67" i="20"/>
  <c r="F73" i="20" s="1"/>
  <c r="L67" i="20"/>
  <c r="L73" i="20" s="1"/>
  <c r="J67" i="20"/>
  <c r="J73" i="20" s="1"/>
  <c r="I67" i="20"/>
  <c r="I73" i="20" s="1"/>
  <c r="N67" i="20"/>
  <c r="N73" i="20" s="1"/>
  <c r="D67" i="20"/>
  <c r="D73" i="20" s="1"/>
  <c r="H67" i="20"/>
  <c r="H73" i="20" s="1"/>
  <c r="K56" i="19"/>
  <c r="M83" i="20"/>
  <c r="L26" i="3" s="1"/>
  <c r="L59" i="3" s="1"/>
  <c r="I56" i="19"/>
  <c r="F56" i="19"/>
  <c r="G56" i="19"/>
  <c r="L56" i="19"/>
  <c r="L64" i="19"/>
  <c r="H75" i="19"/>
  <c r="G12" i="3" s="1"/>
  <c r="G44" i="3" s="1"/>
  <c r="H64" i="19"/>
  <c r="N56" i="19"/>
  <c r="N64" i="19"/>
  <c r="M59" i="20"/>
  <c r="M65" i="20" s="1"/>
  <c r="K59" i="20"/>
  <c r="K65" i="20" s="1"/>
  <c r="L59" i="20"/>
  <c r="L65" i="20" s="1"/>
  <c r="G59" i="20"/>
  <c r="G65" i="20" s="1"/>
  <c r="H59" i="20"/>
  <c r="H65" i="20" s="1"/>
  <c r="F59" i="20"/>
  <c r="F65" i="20" s="1"/>
  <c r="E65" i="20"/>
  <c r="D59" i="20"/>
  <c r="D65" i="20" s="1"/>
  <c r="J59" i="20"/>
  <c r="J65" i="20" s="1"/>
  <c r="N59" i="20"/>
  <c r="N65" i="20" s="1"/>
  <c r="O59" i="20"/>
  <c r="O65" i="20" s="1"/>
  <c r="I59" i="20"/>
  <c r="I65" i="20" s="1"/>
  <c r="D49" i="19"/>
  <c r="C10" i="3" s="1"/>
  <c r="M59" i="19"/>
  <c r="M65" i="19" s="1"/>
  <c r="E59" i="19"/>
  <c r="E65" i="19" s="1"/>
  <c r="I59" i="19"/>
  <c r="I65" i="19" s="1"/>
  <c r="G59" i="19"/>
  <c r="G65" i="19" s="1"/>
  <c r="O59" i="19"/>
  <c r="O65" i="19" s="1"/>
  <c r="F59" i="19"/>
  <c r="F65" i="19" s="1"/>
  <c r="K59" i="19"/>
  <c r="K65" i="19" s="1"/>
  <c r="L59" i="19"/>
  <c r="H59" i="19"/>
  <c r="H65" i="19" s="1"/>
  <c r="N59" i="19"/>
  <c r="D59" i="19"/>
  <c r="D65" i="19" s="1"/>
  <c r="J59" i="19"/>
  <c r="J65" i="19" s="1"/>
  <c r="H56" i="19"/>
  <c r="M43" i="19"/>
  <c r="M49" i="19" s="1"/>
  <c r="L10" i="3" s="1"/>
  <c r="N30" i="19"/>
  <c r="F10" i="19"/>
  <c r="F16" i="19" s="1"/>
  <c r="E9" i="3" s="1"/>
  <c r="K51" i="19"/>
  <c r="N24" i="19"/>
  <c r="H18" i="19"/>
  <c r="M30" i="19"/>
  <c r="E18" i="19"/>
  <c r="K18" i="19"/>
  <c r="E30" i="19"/>
  <c r="I10" i="19"/>
  <c r="I16" i="19" s="1"/>
  <c r="H9" i="3" s="1"/>
  <c r="L51" i="19"/>
  <c r="D51" i="19"/>
  <c r="D57" i="19" s="1"/>
  <c r="I43" i="19"/>
  <c r="I49" i="19" s="1"/>
  <c r="H10" i="3" s="1"/>
  <c r="E10" i="19"/>
  <c r="E16" i="19" s="1"/>
  <c r="N18" i="19"/>
  <c r="N51" i="19"/>
  <c r="H51" i="19"/>
  <c r="O24" i="19"/>
  <c r="M51" i="19"/>
  <c r="M57" i="19" s="1"/>
  <c r="F30" i="19"/>
  <c r="K30" i="19"/>
  <c r="I24" i="19"/>
  <c r="M18" i="19"/>
  <c r="F24" i="19"/>
  <c r="J18" i="19"/>
  <c r="N10" i="19"/>
  <c r="N16" i="19" s="1"/>
  <c r="M9" i="3" s="1"/>
  <c r="H43" i="19"/>
  <c r="H49" i="19" s="1"/>
  <c r="G51" i="19"/>
  <c r="G24" i="19"/>
  <c r="O10" i="19"/>
  <c r="O16" i="19" s="1"/>
  <c r="N9" i="3" s="1"/>
  <c r="L10" i="19"/>
  <c r="L16" i="19" s="1"/>
  <c r="K9" i="3" s="1"/>
  <c r="F51" i="19"/>
  <c r="J30" i="19"/>
  <c r="H30" i="19"/>
  <c r="I30" i="19"/>
  <c r="E43" i="19"/>
  <c r="E49" i="19" s="1"/>
  <c r="D10" i="3" s="1"/>
  <c r="M24" i="19"/>
  <c r="J24" i="19"/>
  <c r="F43" i="19"/>
  <c r="F49" i="19" s="1"/>
  <c r="E10" i="3" s="1"/>
  <c r="E51" i="19"/>
  <c r="E57" i="19" s="1"/>
  <c r="L24" i="19"/>
  <c r="N43" i="19"/>
  <c r="N49" i="19" s="1"/>
  <c r="M10" i="3" s="1"/>
  <c r="D30" i="19"/>
  <c r="E24" i="19"/>
  <c r="I18" i="19"/>
  <c r="M10" i="19"/>
  <c r="M16" i="19" s="1"/>
  <c r="L9" i="3" s="1"/>
  <c r="F18" i="19"/>
  <c r="J10" i="19"/>
  <c r="J16" i="19" s="1"/>
  <c r="I9" i="3" s="1"/>
  <c r="L43" i="19"/>
  <c r="L49" i="19" s="1"/>
  <c r="K10" i="3" s="1"/>
  <c r="J51" i="19"/>
  <c r="J57" i="19" s="1"/>
  <c r="K43" i="19"/>
  <c r="K49" i="19" s="1"/>
  <c r="J10" i="3" s="1"/>
  <c r="G10" i="19"/>
  <c r="G16" i="19" s="1"/>
  <c r="F9" i="3" s="1"/>
  <c r="D18" i="19"/>
  <c r="I51" i="19"/>
  <c r="O51" i="19"/>
  <c r="O57" i="19" s="1"/>
  <c r="L30" i="19"/>
  <c r="G30" i="19"/>
  <c r="O30" i="19"/>
  <c r="O131" i="4"/>
  <c r="O133" i="47"/>
  <c r="Q13" i="47"/>
  <c r="S12" i="47"/>
  <c r="N83" i="20"/>
  <c r="M26" i="3" s="1"/>
  <c r="M59" i="3" s="1"/>
  <c r="G43" i="19"/>
  <c r="G49" i="19" s="1"/>
  <c r="F10" i="3" s="1"/>
  <c r="K24" i="19"/>
  <c r="O18" i="19"/>
  <c r="H24" i="19"/>
  <c r="L18" i="19"/>
  <c r="D10" i="19"/>
  <c r="D16" i="19" s="1"/>
  <c r="C9" i="3" s="1"/>
  <c r="O43" i="19"/>
  <c r="O49" i="19" s="1"/>
  <c r="N10" i="3" s="1"/>
  <c r="G18" i="19"/>
  <c r="K10" i="19"/>
  <c r="K16" i="19" s="1"/>
  <c r="J9" i="3" s="1"/>
  <c r="D24" i="19"/>
  <c r="H10" i="19"/>
  <c r="H16" i="19" s="1"/>
  <c r="G9" i="3" s="1"/>
  <c r="J43" i="19"/>
  <c r="J49" i="19" s="1"/>
  <c r="I10" i="3" s="1"/>
  <c r="B75" i="3"/>
  <c r="L76" i="3"/>
  <c r="B76" i="3" s="1"/>
  <c r="N51" i="20"/>
  <c r="N57" i="20" s="1"/>
  <c r="L51" i="20"/>
  <c r="L57" i="20" s="1"/>
  <c r="J51" i="20"/>
  <c r="J57" i="20" s="1"/>
  <c r="H51" i="20"/>
  <c r="H57" i="20" s="1"/>
  <c r="F51" i="20"/>
  <c r="F57" i="20" s="1"/>
  <c r="D51" i="20"/>
  <c r="D57" i="20" s="1"/>
  <c r="O51" i="20"/>
  <c r="O57" i="20" s="1"/>
  <c r="M51" i="20"/>
  <c r="M57" i="20" s="1"/>
  <c r="K51" i="20"/>
  <c r="K57" i="20" s="1"/>
  <c r="I51" i="20"/>
  <c r="I57" i="20" s="1"/>
  <c r="G51" i="20"/>
  <c r="G57" i="20" s="1"/>
  <c r="E51" i="20"/>
  <c r="E57" i="20" s="1"/>
  <c r="O30" i="20"/>
  <c r="M30" i="20"/>
  <c r="K30" i="20"/>
  <c r="I30" i="20"/>
  <c r="G30" i="20"/>
  <c r="E30" i="20"/>
  <c r="N30" i="20"/>
  <c r="F30" i="20"/>
  <c r="J30" i="20"/>
  <c r="D30" i="20"/>
  <c r="H30" i="20"/>
  <c r="L30" i="20"/>
  <c r="B94" i="3"/>
  <c r="O150" i="49"/>
  <c r="Q14" i="49"/>
  <c r="T13" i="49"/>
  <c r="S13" i="49"/>
  <c r="F24" i="20"/>
  <c r="H24" i="20"/>
  <c r="J24" i="20"/>
  <c r="L24" i="20"/>
  <c r="N24" i="20"/>
  <c r="E43" i="20"/>
  <c r="E49" i="20" s="1"/>
  <c r="I43" i="20"/>
  <c r="I49" i="20" s="1"/>
  <c r="O43" i="20"/>
  <c r="O49" i="20" s="1"/>
  <c r="E24" i="20"/>
  <c r="I24" i="20"/>
  <c r="O24" i="20"/>
  <c r="D24" i="20"/>
  <c r="F18" i="20"/>
  <c r="H18" i="20"/>
  <c r="J18" i="20"/>
  <c r="L18" i="20"/>
  <c r="N18" i="20"/>
  <c r="D18" i="20"/>
  <c r="F10" i="20"/>
  <c r="F16" i="20" s="1"/>
  <c r="E22" i="3" s="1"/>
  <c r="H10" i="20"/>
  <c r="H16" i="20" s="1"/>
  <c r="G22" i="3" s="1"/>
  <c r="J10" i="20"/>
  <c r="J16" i="20" s="1"/>
  <c r="I22" i="3" s="1"/>
  <c r="L10" i="20"/>
  <c r="L16" i="20" s="1"/>
  <c r="K22" i="3" s="1"/>
  <c r="N10" i="20"/>
  <c r="N16" i="20" s="1"/>
  <c r="M22" i="3" s="1"/>
  <c r="D10" i="20"/>
  <c r="D16" i="20" s="1"/>
  <c r="G24" i="20"/>
  <c r="K24" i="20"/>
  <c r="M24" i="20"/>
  <c r="E10" i="20"/>
  <c r="E16" i="20" s="1"/>
  <c r="D22" i="3" s="1"/>
  <c r="E18" i="20"/>
  <c r="M10" i="20"/>
  <c r="M16" i="20" s="1"/>
  <c r="L22" i="3" s="1"/>
  <c r="I10" i="20"/>
  <c r="I16" i="20" s="1"/>
  <c r="H22" i="3" s="1"/>
  <c r="M18" i="20"/>
  <c r="I18" i="20"/>
  <c r="F43" i="20"/>
  <c r="F49" i="20" s="1"/>
  <c r="J43" i="20"/>
  <c r="J49" i="20" s="1"/>
  <c r="N43" i="20"/>
  <c r="N49" i="20" s="1"/>
  <c r="G43" i="20"/>
  <c r="G49" i="20" s="1"/>
  <c r="O10" i="20"/>
  <c r="O16" i="20" s="1"/>
  <c r="N22" i="3" s="1"/>
  <c r="K10" i="20"/>
  <c r="K16" i="20" s="1"/>
  <c r="J22" i="3" s="1"/>
  <c r="G10" i="20"/>
  <c r="G16" i="20" s="1"/>
  <c r="F22" i="3" s="1"/>
  <c r="O18" i="20"/>
  <c r="K18" i="20"/>
  <c r="G18" i="20"/>
  <c r="M43" i="20"/>
  <c r="M49" i="20" s="1"/>
  <c r="H43" i="20"/>
  <c r="H49" i="20" s="1"/>
  <c r="L43" i="20"/>
  <c r="L49" i="20" s="1"/>
  <c r="D43" i="20"/>
  <c r="D49" i="20" s="1"/>
  <c r="H140" i="4" l="1"/>
  <c r="J140" i="4"/>
  <c r="I140" i="4"/>
  <c r="K140" i="4"/>
  <c r="E140" i="4"/>
  <c r="F140" i="4"/>
  <c r="N140" i="4"/>
  <c r="G140" i="4"/>
  <c r="M140" i="4"/>
  <c r="L140" i="4"/>
  <c r="K57" i="19"/>
  <c r="B92" i="3"/>
  <c r="C73" i="20"/>
  <c r="E130" i="4"/>
  <c r="M130" i="4"/>
  <c r="H130" i="4"/>
  <c r="G130" i="4"/>
  <c r="F130" i="4"/>
  <c r="L130" i="4"/>
  <c r="I130" i="4"/>
  <c r="N130" i="4"/>
  <c r="K130" i="4"/>
  <c r="J130" i="4"/>
  <c r="C130" i="4"/>
  <c r="D130" i="4"/>
  <c r="H129" i="4"/>
  <c r="C129" i="4"/>
  <c r="F129" i="4"/>
  <c r="L129" i="4"/>
  <c r="E129" i="4"/>
  <c r="J129" i="4"/>
  <c r="G129" i="4"/>
  <c r="I129" i="4"/>
  <c r="N129" i="4"/>
  <c r="D129" i="4"/>
  <c r="K129" i="4"/>
  <c r="M129" i="4"/>
  <c r="B93" i="3"/>
  <c r="C65" i="20"/>
  <c r="C57" i="20"/>
  <c r="I57" i="19"/>
  <c r="G57" i="19"/>
  <c r="M108" i="4"/>
  <c r="F108" i="4"/>
  <c r="K108" i="4"/>
  <c r="N108" i="4"/>
  <c r="F57" i="19"/>
  <c r="N65" i="19"/>
  <c r="C75" i="19"/>
  <c r="L57" i="19"/>
  <c r="L65" i="19"/>
  <c r="N57" i="19"/>
  <c r="H57" i="19"/>
  <c r="H108" i="4"/>
  <c r="D108" i="4"/>
  <c r="L108" i="4"/>
  <c r="C83" i="20"/>
  <c r="Q14" i="47"/>
  <c r="S13" i="47"/>
  <c r="O146" i="4"/>
  <c r="C49" i="19"/>
  <c r="C16" i="19"/>
  <c r="N95" i="4"/>
  <c r="N125" i="4" s="1"/>
  <c r="M95" i="4"/>
  <c r="M125" i="4" s="1"/>
  <c r="L95" i="4"/>
  <c r="L125" i="4" s="1"/>
  <c r="K95" i="4"/>
  <c r="K125" i="4" s="1"/>
  <c r="J95" i="4"/>
  <c r="J125" i="4" s="1"/>
  <c r="I95" i="4"/>
  <c r="I125" i="4" s="1"/>
  <c r="H95" i="4"/>
  <c r="H125" i="4" s="1"/>
  <c r="G95" i="4"/>
  <c r="G125" i="4" s="1"/>
  <c r="F95" i="4"/>
  <c r="F125" i="4" s="1"/>
  <c r="E95" i="4"/>
  <c r="E125" i="4" s="1"/>
  <c r="D95" i="4"/>
  <c r="D125" i="4" s="1"/>
  <c r="G108" i="4"/>
  <c r="E108" i="4"/>
  <c r="I108" i="4"/>
  <c r="D9" i="3"/>
  <c r="S14" i="49"/>
  <c r="Q15" i="49"/>
  <c r="T14" i="49"/>
  <c r="C49" i="20"/>
  <c r="C22" i="3"/>
  <c r="C16" i="20"/>
  <c r="D144" i="4" l="1"/>
  <c r="D140" i="4"/>
  <c r="C144" i="4"/>
  <c r="C140" i="4"/>
  <c r="O130" i="4"/>
  <c r="O129" i="4"/>
  <c r="C65" i="19"/>
  <c r="C57" i="19"/>
  <c r="Q45" i="49"/>
  <c r="Q15" i="47"/>
  <c r="S14" i="47"/>
  <c r="O125" i="4"/>
  <c r="Q16" i="49"/>
  <c r="T15" i="49"/>
  <c r="S15" i="49"/>
  <c r="Q48" i="47"/>
  <c r="B107" i="3" l="1"/>
  <c r="O140" i="4"/>
  <c r="O144" i="4"/>
  <c r="Q41" i="49"/>
  <c r="Q46" i="49"/>
  <c r="T45" i="49"/>
  <c r="S45" i="49"/>
  <c r="Q16" i="47"/>
  <c r="S15" i="47"/>
  <c r="Q17" i="49"/>
  <c r="T16" i="49"/>
  <c r="S16" i="49"/>
  <c r="S48" i="47"/>
  <c r="Q49" i="47"/>
  <c r="Q29" i="47" l="1"/>
  <c r="Q42" i="49"/>
  <c r="Q43" i="49" s="1"/>
  <c r="Q44" i="49" s="1"/>
  <c r="S41" i="49"/>
  <c r="T41" i="49"/>
  <c r="Q47" i="49"/>
  <c r="T46" i="49"/>
  <c r="S46" i="49"/>
  <c r="Q17" i="47"/>
  <c r="S16" i="47"/>
  <c r="Q26" i="49"/>
  <c r="T17" i="49"/>
  <c r="Q18" i="49"/>
  <c r="Q19" i="49" s="1"/>
  <c r="S17" i="49"/>
  <c r="Q50" i="47"/>
  <c r="S49" i="47"/>
  <c r="T44" i="49" l="1"/>
  <c r="S44" i="49"/>
  <c r="S43" i="49"/>
  <c r="T43" i="49"/>
  <c r="S29" i="47"/>
  <c r="Q30" i="47"/>
  <c r="S42" i="49"/>
  <c r="T42" i="49"/>
  <c r="S17" i="47"/>
  <c r="Q18" i="47"/>
  <c r="Q20" i="49"/>
  <c r="T19" i="49"/>
  <c r="S19" i="49"/>
  <c r="Q48" i="49"/>
  <c r="S47" i="49"/>
  <c r="T47" i="49"/>
  <c r="T26" i="49"/>
  <c r="S26" i="49"/>
  <c r="Q27" i="49"/>
  <c r="Q28" i="49" s="1"/>
  <c r="S18" i="49"/>
  <c r="T18" i="49"/>
  <c r="S50" i="47"/>
  <c r="Q51" i="47"/>
  <c r="S30" i="47" l="1"/>
  <c r="Q31" i="47"/>
  <c r="Q29" i="49"/>
  <c r="T28" i="49"/>
  <c r="S28" i="49"/>
  <c r="S18" i="47"/>
  <c r="Q19" i="47"/>
  <c r="S51" i="47"/>
  <c r="Q52" i="47"/>
  <c r="Q21" i="49"/>
  <c r="Q22" i="49" s="1"/>
  <c r="Q23" i="49" s="1"/>
  <c r="S20" i="49"/>
  <c r="T20" i="49"/>
  <c r="Q49" i="49"/>
  <c r="S48" i="49"/>
  <c r="T48" i="49"/>
  <c r="Q79" i="47"/>
  <c r="T27" i="49"/>
  <c r="S27" i="49"/>
  <c r="Q24" i="49" l="1"/>
  <c r="T23" i="49"/>
  <c r="S23" i="49"/>
  <c r="Q39" i="49"/>
  <c r="Q40" i="49" s="1"/>
  <c r="S31" i="47"/>
  <c r="Q32" i="47"/>
  <c r="S19" i="47"/>
  <c r="Q20" i="47"/>
  <c r="S29" i="49"/>
  <c r="T29" i="49"/>
  <c r="Q30" i="49"/>
  <c r="S22" i="49"/>
  <c r="T22" i="49"/>
  <c r="Q37" i="47"/>
  <c r="Q53" i="47"/>
  <c r="S52" i="47"/>
  <c r="T21" i="49"/>
  <c r="S21" i="49"/>
  <c r="Q50" i="49"/>
  <c r="T49" i="49"/>
  <c r="S49" i="49"/>
  <c r="Q80" i="47"/>
  <c r="S79" i="47"/>
  <c r="S32" i="47" l="1"/>
  <c r="Q33" i="47"/>
  <c r="S40" i="49"/>
  <c r="T40" i="49"/>
  <c r="S39" i="49"/>
  <c r="T39" i="49"/>
  <c r="S24" i="49"/>
  <c r="T24" i="49"/>
  <c r="Q25" i="49"/>
  <c r="Q21" i="47"/>
  <c r="S20" i="47"/>
  <c r="T30" i="49"/>
  <c r="S30" i="49"/>
  <c r="Q31" i="49"/>
  <c r="Q32" i="49" s="1"/>
  <c r="S80" i="47"/>
  <c r="Q38" i="47"/>
  <c r="S37" i="47"/>
  <c r="Q54" i="47"/>
  <c r="S53" i="47"/>
  <c r="Q51" i="49"/>
  <c r="S50" i="49"/>
  <c r="T50" i="49"/>
  <c r="Q63" i="49"/>
  <c r="Q34" i="47" l="1"/>
  <c r="S33" i="47"/>
  <c r="Q33" i="49"/>
  <c r="Q34" i="49" s="1"/>
  <c r="T32" i="49"/>
  <c r="S32" i="49"/>
  <c r="T25" i="49"/>
  <c r="S25" i="49"/>
  <c r="S21" i="47"/>
  <c r="Q22" i="47"/>
  <c r="T31" i="49"/>
  <c r="S31" i="49"/>
  <c r="S38" i="47"/>
  <c r="Q39" i="47"/>
  <c r="S54" i="47"/>
  <c r="Q55" i="47"/>
  <c r="Q52" i="49"/>
  <c r="S51" i="49"/>
  <c r="T51" i="49"/>
  <c r="Q64" i="49"/>
  <c r="S63" i="49"/>
  <c r="T63" i="49"/>
  <c r="Q35" i="47" l="1"/>
  <c r="S34" i="47"/>
  <c r="Q35" i="49"/>
  <c r="S34" i="49"/>
  <c r="T34" i="49"/>
  <c r="S33" i="49"/>
  <c r="T33" i="49"/>
  <c r="S22" i="47"/>
  <c r="Q23" i="47"/>
  <c r="S39" i="47"/>
  <c r="Q40" i="47"/>
  <c r="Q26" i="47"/>
  <c r="S55" i="47"/>
  <c r="Q56" i="47"/>
  <c r="Q53" i="49"/>
  <c r="T52" i="49"/>
  <c r="S52" i="49"/>
  <c r="Q65" i="49"/>
  <c r="T64" i="49"/>
  <c r="S64" i="49"/>
  <c r="S26" i="47" l="1"/>
  <c r="Q27" i="47"/>
  <c r="S35" i="47"/>
  <c r="Q36" i="47"/>
  <c r="S36" i="47" s="1"/>
  <c r="S35" i="49"/>
  <c r="T35" i="49"/>
  <c r="Q36" i="49"/>
  <c r="S23" i="47"/>
  <c r="Q24" i="47"/>
  <c r="Q41" i="47"/>
  <c r="S40" i="47"/>
  <c r="S56" i="47"/>
  <c r="Q57" i="47"/>
  <c r="Q54" i="49"/>
  <c r="T53" i="49"/>
  <c r="S53" i="49"/>
  <c r="S65" i="49"/>
  <c r="T65" i="49"/>
  <c r="Q66" i="49"/>
  <c r="Q67" i="49" s="1"/>
  <c r="S27" i="47" l="1"/>
  <c r="Q28" i="47"/>
  <c r="S28" i="47" s="1"/>
  <c r="S24" i="47"/>
  <c r="Q25" i="47"/>
  <c r="S25" i="47" s="1"/>
  <c r="Q37" i="49"/>
  <c r="S36" i="49"/>
  <c r="T36" i="49"/>
  <c r="S41" i="47"/>
  <c r="Q42" i="47"/>
  <c r="S57" i="47"/>
  <c r="Q58" i="47"/>
  <c r="T67" i="49"/>
  <c r="S67" i="49"/>
  <c r="Q68" i="49"/>
  <c r="S54" i="49"/>
  <c r="T54" i="49"/>
  <c r="Q55" i="49"/>
  <c r="Q56" i="49" s="1"/>
  <c r="T66" i="49"/>
  <c r="S66" i="49"/>
  <c r="S37" i="49" l="1"/>
  <c r="Q38" i="49"/>
  <c r="T37" i="49"/>
  <c r="T56" i="49"/>
  <c r="Q57" i="49"/>
  <c r="S56" i="49"/>
  <c r="Q59" i="47"/>
  <c r="S58" i="47"/>
  <c r="S42" i="47"/>
  <c r="Q43" i="47"/>
  <c r="T68" i="49"/>
  <c r="Q69" i="49"/>
  <c r="S68" i="49"/>
  <c r="T55" i="49"/>
  <c r="S55" i="49"/>
  <c r="S38" i="49" l="1"/>
  <c r="T38" i="49"/>
  <c r="T57" i="49"/>
  <c r="Q58" i="49"/>
  <c r="S57" i="49"/>
  <c r="S43" i="47"/>
  <c r="Q44" i="47"/>
  <c r="S59" i="47"/>
  <c r="Q60" i="47"/>
  <c r="T69" i="49"/>
  <c r="S69" i="49"/>
  <c r="Q70" i="49"/>
  <c r="Q59" i="49" l="1"/>
  <c r="Q60" i="49" s="1"/>
  <c r="T58" i="49"/>
  <c r="S58" i="49"/>
  <c r="S44" i="47"/>
  <c r="Q45" i="47"/>
  <c r="Q61" i="47"/>
  <c r="S60" i="47"/>
  <c r="Q71" i="49"/>
  <c r="T70" i="49"/>
  <c r="S70" i="49"/>
  <c r="Q61" i="49" l="1"/>
  <c r="T60" i="49"/>
  <c r="S60" i="49"/>
  <c r="T59" i="49"/>
  <c r="S59" i="49"/>
  <c r="S45" i="47"/>
  <c r="Q46" i="47"/>
  <c r="S61" i="47"/>
  <c r="Q62" i="47"/>
  <c r="Q72" i="49"/>
  <c r="S71" i="49"/>
  <c r="T71" i="49"/>
  <c r="S46" i="47" l="1"/>
  <c r="Q47" i="47"/>
  <c r="S47" i="47" s="1"/>
  <c r="S61" i="49"/>
  <c r="T61" i="49"/>
  <c r="Q62" i="49"/>
  <c r="Q63" i="47"/>
  <c r="S62" i="47"/>
  <c r="S72" i="49"/>
  <c r="T72" i="49"/>
  <c r="G110" i="49" l="1"/>
  <c r="H103" i="49"/>
  <c r="L119" i="49"/>
  <c r="I107" i="49"/>
  <c r="M120" i="49"/>
  <c r="M107" i="49"/>
  <c r="M108" i="49"/>
  <c r="E117" i="49"/>
  <c r="L104" i="49"/>
  <c r="N154" i="49"/>
  <c r="C123" i="49"/>
  <c r="D104" i="49"/>
  <c r="I120" i="49"/>
  <c r="D121" i="49"/>
  <c r="O106" i="49"/>
  <c r="E123" i="49"/>
  <c r="D123" i="49"/>
  <c r="D109" i="49"/>
  <c r="H114" i="49"/>
  <c r="H113" i="49"/>
  <c r="K155" i="49"/>
  <c r="C120" i="49"/>
  <c r="H104" i="49"/>
  <c r="E122" i="49"/>
  <c r="O108" i="49"/>
  <c r="C108" i="49"/>
  <c r="N108" i="49"/>
  <c r="K129" i="49"/>
  <c r="E127" i="49"/>
  <c r="D124" i="49"/>
  <c r="L108" i="49"/>
  <c r="H119" i="49"/>
  <c r="D119" i="49"/>
  <c r="K122" i="49"/>
  <c r="E109" i="49"/>
  <c r="F119" i="49"/>
  <c r="G129" i="49"/>
  <c r="O109" i="49"/>
  <c r="K103" i="49"/>
  <c r="O112" i="49"/>
  <c r="G104" i="49"/>
  <c r="I108" i="49"/>
  <c r="E106" i="49"/>
  <c r="L112" i="49"/>
  <c r="N128" i="49"/>
  <c r="I122" i="49"/>
  <c r="O117" i="49"/>
  <c r="I117" i="49"/>
  <c r="D115" i="49"/>
  <c r="C155" i="49"/>
  <c r="C111" i="49"/>
  <c r="I123" i="49"/>
  <c r="H121" i="49"/>
  <c r="N122" i="49"/>
  <c r="F114" i="49"/>
  <c r="E125" i="49"/>
  <c r="I114" i="49"/>
  <c r="S62" i="49"/>
  <c r="N115" i="49" s="1"/>
  <c r="T62" i="49"/>
  <c r="S63" i="47"/>
  <c r="Q64" i="47"/>
  <c r="N164" i="49"/>
  <c r="N167" i="49"/>
  <c r="C168" i="49"/>
  <c r="K164" i="49"/>
  <c r="K165" i="49"/>
  <c r="F166" i="49"/>
  <c r="E164" i="49"/>
  <c r="M165" i="49"/>
  <c r="D164" i="49"/>
  <c r="F167" i="49"/>
  <c r="G164" i="49"/>
  <c r="E166" i="49"/>
  <c r="O168" i="49"/>
  <c r="O164" i="49"/>
  <c r="J165" i="49"/>
  <c r="D167" i="49"/>
  <c r="I165" i="49"/>
  <c r="C169" i="49"/>
  <c r="H169" i="49"/>
  <c r="F168" i="49"/>
  <c r="F165" i="49"/>
  <c r="K168" i="49"/>
  <c r="F169" i="49"/>
  <c r="N166" i="49"/>
  <c r="F164" i="49"/>
  <c r="I164" i="49"/>
  <c r="M168" i="49"/>
  <c r="G167" i="49"/>
  <c r="E167" i="49"/>
  <c r="L169" i="49"/>
  <c r="I168" i="49"/>
  <c r="E169" i="49"/>
  <c r="H168" i="49"/>
  <c r="J167" i="49"/>
  <c r="L168" i="49"/>
  <c r="M164" i="49"/>
  <c r="M169" i="49"/>
  <c r="O169" i="49"/>
  <c r="J164" i="49"/>
  <c r="G165" i="49"/>
  <c r="L165" i="49"/>
  <c r="M166" i="49"/>
  <c r="N168" i="49"/>
  <c r="I167" i="49"/>
  <c r="J166" i="49"/>
  <c r="I166" i="49"/>
  <c r="H166" i="49"/>
  <c r="N165" i="49"/>
  <c r="C165" i="49"/>
  <c r="O167" i="49"/>
  <c r="K105" i="49" l="1"/>
  <c r="C113" i="49"/>
  <c r="K123" i="49"/>
  <c r="N125" i="49"/>
  <c r="F106" i="49"/>
  <c r="F128" i="49"/>
  <c r="E128" i="49"/>
  <c r="G114" i="49"/>
  <c r="G88" i="4" s="1"/>
  <c r="G111" i="4" s="1"/>
  <c r="H112" i="49"/>
  <c r="G121" i="49"/>
  <c r="J108" i="49"/>
  <c r="H106" i="49"/>
  <c r="I118" i="49"/>
  <c r="C154" i="49"/>
  <c r="N123" i="49"/>
  <c r="F126" i="49"/>
  <c r="J113" i="49"/>
  <c r="N113" i="49"/>
  <c r="L153" i="49"/>
  <c r="F129" i="49"/>
  <c r="F105" i="49"/>
  <c r="K156" i="49"/>
  <c r="J123" i="49"/>
  <c r="K106" i="49"/>
  <c r="O116" i="49"/>
  <c r="D116" i="49"/>
  <c r="G109" i="49"/>
  <c r="E103" i="49"/>
  <c r="E120" i="49"/>
  <c r="I106" i="49"/>
  <c r="H109" i="49"/>
  <c r="I111" i="49"/>
  <c r="O120" i="49"/>
  <c r="G155" i="49"/>
  <c r="O129" i="49"/>
  <c r="F108" i="49"/>
  <c r="O111" i="49"/>
  <c r="H124" i="49"/>
  <c r="J120" i="49"/>
  <c r="J104" i="49"/>
  <c r="J84" i="4" s="1"/>
  <c r="J107" i="4" s="1"/>
  <c r="I129" i="49"/>
  <c r="O156" i="49"/>
  <c r="O126" i="49"/>
  <c r="J112" i="49"/>
  <c r="J114" i="49"/>
  <c r="E119" i="49"/>
  <c r="F154" i="49"/>
  <c r="N153" i="49"/>
  <c r="E155" i="49"/>
  <c r="E168" i="49"/>
  <c r="N169" i="49"/>
  <c r="C164" i="49"/>
  <c r="M119" i="49"/>
  <c r="O128" i="49"/>
  <c r="D108" i="49"/>
  <c r="O124" i="49"/>
  <c r="N114" i="49"/>
  <c r="E118" i="49"/>
  <c r="N106" i="49"/>
  <c r="G106" i="49"/>
  <c r="D114" i="49"/>
  <c r="K110" i="49"/>
  <c r="L123" i="49"/>
  <c r="K112" i="49"/>
  <c r="K88" i="4" s="1"/>
  <c r="K111" i="4" s="1"/>
  <c r="F113" i="49"/>
  <c r="D125" i="49"/>
  <c r="L103" i="49"/>
  <c r="C107" i="49"/>
  <c r="F156" i="49"/>
  <c r="O105" i="49"/>
  <c r="O154" i="49"/>
  <c r="K125" i="49"/>
  <c r="N127" i="49"/>
  <c r="G125" i="49"/>
  <c r="H111" i="49"/>
  <c r="C116" i="49"/>
  <c r="C103" i="49"/>
  <c r="M121" i="49"/>
  <c r="M124" i="49"/>
  <c r="M105" i="49"/>
  <c r="M125" i="49"/>
  <c r="M117" i="49"/>
  <c r="F112" i="49"/>
  <c r="J129" i="49"/>
  <c r="I109" i="49"/>
  <c r="M104" i="49"/>
  <c r="L120" i="49"/>
  <c r="J107" i="49"/>
  <c r="J86" i="64" s="1"/>
  <c r="J109" i="64" s="1"/>
  <c r="O127" i="49"/>
  <c r="J117" i="49"/>
  <c r="D122" i="49"/>
  <c r="J116" i="49"/>
  <c r="J105" i="49"/>
  <c r="F103" i="49"/>
  <c r="J119" i="49"/>
  <c r="C156" i="49"/>
  <c r="M128" i="49"/>
  <c r="K127" i="49"/>
  <c r="H153" i="49"/>
  <c r="L121" i="49"/>
  <c r="M103" i="49"/>
  <c r="F110" i="49"/>
  <c r="M110" i="49"/>
  <c r="M154" i="49"/>
  <c r="O122" i="49"/>
  <c r="L124" i="49"/>
  <c r="E156" i="49"/>
  <c r="K114" i="49"/>
  <c r="D103" i="49"/>
  <c r="H155" i="49"/>
  <c r="I155" i="49"/>
  <c r="O113" i="49"/>
  <c r="D21" i="5" s="1"/>
  <c r="I125" i="49"/>
  <c r="K153" i="49"/>
  <c r="O121" i="49"/>
  <c r="E112" i="49"/>
  <c r="M127" i="49"/>
  <c r="E115" i="49"/>
  <c r="F117" i="49"/>
  <c r="N124" i="49"/>
  <c r="L127" i="49"/>
  <c r="N104" i="49"/>
  <c r="I110" i="49"/>
  <c r="C118" i="49"/>
  <c r="K108" i="49"/>
  <c r="I119" i="49"/>
  <c r="D129" i="49"/>
  <c r="K104" i="49"/>
  <c r="K84" i="4" s="1"/>
  <c r="K107" i="4" s="1"/>
  <c r="L122" i="49"/>
  <c r="M114" i="49"/>
  <c r="D105" i="49"/>
  <c r="M116" i="49"/>
  <c r="K154" i="49"/>
  <c r="F118" i="49"/>
  <c r="E113" i="49"/>
  <c r="E88" i="4" s="1"/>
  <c r="E111" i="4" s="1"/>
  <c r="N156" i="49"/>
  <c r="F127" i="49"/>
  <c r="N116" i="49"/>
  <c r="J156" i="49"/>
  <c r="G124" i="49"/>
  <c r="G112" i="49"/>
  <c r="D126" i="49"/>
  <c r="I115" i="49"/>
  <c r="G126" i="49"/>
  <c r="L115" i="49"/>
  <c r="K117" i="49"/>
  <c r="E114" i="49"/>
  <c r="D128" i="49"/>
  <c r="E121" i="49"/>
  <c r="E105" i="49"/>
  <c r="K126" i="49"/>
  <c r="L117" i="49"/>
  <c r="E104" i="49"/>
  <c r="L116" i="49"/>
  <c r="F155" i="49"/>
  <c r="G105" i="49"/>
  <c r="N112" i="49"/>
  <c r="N129" i="49"/>
  <c r="K119" i="49"/>
  <c r="M129" i="49"/>
  <c r="I112" i="49"/>
  <c r="H115" i="49"/>
  <c r="D117" i="49"/>
  <c r="O123" i="49"/>
  <c r="L113" i="49"/>
  <c r="K109" i="49"/>
  <c r="L155" i="49"/>
  <c r="K111" i="49"/>
  <c r="N120" i="49"/>
  <c r="H120" i="49"/>
  <c r="F104" i="49"/>
  <c r="G154" i="49"/>
  <c r="L125" i="49"/>
  <c r="J122" i="49"/>
  <c r="N117" i="49"/>
  <c r="I113" i="49"/>
  <c r="I88" i="4" s="1"/>
  <c r="I111" i="4" s="1"/>
  <c r="I103" i="49"/>
  <c r="D113" i="49"/>
  <c r="I124" i="49"/>
  <c r="I105" i="49"/>
  <c r="M111" i="49"/>
  <c r="I116" i="49"/>
  <c r="L128" i="49"/>
  <c r="F153" i="49"/>
  <c r="K121" i="49"/>
  <c r="M109" i="49"/>
  <c r="K115" i="49"/>
  <c r="C117" i="49"/>
  <c r="K116" i="49"/>
  <c r="M156" i="49"/>
  <c r="N155" i="49"/>
  <c r="C106" i="49"/>
  <c r="C86" i="64" s="1"/>
  <c r="C109" i="64" s="1"/>
  <c r="M126" i="49"/>
  <c r="M112" i="49"/>
  <c r="E107" i="49"/>
  <c r="I154" i="49"/>
  <c r="L154" i="49"/>
  <c r="F111" i="49"/>
  <c r="D154" i="49"/>
  <c r="I126" i="49"/>
  <c r="E116" i="49"/>
  <c r="E153" i="49"/>
  <c r="M113" i="49"/>
  <c r="C129" i="49"/>
  <c r="H154" i="49"/>
  <c r="L126" i="49"/>
  <c r="I128" i="49"/>
  <c r="C105" i="49"/>
  <c r="C84" i="64" s="1"/>
  <c r="C107" i="64" s="1"/>
  <c r="F124" i="49"/>
  <c r="H116" i="49"/>
  <c r="J155" i="49"/>
  <c r="G103" i="49"/>
  <c r="G127" i="49"/>
  <c r="H105" i="49"/>
  <c r="J110" i="49"/>
  <c r="G116" i="49"/>
  <c r="G111" i="49"/>
  <c r="G113" i="49"/>
  <c r="D120" i="49"/>
  <c r="J127" i="49"/>
  <c r="C114" i="49"/>
  <c r="N118" i="49"/>
  <c r="E124" i="49"/>
  <c r="I156" i="49"/>
  <c r="H122" i="49"/>
  <c r="H125" i="49"/>
  <c r="G119" i="49"/>
  <c r="C119" i="49"/>
  <c r="D155" i="49"/>
  <c r="N121" i="49"/>
  <c r="H156" i="49"/>
  <c r="E108" i="49"/>
  <c r="N119" i="49"/>
  <c r="G117" i="49"/>
  <c r="O155" i="49"/>
  <c r="C121" i="49"/>
  <c r="C127" i="49"/>
  <c r="L107" i="49"/>
  <c r="O110" i="49"/>
  <c r="M153" i="49"/>
  <c r="D156" i="49"/>
  <c r="K107" i="49"/>
  <c r="J121" i="49"/>
  <c r="F107" i="49"/>
  <c r="E154" i="49"/>
  <c r="J103" i="49"/>
  <c r="H129" i="49"/>
  <c r="L106" i="49"/>
  <c r="L172" i="49" s="1"/>
  <c r="K113" i="49"/>
  <c r="C109" i="49"/>
  <c r="H127" i="49"/>
  <c r="N109" i="49"/>
  <c r="C104" i="49"/>
  <c r="O115" i="49"/>
  <c r="C126" i="49"/>
  <c r="C125" i="49"/>
  <c r="C122" i="49"/>
  <c r="H123" i="49"/>
  <c r="C128" i="49"/>
  <c r="H108" i="49"/>
  <c r="J153" i="49"/>
  <c r="O153" i="49"/>
  <c r="E126" i="49"/>
  <c r="N126" i="49"/>
  <c r="C110" i="49"/>
  <c r="G156" i="49"/>
  <c r="L109" i="49"/>
  <c r="D118" i="49"/>
  <c r="M123" i="49"/>
  <c r="H118" i="49"/>
  <c r="L114" i="49"/>
  <c r="J86" i="20" s="1"/>
  <c r="J88" i="20" s="1"/>
  <c r="I27" i="3" s="1"/>
  <c r="O104" i="49"/>
  <c r="D18" i="5" s="1"/>
  <c r="F115" i="49"/>
  <c r="F122" i="49"/>
  <c r="L156" i="49"/>
  <c r="G118" i="49"/>
  <c r="G120" i="49"/>
  <c r="L129" i="49"/>
  <c r="C153" i="49"/>
  <c r="C124" i="49"/>
  <c r="J124" i="49"/>
  <c r="J106" i="49"/>
  <c r="M155" i="49"/>
  <c r="J128" i="49"/>
  <c r="J111" i="49"/>
  <c r="G122" i="49"/>
  <c r="O118" i="49"/>
  <c r="J115" i="49"/>
  <c r="I153" i="49"/>
  <c r="D107" i="49"/>
  <c r="K124" i="49"/>
  <c r="L111" i="49"/>
  <c r="E129" i="49"/>
  <c r="C115" i="49"/>
  <c r="K128" i="49"/>
  <c r="D106" i="49"/>
  <c r="H117" i="49"/>
  <c r="D153" i="49"/>
  <c r="D168" i="49"/>
  <c r="H165" i="49"/>
  <c r="G168" i="49"/>
  <c r="F109" i="49"/>
  <c r="O119" i="49"/>
  <c r="I127" i="49"/>
  <c r="H128" i="49"/>
  <c r="E111" i="49"/>
  <c r="M118" i="49"/>
  <c r="H110" i="49"/>
  <c r="G108" i="49"/>
  <c r="O103" i="49"/>
  <c r="O114" i="49"/>
  <c r="N111" i="49"/>
  <c r="D127" i="49"/>
  <c r="G115" i="49"/>
  <c r="K120" i="49"/>
  <c r="J125" i="49"/>
  <c r="H126" i="49"/>
  <c r="G153" i="49"/>
  <c r="F123" i="49"/>
  <c r="J154" i="49"/>
  <c r="G107" i="49"/>
  <c r="O125" i="49"/>
  <c r="I121" i="49"/>
  <c r="K118" i="49"/>
  <c r="F120" i="49"/>
  <c r="N107" i="49"/>
  <c r="O107" i="49"/>
  <c r="D19" i="5" s="1"/>
  <c r="F121" i="49"/>
  <c r="E110" i="49"/>
  <c r="L110" i="49"/>
  <c r="D110" i="49"/>
  <c r="G128" i="49"/>
  <c r="D112" i="49"/>
  <c r="J126" i="49"/>
  <c r="L118" i="49"/>
  <c r="J118" i="49"/>
  <c r="D111" i="49"/>
  <c r="J109" i="49"/>
  <c r="M122" i="49"/>
  <c r="N110" i="49"/>
  <c r="H107" i="49"/>
  <c r="H172" i="49" s="1"/>
  <c r="C112" i="49"/>
  <c r="M106" i="49"/>
  <c r="N105" i="49"/>
  <c r="N159" i="49" s="1"/>
  <c r="N103" i="49"/>
  <c r="L105" i="49"/>
  <c r="G123" i="49"/>
  <c r="F116" i="49"/>
  <c r="M115" i="49"/>
  <c r="I104" i="49"/>
  <c r="I159" i="49" s="1"/>
  <c r="F125" i="49"/>
  <c r="D23" i="5"/>
  <c r="D17" i="5"/>
  <c r="C83" i="4"/>
  <c r="C106" i="4" s="1"/>
  <c r="H84" i="4"/>
  <c r="H107" i="4" s="1"/>
  <c r="E165" i="49"/>
  <c r="E170" i="49" s="1"/>
  <c r="E173" i="49" s="1"/>
  <c r="L164" i="49"/>
  <c r="I169" i="49"/>
  <c r="I170" i="49" s="1"/>
  <c r="I173" i="49" s="1"/>
  <c r="J169" i="49"/>
  <c r="L167" i="49"/>
  <c r="K169" i="49"/>
  <c r="I83" i="64"/>
  <c r="I106" i="64" s="1"/>
  <c r="G166" i="49"/>
  <c r="C167" i="49"/>
  <c r="M167" i="49"/>
  <c r="M170" i="49" s="1"/>
  <c r="M173" i="49" s="1"/>
  <c r="H167" i="49"/>
  <c r="C166" i="49"/>
  <c r="D169" i="49"/>
  <c r="H164" i="49"/>
  <c r="G84" i="64"/>
  <c r="G107" i="64" s="1"/>
  <c r="C88" i="64"/>
  <c r="C111" i="64" s="1"/>
  <c r="E172" i="49"/>
  <c r="K172" i="49"/>
  <c r="D166" i="49"/>
  <c r="L83" i="4"/>
  <c r="L106" i="4" s="1"/>
  <c r="D165" i="49"/>
  <c r="K166" i="49"/>
  <c r="O165" i="49"/>
  <c r="I86" i="64"/>
  <c r="I109" i="64" s="1"/>
  <c r="L166" i="49"/>
  <c r="E131" i="49"/>
  <c r="F88" i="4"/>
  <c r="F111" i="4" s="1"/>
  <c r="G169" i="49"/>
  <c r="J168" i="49"/>
  <c r="O166" i="49"/>
  <c r="F84" i="64"/>
  <c r="F107" i="64" s="1"/>
  <c r="K167" i="49"/>
  <c r="K170" i="49" s="1"/>
  <c r="K173" i="49" s="1"/>
  <c r="J88" i="64"/>
  <c r="J111" i="64" s="1"/>
  <c r="J88" i="4"/>
  <c r="J111" i="4" s="1"/>
  <c r="D83" i="4"/>
  <c r="D106" i="4" s="1"/>
  <c r="D83" i="64"/>
  <c r="D106" i="64" s="1"/>
  <c r="K83" i="4"/>
  <c r="K106" i="4" s="1"/>
  <c r="K83" i="64"/>
  <c r="K106" i="64" s="1"/>
  <c r="D84" i="4"/>
  <c r="D107" i="4" s="1"/>
  <c r="D84" i="64"/>
  <c r="D107" i="64" s="1"/>
  <c r="M83" i="64"/>
  <c r="M106" i="64" s="1"/>
  <c r="M83" i="4"/>
  <c r="M106" i="4" s="1"/>
  <c r="I84" i="64"/>
  <c r="I107" i="64" s="1"/>
  <c r="E83" i="64"/>
  <c r="E106" i="64" s="1"/>
  <c r="E83" i="4"/>
  <c r="E106" i="4" s="1"/>
  <c r="G86" i="64"/>
  <c r="G109" i="64" s="1"/>
  <c r="G86" i="4"/>
  <c r="G109" i="4" s="1"/>
  <c r="G172" i="49"/>
  <c r="H88" i="64"/>
  <c r="H111" i="64" s="1"/>
  <c r="H88" i="4"/>
  <c r="H111" i="4" s="1"/>
  <c r="C86" i="4"/>
  <c r="C109" i="4" s="1"/>
  <c r="E88" i="64"/>
  <c r="E111" i="64" s="1"/>
  <c r="E84" i="4"/>
  <c r="E107" i="4" s="1"/>
  <c r="E84" i="64"/>
  <c r="E107" i="64" s="1"/>
  <c r="H83" i="4"/>
  <c r="H106" i="4" s="1"/>
  <c r="H83" i="64"/>
  <c r="H106" i="64" s="1"/>
  <c r="D88" i="4"/>
  <c r="D111" i="4" s="1"/>
  <c r="F86" i="4"/>
  <c r="F109" i="4" s="1"/>
  <c r="F86" i="64"/>
  <c r="F109" i="64" s="1"/>
  <c r="F172" i="49"/>
  <c r="M88" i="64"/>
  <c r="M111" i="64" s="1"/>
  <c r="M88" i="4"/>
  <c r="M111" i="4" s="1"/>
  <c r="G83" i="4"/>
  <c r="G106" i="4" s="1"/>
  <c r="G83" i="64"/>
  <c r="G106" i="64" s="1"/>
  <c r="F83" i="64"/>
  <c r="F106" i="64" s="1"/>
  <c r="F83" i="4"/>
  <c r="F106" i="4" s="1"/>
  <c r="J83" i="64"/>
  <c r="J106" i="64" s="1"/>
  <c r="J83" i="4"/>
  <c r="J106" i="4" s="1"/>
  <c r="L88" i="64"/>
  <c r="L111" i="64" s="1"/>
  <c r="H86" i="4"/>
  <c r="H109" i="4" s="1"/>
  <c r="H86" i="64"/>
  <c r="H109" i="64" s="1"/>
  <c r="E86" i="4"/>
  <c r="E109" i="4" s="1"/>
  <c r="E86" i="64"/>
  <c r="E109" i="64" s="1"/>
  <c r="L84" i="4"/>
  <c r="L107" i="4" s="1"/>
  <c r="L84" i="64"/>
  <c r="L107" i="64" s="1"/>
  <c r="N86" i="64"/>
  <c r="N109" i="64" s="1"/>
  <c r="N86" i="4"/>
  <c r="N109" i="4" s="1"/>
  <c r="N172" i="49"/>
  <c r="N83" i="64"/>
  <c r="N106" i="64" s="1"/>
  <c r="N83" i="4"/>
  <c r="N106" i="4" s="1"/>
  <c r="N88" i="64"/>
  <c r="N111" i="64" s="1"/>
  <c r="N88" i="4"/>
  <c r="N111" i="4" s="1"/>
  <c r="Q65" i="47"/>
  <c r="S64" i="47"/>
  <c r="F170" i="49"/>
  <c r="F173" i="49" s="1"/>
  <c r="K86" i="20"/>
  <c r="K88" i="20" s="1"/>
  <c r="J27" i="3" s="1"/>
  <c r="L86" i="20"/>
  <c r="L88" i="20" s="1"/>
  <c r="K27" i="3" s="1"/>
  <c r="N170" i="49"/>
  <c r="N173" i="49" s="1"/>
  <c r="M86" i="20"/>
  <c r="M88" i="20" s="1"/>
  <c r="L27" i="3" s="1"/>
  <c r="F86" i="20"/>
  <c r="F88" i="20" s="1"/>
  <c r="E27" i="3" s="1"/>
  <c r="H86" i="20"/>
  <c r="H88" i="20" s="1"/>
  <c r="G27" i="3" s="1"/>
  <c r="O86" i="20"/>
  <c r="O88" i="20" s="1"/>
  <c r="N27" i="3" s="1"/>
  <c r="O76" i="20"/>
  <c r="O78" i="20" s="1"/>
  <c r="N25" i="3" s="1"/>
  <c r="N76" i="20"/>
  <c r="N78" i="20" s="1"/>
  <c r="M25" i="3" s="1"/>
  <c r="L159" i="49"/>
  <c r="D24" i="3"/>
  <c r="D23" i="3" s="1"/>
  <c r="D159" i="49"/>
  <c r="B29" i="3"/>
  <c r="K159" i="49"/>
  <c r="E159" i="49"/>
  <c r="E24" i="3"/>
  <c r="E23" i="3" s="1"/>
  <c r="G157" i="49" l="1"/>
  <c r="G160" i="49" s="1"/>
  <c r="G161" i="49" s="1"/>
  <c r="J157" i="49"/>
  <c r="J160" i="49" s="1"/>
  <c r="M157" i="49"/>
  <c r="M160" i="49" s="1"/>
  <c r="M161" i="49" s="1"/>
  <c r="N36" i="20" s="1"/>
  <c r="C157" i="49"/>
  <c r="C160" i="49" s="1"/>
  <c r="C161" i="49" s="1"/>
  <c r="H157" i="49"/>
  <c r="H160" i="49" s="1"/>
  <c r="K157" i="49"/>
  <c r="K160" i="49" s="1"/>
  <c r="K161" i="49" s="1"/>
  <c r="E157" i="49"/>
  <c r="E160" i="49" s="1"/>
  <c r="E161" i="49" s="1"/>
  <c r="F36" i="20" s="1"/>
  <c r="C170" i="49"/>
  <c r="C173" i="49" s="1"/>
  <c r="C172" i="49"/>
  <c r="C159" i="49"/>
  <c r="J172" i="49"/>
  <c r="K84" i="64"/>
  <c r="K107" i="64" s="1"/>
  <c r="I84" i="4"/>
  <c r="I107" i="4" s="1"/>
  <c r="C24" i="3"/>
  <c r="C23" i="3" s="1"/>
  <c r="G170" i="49"/>
  <c r="G173" i="49" s="1"/>
  <c r="K24" i="3"/>
  <c r="K23" i="3" s="1"/>
  <c r="J86" i="4"/>
  <c r="J109" i="4" s="1"/>
  <c r="K88" i="64"/>
  <c r="K111" i="64" s="1"/>
  <c r="I86" i="20"/>
  <c r="I88" i="20" s="1"/>
  <c r="H27" i="3" s="1"/>
  <c r="C84" i="4"/>
  <c r="C107" i="4" s="1"/>
  <c r="D170" i="49"/>
  <c r="D173" i="49" s="1"/>
  <c r="H84" i="64"/>
  <c r="H107" i="64" s="1"/>
  <c r="K86" i="4"/>
  <c r="K109" i="4" s="1"/>
  <c r="O170" i="49"/>
  <c r="O173" i="49" s="1"/>
  <c r="D22" i="5"/>
  <c r="H159" i="49"/>
  <c r="F157" i="49"/>
  <c r="F160" i="49" s="1"/>
  <c r="M172" i="49"/>
  <c r="M174" i="49" s="1"/>
  <c r="K76" i="20" s="1"/>
  <c r="K78" i="20" s="1"/>
  <c r="J25" i="3" s="1"/>
  <c r="M159" i="49"/>
  <c r="F88" i="64"/>
  <c r="F111" i="64" s="1"/>
  <c r="I172" i="49"/>
  <c r="I174" i="49" s="1"/>
  <c r="G76" i="20" s="1"/>
  <c r="G78" i="20" s="1"/>
  <c r="F25" i="3" s="1"/>
  <c r="I86" i="4"/>
  <c r="I109" i="4" s="1"/>
  <c r="D86" i="64"/>
  <c r="D109" i="64" s="1"/>
  <c r="N84" i="4"/>
  <c r="N107" i="4" s="1"/>
  <c r="I157" i="49"/>
  <c r="I160" i="49" s="1"/>
  <c r="I161" i="49" s="1"/>
  <c r="I83" i="4"/>
  <c r="I106" i="4" s="1"/>
  <c r="D47" i="5"/>
  <c r="D48" i="5"/>
  <c r="L83" i="64"/>
  <c r="L106" i="64" s="1"/>
  <c r="D157" i="49"/>
  <c r="D160" i="49" s="1"/>
  <c r="D161" i="49" s="1"/>
  <c r="E36" i="20" s="1"/>
  <c r="N157" i="49"/>
  <c r="N160" i="49" s="1"/>
  <c r="N161" i="49" s="1"/>
  <c r="O36" i="20" s="1"/>
  <c r="N86" i="20"/>
  <c r="N88" i="20" s="1"/>
  <c r="M27" i="3" s="1"/>
  <c r="L157" i="49"/>
  <c r="L160" i="49" s="1"/>
  <c r="L161" i="49" s="1"/>
  <c r="M36" i="20" s="1"/>
  <c r="J170" i="49"/>
  <c r="J173" i="49" s="1"/>
  <c r="J174" i="49" s="1"/>
  <c r="H76" i="20" s="1"/>
  <c r="H78" i="20" s="1"/>
  <c r="G25" i="3" s="1"/>
  <c r="L170" i="49"/>
  <c r="L173" i="49" s="1"/>
  <c r="L174" i="49" s="1"/>
  <c r="J76" i="20" s="1"/>
  <c r="J78" i="20" s="1"/>
  <c r="I25" i="3" s="1"/>
  <c r="I131" i="49"/>
  <c r="E86" i="20"/>
  <c r="E88" i="20" s="1"/>
  <c r="D27" i="3" s="1"/>
  <c r="L86" i="64"/>
  <c r="L109" i="64" s="1"/>
  <c r="G88" i="64"/>
  <c r="G111" i="64" s="1"/>
  <c r="K86" i="64"/>
  <c r="K109" i="64" s="1"/>
  <c r="M84" i="4"/>
  <c r="M107" i="4" s="1"/>
  <c r="M131" i="49"/>
  <c r="B28" i="3"/>
  <c r="K28" i="3" s="1"/>
  <c r="O159" i="49"/>
  <c r="F159" i="49"/>
  <c r="M84" i="64"/>
  <c r="M107" i="64" s="1"/>
  <c r="L86" i="4"/>
  <c r="L109" i="4" s="1"/>
  <c r="C88" i="4"/>
  <c r="C111" i="4" s="1"/>
  <c r="F84" i="4"/>
  <c r="F107" i="4" s="1"/>
  <c r="M86" i="4"/>
  <c r="M109" i="4" s="1"/>
  <c r="J159" i="49"/>
  <c r="G159" i="49"/>
  <c r="I88" i="64"/>
  <c r="I111" i="64" s="1"/>
  <c r="M86" i="64"/>
  <c r="M109" i="64" s="1"/>
  <c r="G84" i="4"/>
  <c r="G107" i="4" s="1"/>
  <c r="D172" i="49"/>
  <c r="D174" i="49" s="1"/>
  <c r="D131" i="49"/>
  <c r="K131" i="49"/>
  <c r="J131" i="49"/>
  <c r="J84" i="64"/>
  <c r="J107" i="64" s="1"/>
  <c r="G131" i="49"/>
  <c r="J24" i="3"/>
  <c r="J23" i="3" s="1"/>
  <c r="N131" i="49"/>
  <c r="G86" i="20"/>
  <c r="G88" i="20" s="1"/>
  <c r="F27" i="3" s="1"/>
  <c r="C83" i="64"/>
  <c r="C106" i="64" s="1"/>
  <c r="H170" i="49"/>
  <c r="H173" i="49" s="1"/>
  <c r="H174" i="49" s="1"/>
  <c r="F76" i="20" s="1"/>
  <c r="F78" i="20" s="1"/>
  <c r="E25" i="3" s="1"/>
  <c r="H24" i="3"/>
  <c r="H23" i="3" s="1"/>
  <c r="I24" i="3"/>
  <c r="I23" i="3" s="1"/>
  <c r="F131" i="49"/>
  <c r="C131" i="49"/>
  <c r="G24" i="3"/>
  <c r="G23" i="3" s="1"/>
  <c r="L88" i="4"/>
  <c r="L111" i="4" s="1"/>
  <c r="D88" i="64"/>
  <c r="D111" i="64" s="1"/>
  <c r="N84" i="64"/>
  <c r="N107" i="64" s="1"/>
  <c r="D86" i="4"/>
  <c r="D109" i="4" s="1"/>
  <c r="O172" i="49"/>
  <c r="L131" i="49"/>
  <c r="B113" i="64"/>
  <c r="M113" i="64" s="1"/>
  <c r="M29" i="3"/>
  <c r="K29" i="3"/>
  <c r="I29" i="3"/>
  <c r="N29" i="3"/>
  <c r="L29" i="3"/>
  <c r="J29" i="3"/>
  <c r="F24" i="3"/>
  <c r="F23" i="3" s="1"/>
  <c r="H131" i="49"/>
  <c r="D86" i="20"/>
  <c r="D88" i="20" s="1"/>
  <c r="C27" i="3" s="1"/>
  <c r="Q66" i="47"/>
  <c r="S65" i="47"/>
  <c r="K174" i="49"/>
  <c r="I76" i="20" s="1"/>
  <c r="I78" i="20" s="1"/>
  <c r="H25" i="3" s="1"/>
  <c r="F174" i="49"/>
  <c r="D76" i="20" s="1"/>
  <c r="D78" i="20" s="1"/>
  <c r="C25" i="3" s="1"/>
  <c r="E174" i="49"/>
  <c r="N174" i="49"/>
  <c r="L76" i="20" s="1"/>
  <c r="L78" i="20" s="1"/>
  <c r="K25" i="3" s="1"/>
  <c r="C174" i="49"/>
  <c r="G174" i="49"/>
  <c r="E76" i="20" s="1"/>
  <c r="E78" i="20" s="1"/>
  <c r="D25" i="3" s="1"/>
  <c r="C113" i="64"/>
  <c r="H29" i="3"/>
  <c r="C29" i="3"/>
  <c r="D29" i="3"/>
  <c r="E29" i="3"/>
  <c r="G29" i="3"/>
  <c r="F29" i="3"/>
  <c r="D24" i="5"/>
  <c r="B113" i="4"/>
  <c r="L36" i="20" l="1"/>
  <c r="L37" i="20" s="1"/>
  <c r="L39" i="20" s="1"/>
  <c r="L41" i="20" s="1"/>
  <c r="J36" i="20"/>
  <c r="J37" i="20" s="1"/>
  <c r="J39" i="20" s="1"/>
  <c r="J41" i="20" s="1"/>
  <c r="E37" i="20"/>
  <c r="E39" i="20" s="1"/>
  <c r="E41" i="20" s="1"/>
  <c r="H36" i="20"/>
  <c r="M37" i="20"/>
  <c r="M39" i="20" s="1"/>
  <c r="M41" i="20" s="1"/>
  <c r="L24" i="3" s="1"/>
  <c r="L23" i="3" s="1"/>
  <c r="D36" i="20"/>
  <c r="J161" i="49"/>
  <c r="H161" i="49"/>
  <c r="E28" i="3"/>
  <c r="E36" i="3" s="1"/>
  <c r="F28" i="3"/>
  <c r="F36" i="3" s="1"/>
  <c r="G28" i="3"/>
  <c r="G36" i="3" s="1"/>
  <c r="L28" i="3"/>
  <c r="N28" i="3"/>
  <c r="B112" i="64"/>
  <c r="F112" i="64" s="1"/>
  <c r="M28" i="3"/>
  <c r="F161" i="49"/>
  <c r="O157" i="49"/>
  <c r="O160" i="49" s="1"/>
  <c r="O106" i="64"/>
  <c r="O107" i="64"/>
  <c r="O109" i="64"/>
  <c r="C88" i="20"/>
  <c r="B112" i="4"/>
  <c r="J112" i="4" s="1"/>
  <c r="H28" i="3"/>
  <c r="H36" i="3" s="1"/>
  <c r="D28" i="3"/>
  <c r="D36" i="3" s="1"/>
  <c r="E113" i="64"/>
  <c r="K113" i="64"/>
  <c r="I28" i="3"/>
  <c r="I36" i="3" s="1"/>
  <c r="O111" i="64"/>
  <c r="C28" i="3"/>
  <c r="C36" i="3" s="1"/>
  <c r="G113" i="64"/>
  <c r="I113" i="64"/>
  <c r="J28" i="3"/>
  <c r="J36" i="3" s="1"/>
  <c r="O131" i="49"/>
  <c r="H113" i="64"/>
  <c r="N113" i="64"/>
  <c r="L113" i="64"/>
  <c r="J113" i="64"/>
  <c r="F113" i="64"/>
  <c r="D113" i="64"/>
  <c r="C112" i="64"/>
  <c r="C118" i="64" s="1"/>
  <c r="I113" i="4"/>
  <c r="J113" i="4"/>
  <c r="K113" i="4"/>
  <c r="L113" i="4"/>
  <c r="M113" i="4"/>
  <c r="N113" i="4"/>
  <c r="O174" i="49"/>
  <c r="M76" i="20" s="1"/>
  <c r="M78" i="20" s="1"/>
  <c r="L25" i="3" s="1"/>
  <c r="Q67" i="47"/>
  <c r="S66" i="47"/>
  <c r="N37" i="20"/>
  <c r="N39" i="20" s="1"/>
  <c r="N41" i="20" s="1"/>
  <c r="M24" i="3" s="1"/>
  <c r="M23" i="3" s="1"/>
  <c r="O37" i="20"/>
  <c r="O39" i="20" s="1"/>
  <c r="O41" i="20" s="1"/>
  <c r="N24" i="3" s="1"/>
  <c r="N23" i="3" s="1"/>
  <c r="E113" i="4"/>
  <c r="H113" i="4"/>
  <c r="G113" i="4"/>
  <c r="F113" i="4"/>
  <c r="D113" i="4"/>
  <c r="C113" i="4"/>
  <c r="K36" i="3"/>
  <c r="D37" i="20" l="1"/>
  <c r="D39" i="20" s="1"/>
  <c r="D41" i="20" s="1"/>
  <c r="G36" i="20"/>
  <c r="G37" i="20" s="1"/>
  <c r="G39" i="20" s="1"/>
  <c r="G41" i="20" s="1"/>
  <c r="F37" i="20"/>
  <c r="F39" i="20" s="1"/>
  <c r="F41" i="20" s="1"/>
  <c r="I36" i="20"/>
  <c r="I37" i="20" s="1"/>
  <c r="I39" i="20" s="1"/>
  <c r="I41" i="20" s="1"/>
  <c r="H37" i="20"/>
  <c r="H39" i="20" s="1"/>
  <c r="H41" i="20" s="1"/>
  <c r="K36" i="20"/>
  <c r="K37" i="20" s="1"/>
  <c r="K39" i="20" s="1"/>
  <c r="K41" i="20" s="1"/>
  <c r="F118" i="64"/>
  <c r="N36" i="3"/>
  <c r="M36" i="3"/>
  <c r="D112" i="64"/>
  <c r="D118" i="64" s="1"/>
  <c r="G112" i="64"/>
  <c r="G118" i="64" s="1"/>
  <c r="M112" i="64"/>
  <c r="M118" i="64" s="1"/>
  <c r="O151" i="49"/>
  <c r="O132" i="49"/>
  <c r="H112" i="64"/>
  <c r="H118" i="64" s="1"/>
  <c r="L112" i="4"/>
  <c r="I112" i="64"/>
  <c r="I118" i="64" s="1"/>
  <c r="L112" i="64"/>
  <c r="L118" i="64" s="1"/>
  <c r="K112" i="64"/>
  <c r="K118" i="64" s="1"/>
  <c r="F112" i="4"/>
  <c r="E112" i="64"/>
  <c r="N112" i="64"/>
  <c r="N118" i="64" s="1"/>
  <c r="J112" i="64"/>
  <c r="J118" i="64" s="1"/>
  <c r="O161" i="49"/>
  <c r="M112" i="4"/>
  <c r="C112" i="4"/>
  <c r="I112" i="4"/>
  <c r="K112" i="4"/>
  <c r="D112" i="4"/>
  <c r="N112" i="4"/>
  <c r="E112" i="4"/>
  <c r="G112" i="4"/>
  <c r="H112" i="4"/>
  <c r="O113" i="64"/>
  <c r="Q68" i="47"/>
  <c r="S67" i="47"/>
  <c r="L36" i="3"/>
  <c r="C78" i="20"/>
  <c r="C41" i="20" l="1"/>
  <c r="O112" i="64"/>
  <c r="O118" i="64" s="1"/>
  <c r="E118" i="64"/>
  <c r="S68" i="47"/>
  <c r="Q69" i="47"/>
  <c r="Q70" i="47" l="1"/>
  <c r="S69" i="47"/>
  <c r="Q71" i="47" l="1"/>
  <c r="S70" i="47"/>
  <c r="Q72" i="47" l="1"/>
  <c r="S71" i="47"/>
  <c r="S72" i="47" l="1"/>
  <c r="Q73" i="47"/>
  <c r="S73" i="47" l="1"/>
  <c r="Q74" i="47"/>
  <c r="S74" i="47" l="1"/>
  <c r="Q75" i="47"/>
  <c r="S75" i="47" l="1"/>
  <c r="Q76" i="47"/>
  <c r="Q77" i="47" s="1"/>
  <c r="S77" i="47" s="1"/>
  <c r="S76" i="47" l="1"/>
  <c r="K152" i="47" s="1"/>
  <c r="Q78" i="47"/>
  <c r="S78" i="47" s="1"/>
  <c r="L140" i="47" s="1"/>
  <c r="I106" i="47"/>
  <c r="C107" i="47"/>
  <c r="J90" i="47"/>
  <c r="M151" i="47"/>
  <c r="E104" i="47"/>
  <c r="I92" i="47"/>
  <c r="L91" i="47"/>
  <c r="M139" i="47"/>
  <c r="E110" i="47"/>
  <c r="G102" i="47"/>
  <c r="M90" i="47"/>
  <c r="I109" i="47"/>
  <c r="D104" i="47"/>
  <c r="J99" i="47"/>
  <c r="N137" i="47"/>
  <c r="J136" i="47"/>
  <c r="H151" i="47"/>
  <c r="E87" i="47"/>
  <c r="O103" i="47"/>
  <c r="D87" i="47"/>
  <c r="F102" i="47"/>
  <c r="I87" i="47"/>
  <c r="J138" i="47"/>
  <c r="E152" i="47"/>
  <c r="H138" i="47"/>
  <c r="O100" i="47"/>
  <c r="N95" i="47"/>
  <c r="C89" i="47"/>
  <c r="N152" i="47"/>
  <c r="J110" i="47"/>
  <c r="G141" i="47"/>
  <c r="D149" i="47"/>
  <c r="L97" i="47"/>
  <c r="H137" i="47"/>
  <c r="O98" i="47"/>
  <c r="I107" i="47"/>
  <c r="D109" i="47"/>
  <c r="N90" i="47"/>
  <c r="E105" i="47"/>
  <c r="M94" i="47"/>
  <c r="I94" i="47"/>
  <c r="G104" i="47"/>
  <c r="C102" i="47"/>
  <c r="E106" i="47"/>
  <c r="F87" i="47"/>
  <c r="H150" i="47"/>
  <c r="G90" i="47"/>
  <c r="K107" i="47"/>
  <c r="H108" i="47"/>
  <c r="G91" i="47"/>
  <c r="F98" i="47"/>
  <c r="G140" i="47"/>
  <c r="H91" i="47"/>
  <c r="O107" i="47"/>
  <c r="K90" i="47"/>
  <c r="J89" i="47"/>
  <c r="M96" i="47"/>
  <c r="C136" i="47"/>
  <c r="N102" i="47"/>
  <c r="J106" i="47"/>
  <c r="I105" i="47"/>
  <c r="K136" i="47"/>
  <c r="E149" i="47"/>
  <c r="M149" i="47"/>
  <c r="F90" i="47"/>
  <c r="I91" i="47"/>
  <c r="L102" i="47"/>
  <c r="F103" i="47"/>
  <c r="F96" i="47"/>
  <c r="C152" i="47"/>
  <c r="G150" i="47"/>
  <c r="C92" i="47"/>
  <c r="J105" i="47"/>
  <c r="F139" i="47"/>
  <c r="F99" i="47"/>
  <c r="G89" i="47"/>
  <c r="D100" i="47"/>
  <c r="H105" i="47"/>
  <c r="D140" i="47"/>
  <c r="C97" i="47"/>
  <c r="F141" i="47"/>
  <c r="O140" i="47"/>
  <c r="O89" i="47"/>
  <c r="M104" i="47"/>
  <c r="M100" i="47"/>
  <c r="F108" i="47"/>
  <c r="N91" i="47"/>
  <c r="E109" i="47"/>
  <c r="C91" i="47"/>
  <c r="F140" i="47"/>
  <c r="G106" i="47"/>
  <c r="H152" i="47"/>
  <c r="F150" i="47"/>
  <c r="N99" i="47"/>
  <c r="G103" i="47"/>
  <c r="L94" i="47"/>
  <c r="J102" i="47" l="1"/>
  <c r="L138" i="47"/>
  <c r="C98" i="47"/>
  <c r="I152" i="47"/>
  <c r="N96" i="47"/>
  <c r="N88" i="47"/>
  <c r="C155" i="47"/>
  <c r="C78" i="4"/>
  <c r="C94" i="4" s="1"/>
  <c r="C78" i="64"/>
  <c r="C94" i="64" s="1"/>
  <c r="F76" i="4"/>
  <c r="F92" i="4" s="1"/>
  <c r="F76" i="64"/>
  <c r="F92" i="64" s="1"/>
  <c r="C137" i="47"/>
  <c r="C109" i="47"/>
  <c r="E100" i="47"/>
  <c r="G93" i="47"/>
  <c r="E90" i="47"/>
  <c r="D152" i="47"/>
  <c r="N149" i="47"/>
  <c r="L136" i="47"/>
  <c r="C88" i="47"/>
  <c r="L103" i="47"/>
  <c r="J151" i="47"/>
  <c r="D107" i="47"/>
  <c r="F97" i="47"/>
  <c r="L150" i="47"/>
  <c r="K96" i="47"/>
  <c r="H136" i="47"/>
  <c r="G99" i="47"/>
  <c r="I100" i="47"/>
  <c r="C106" i="47"/>
  <c r="K100" i="47"/>
  <c r="M87" i="47"/>
  <c r="O150" i="47"/>
  <c r="N104" i="47"/>
  <c r="K91" i="47"/>
  <c r="D136" i="47"/>
  <c r="K88" i="47"/>
  <c r="C103" i="47"/>
  <c r="M110" i="47"/>
  <c r="L100" i="47"/>
  <c r="K101" i="47"/>
  <c r="G96" i="47"/>
  <c r="K103" i="47"/>
  <c r="D105" i="47"/>
  <c r="F152" i="47"/>
  <c r="E98" i="47"/>
  <c r="J137" i="47"/>
  <c r="I136" i="47"/>
  <c r="E151" i="47"/>
  <c r="K149" i="47"/>
  <c r="L104" i="47"/>
  <c r="I140" i="47"/>
  <c r="J88" i="47"/>
  <c r="G138" i="47"/>
  <c r="M137" i="47"/>
  <c r="C110" i="47"/>
  <c r="G108" i="47"/>
  <c r="F88" i="47"/>
  <c r="K150" i="47"/>
  <c r="N150" i="47"/>
  <c r="J94" i="47"/>
  <c r="O137" i="47"/>
  <c r="L149" i="47"/>
  <c r="G77" i="4"/>
  <c r="G93" i="4" s="1"/>
  <c r="G77" i="64"/>
  <c r="G93" i="64" s="1"/>
  <c r="G144" i="47"/>
  <c r="I155" i="47"/>
  <c r="I78" i="64"/>
  <c r="I94" i="64" s="1"/>
  <c r="I78" i="4"/>
  <c r="I94" i="4" s="1"/>
  <c r="J77" i="64"/>
  <c r="J93" i="64" s="1"/>
  <c r="J144" i="47"/>
  <c r="J77" i="4"/>
  <c r="J93" i="4" s="1"/>
  <c r="I76" i="4"/>
  <c r="I92" i="4" s="1"/>
  <c r="I76" i="64"/>
  <c r="I92" i="64" s="1"/>
  <c r="D76" i="4"/>
  <c r="D92" i="4" s="1"/>
  <c r="D76" i="64"/>
  <c r="D92" i="64" s="1"/>
  <c r="E76" i="64"/>
  <c r="E92" i="64" s="1"/>
  <c r="E76" i="4"/>
  <c r="E92" i="4" s="1"/>
  <c r="L90" i="47"/>
  <c r="N100" i="47"/>
  <c r="D94" i="47"/>
  <c r="O97" i="47"/>
  <c r="E137" i="47"/>
  <c r="I98" i="47"/>
  <c r="I93" i="47"/>
  <c r="M152" i="47"/>
  <c r="F91" i="47"/>
  <c r="C141" i="47"/>
  <c r="M109" i="47"/>
  <c r="C96" i="47"/>
  <c r="O104" i="47"/>
  <c r="C23" i="5" s="1"/>
  <c r="D95" i="47"/>
  <c r="O141" i="47"/>
  <c r="K93" i="47"/>
  <c r="D89" i="47"/>
  <c r="E101" i="47"/>
  <c r="M95" i="47"/>
  <c r="D137" i="47"/>
  <c r="J87" i="47"/>
  <c r="M136" i="47"/>
  <c r="F138" i="47"/>
  <c r="H96" i="47"/>
  <c r="L88" i="47"/>
  <c r="E136" i="47"/>
  <c r="H90" i="47"/>
  <c r="F93" i="47"/>
  <c r="H109" i="47"/>
  <c r="E138" i="47"/>
  <c r="N141" i="47"/>
  <c r="F105" i="47"/>
  <c r="I149" i="47"/>
  <c r="H92" i="47"/>
  <c r="H78" i="64" s="1"/>
  <c r="H94" i="64" s="1"/>
  <c r="N136" i="47"/>
  <c r="E103" i="47"/>
  <c r="I104" i="47"/>
  <c r="L139" i="47"/>
  <c r="G137" i="47"/>
  <c r="H102" i="47"/>
  <c r="O94" i="47"/>
  <c r="C33" i="5" s="1"/>
  <c r="C35" i="5" s="1"/>
  <c r="F35" i="5" s="1"/>
  <c r="G100" i="47"/>
  <c r="J150" i="47"/>
  <c r="H98" i="47"/>
  <c r="G92" i="47"/>
  <c r="G78" i="4" s="1"/>
  <c r="G94" i="4" s="1"/>
  <c r="O138" i="47"/>
  <c r="F149" i="47"/>
  <c r="O110" i="47"/>
  <c r="O139" i="47"/>
  <c r="H107" i="47"/>
  <c r="F137" i="47"/>
  <c r="J101" i="47"/>
  <c r="K139" i="47"/>
  <c r="L89" i="47"/>
  <c r="N108" i="47"/>
  <c r="K151" i="47"/>
  <c r="F94" i="47"/>
  <c r="K98" i="47"/>
  <c r="E95" i="47"/>
  <c r="M88" i="47"/>
  <c r="N98" i="47"/>
  <c r="O87" i="47"/>
  <c r="C138" i="47"/>
  <c r="N110" i="47"/>
  <c r="D139" i="47"/>
  <c r="L110" i="47"/>
  <c r="F104" i="47"/>
  <c r="F136" i="47"/>
  <c r="K141" i="47"/>
  <c r="D150" i="47"/>
  <c r="D103" i="47"/>
  <c r="O101" i="47"/>
  <c r="J141" i="47"/>
  <c r="G107" i="47"/>
  <c r="J95" i="47"/>
  <c r="N138" i="47"/>
  <c r="E97" i="47"/>
  <c r="I88" i="47"/>
  <c r="E140" i="47"/>
  <c r="M107" i="47"/>
  <c r="M92" i="47"/>
  <c r="O96" i="47"/>
  <c r="F110" i="47"/>
  <c r="K97" i="47"/>
  <c r="E96" i="47"/>
  <c r="O95" i="47"/>
  <c r="N109" i="47"/>
  <c r="C108" i="47"/>
  <c r="M93" i="47"/>
  <c r="L108" i="47"/>
  <c r="J91" i="47"/>
  <c r="L101" i="47"/>
  <c r="C104" i="47"/>
  <c r="M138" i="47"/>
  <c r="D102" i="47"/>
  <c r="G105" i="47"/>
  <c r="K106" i="47"/>
  <c r="G110" i="47"/>
  <c r="F92" i="47"/>
  <c r="O92" i="47"/>
  <c r="O136" i="47"/>
  <c r="J104" i="47"/>
  <c r="M108" i="47"/>
  <c r="J140" i="47"/>
  <c r="C93" i="47"/>
  <c r="C100" i="47"/>
  <c r="N93" i="47"/>
  <c r="D138" i="47"/>
  <c r="O102" i="47"/>
  <c r="I137" i="47"/>
  <c r="C94" i="47"/>
  <c r="E108" i="47"/>
  <c r="N101" i="47"/>
  <c r="N140" i="47"/>
  <c r="I95" i="47"/>
  <c r="J109" i="47"/>
  <c r="O88" i="47"/>
  <c r="L152" i="47"/>
  <c r="N87" i="47"/>
  <c r="E92" i="47"/>
  <c r="I151" i="47"/>
  <c r="H100" i="47"/>
  <c r="M99" i="47"/>
  <c r="K99" i="47"/>
  <c r="J149" i="47"/>
  <c r="M102" i="47"/>
  <c r="E141" i="47"/>
  <c r="L137" i="47"/>
  <c r="H141" i="47"/>
  <c r="J103" i="47"/>
  <c r="O108" i="47"/>
  <c r="I141" i="47"/>
  <c r="L107" i="47"/>
  <c r="E94" i="47"/>
  <c r="F151" i="47"/>
  <c r="D141" i="47"/>
  <c r="E88" i="47"/>
  <c r="L106" i="47"/>
  <c r="I103" i="47"/>
  <c r="H93" i="47"/>
  <c r="K108" i="47"/>
  <c r="G152" i="47"/>
  <c r="E99" i="47"/>
  <c r="C105" i="47"/>
  <c r="K102" i="47"/>
  <c r="L98" i="47"/>
  <c r="G94" i="47"/>
  <c r="L141" i="47"/>
  <c r="L109" i="47"/>
  <c r="K94" i="47"/>
  <c r="J100" i="47"/>
  <c r="N151" i="47"/>
  <c r="E139" i="47"/>
  <c r="H106" i="47"/>
  <c r="D93" i="47"/>
  <c r="N97" i="47"/>
  <c r="N80" i="4" s="1"/>
  <c r="N96" i="4" s="1"/>
  <c r="M91" i="47"/>
  <c r="G98" i="47"/>
  <c r="O90" i="47"/>
  <c r="O144" i="47" s="1"/>
  <c r="E93" i="47"/>
  <c r="D97" i="47"/>
  <c r="N105" i="47"/>
  <c r="G136" i="47"/>
  <c r="N89" i="47"/>
  <c r="J93" i="47"/>
  <c r="M98" i="47"/>
  <c r="L87" i="47"/>
  <c r="C95" i="47"/>
  <c r="G87" i="47"/>
  <c r="C99" i="47"/>
  <c r="H110" i="47"/>
  <c r="E91" i="47"/>
  <c r="M97" i="47"/>
  <c r="D91" i="47"/>
  <c r="L151" i="47"/>
  <c r="C90" i="47"/>
  <c r="C144" i="47" s="1"/>
  <c r="I89" i="47"/>
  <c r="O105" i="47"/>
  <c r="L96" i="47"/>
  <c r="L105" i="47"/>
  <c r="L99" i="47"/>
  <c r="C150" i="47"/>
  <c r="K110" i="47"/>
  <c r="O106" i="47"/>
  <c r="K87" i="47"/>
  <c r="H88" i="47"/>
  <c r="N92" i="47"/>
  <c r="N78" i="64" s="1"/>
  <c r="N94" i="64" s="1"/>
  <c r="G151" i="47"/>
  <c r="G95" i="47"/>
  <c r="M101" i="47"/>
  <c r="J98" i="47"/>
  <c r="H97" i="47"/>
  <c r="I150" i="47"/>
  <c r="J139" i="47"/>
  <c r="K138" i="47"/>
  <c r="K140" i="47"/>
  <c r="H140" i="47"/>
  <c r="J97" i="47"/>
  <c r="N103" i="47"/>
  <c r="D106" i="47"/>
  <c r="D98" i="47"/>
  <c r="K95" i="47"/>
  <c r="C87" i="47"/>
  <c r="M141" i="47"/>
  <c r="M89" i="47"/>
  <c r="D88" i="47"/>
  <c r="H149" i="47"/>
  <c r="H153" i="47" s="1"/>
  <c r="H156" i="47" s="1"/>
  <c r="D151" i="47"/>
  <c r="H89" i="47"/>
  <c r="E150" i="47"/>
  <c r="O109" i="47"/>
  <c r="D90" i="47"/>
  <c r="E89" i="47"/>
  <c r="I138" i="47"/>
  <c r="G109" i="47"/>
  <c r="O99" i="47"/>
  <c r="F100" i="47"/>
  <c r="M140" i="47"/>
  <c r="H94" i="47"/>
  <c r="N94" i="47"/>
  <c r="M105" i="47"/>
  <c r="K109" i="47"/>
  <c r="C140" i="47"/>
  <c r="N106" i="47"/>
  <c r="F109" i="47"/>
  <c r="C101" i="47"/>
  <c r="D99" i="47"/>
  <c r="I99" i="47"/>
  <c r="C149" i="47"/>
  <c r="M103" i="47"/>
  <c r="I96" i="47"/>
  <c r="J107" i="47"/>
  <c r="C151" i="47"/>
  <c r="H101" i="47"/>
  <c r="I90" i="47"/>
  <c r="F107" i="47"/>
  <c r="D96" i="47"/>
  <c r="L92" i="47"/>
  <c r="L155" i="47" s="1"/>
  <c r="E102" i="47"/>
  <c r="G88" i="47"/>
  <c r="D110" i="47"/>
  <c r="J152" i="47"/>
  <c r="G149" i="47"/>
  <c r="M150" i="47"/>
  <c r="M153" i="47" s="1"/>
  <c r="M156" i="47" s="1"/>
  <c r="D92" i="47"/>
  <c r="J92" i="47"/>
  <c r="H104" i="47"/>
  <c r="O151" i="47"/>
  <c r="J96" i="47"/>
  <c r="J108" i="47"/>
  <c r="O93" i="47"/>
  <c r="C30" i="5" s="1"/>
  <c r="G97" i="47"/>
  <c r="D101" i="47"/>
  <c r="I108" i="47"/>
  <c r="K105" i="47"/>
  <c r="K137" i="47"/>
  <c r="I101" i="47"/>
  <c r="K89" i="47"/>
  <c r="O149" i="47"/>
  <c r="H95" i="47"/>
  <c r="N107" i="47"/>
  <c r="M106" i="47"/>
  <c r="H103" i="47"/>
  <c r="F101" i="47"/>
  <c r="F95" i="47"/>
  <c r="O152" i="47"/>
  <c r="O91" i="47"/>
  <c r="N139" i="47"/>
  <c r="F106" i="47"/>
  <c r="K92" i="47"/>
  <c r="G139" i="47"/>
  <c r="I97" i="47"/>
  <c r="C139" i="47"/>
  <c r="I139" i="47"/>
  <c r="E107" i="47"/>
  <c r="I110" i="47"/>
  <c r="F89" i="47"/>
  <c r="H87" i="47"/>
  <c r="D108" i="47"/>
  <c r="G101" i="47"/>
  <c r="H139" i="47"/>
  <c r="L93" i="47"/>
  <c r="L95" i="47"/>
  <c r="K104" i="47"/>
  <c r="H99" i="47"/>
  <c r="I102" i="47"/>
  <c r="C22" i="5" l="1"/>
  <c r="G153" i="47"/>
  <c r="G156" i="47" s="1"/>
  <c r="K142" i="47"/>
  <c r="K145" i="47" s="1"/>
  <c r="E153" i="47"/>
  <c r="E156" i="47" s="1"/>
  <c r="O153" i="47"/>
  <c r="O156" i="47" s="1"/>
  <c r="C142" i="47"/>
  <c r="C145" i="47" s="1"/>
  <c r="N142" i="47"/>
  <c r="N145" i="47" s="1"/>
  <c r="D112" i="47"/>
  <c r="J142" i="47"/>
  <c r="J145" i="47" s="1"/>
  <c r="J146" i="47" s="1"/>
  <c r="H37" i="19" s="1"/>
  <c r="H39" i="19" s="1"/>
  <c r="H41" i="19" s="1"/>
  <c r="G10" i="3" s="1"/>
  <c r="D153" i="47"/>
  <c r="D156" i="47" s="1"/>
  <c r="C77" i="64"/>
  <c r="C93" i="64" s="1"/>
  <c r="L78" i="64"/>
  <c r="L94" i="64" s="1"/>
  <c r="E112" i="47"/>
  <c r="J153" i="47"/>
  <c r="J156" i="47" s="1"/>
  <c r="B14" i="3"/>
  <c r="N14" i="3" s="1"/>
  <c r="O142" i="47"/>
  <c r="O145" i="47" s="1"/>
  <c r="C77" i="4"/>
  <c r="C93" i="4" s="1"/>
  <c r="F112" i="47"/>
  <c r="K153" i="47"/>
  <c r="K156" i="47" s="1"/>
  <c r="L78" i="4"/>
  <c r="L94" i="4" s="1"/>
  <c r="H155" i="47"/>
  <c r="H157" i="47" s="1"/>
  <c r="F68" i="19" s="1"/>
  <c r="F70" i="19" s="1"/>
  <c r="E11" i="3" s="1"/>
  <c r="C146" i="47"/>
  <c r="M37" i="19" s="1"/>
  <c r="M39" i="19" s="1"/>
  <c r="M41" i="19" s="1"/>
  <c r="N80" i="64"/>
  <c r="N96" i="64" s="1"/>
  <c r="H78" i="4"/>
  <c r="H94" i="4" s="1"/>
  <c r="O155" i="47"/>
  <c r="C19" i="5"/>
  <c r="J78" i="19"/>
  <c r="J80" i="19" s="1"/>
  <c r="I13" i="3" s="1"/>
  <c r="L80" i="4"/>
  <c r="L96" i="4" s="1"/>
  <c r="L80" i="64"/>
  <c r="L96" i="64" s="1"/>
  <c r="C76" i="64"/>
  <c r="C92" i="64" s="1"/>
  <c r="C76" i="4"/>
  <c r="C92" i="4" s="1"/>
  <c r="C112" i="47"/>
  <c r="L76" i="4"/>
  <c r="L92" i="4" s="1"/>
  <c r="L112" i="47"/>
  <c r="L76" i="64"/>
  <c r="L92" i="64" s="1"/>
  <c r="G142" i="47"/>
  <c r="G145" i="47" s="1"/>
  <c r="G146" i="47" s="1"/>
  <c r="E37" i="19" s="1"/>
  <c r="E39" i="19" s="1"/>
  <c r="E41" i="19" s="1"/>
  <c r="N76" i="64"/>
  <c r="N92" i="64" s="1"/>
  <c r="N112" i="47"/>
  <c r="N76" i="4"/>
  <c r="N92" i="4" s="1"/>
  <c r="I80" i="4"/>
  <c r="I96" i="4" s="1"/>
  <c r="I80" i="64"/>
  <c r="I96" i="64" s="1"/>
  <c r="G78" i="19"/>
  <c r="G80" i="19" s="1"/>
  <c r="F13" i="3" s="1"/>
  <c r="J155" i="47"/>
  <c r="J78" i="64"/>
  <c r="J94" i="64" s="1"/>
  <c r="J78" i="4"/>
  <c r="J94" i="4" s="1"/>
  <c r="J80" i="64"/>
  <c r="J96" i="64" s="1"/>
  <c r="J80" i="4"/>
  <c r="J96" i="4" s="1"/>
  <c r="H78" i="19"/>
  <c r="H80" i="19" s="1"/>
  <c r="G13" i="3" s="1"/>
  <c r="O78" i="19"/>
  <c r="O80" i="19" s="1"/>
  <c r="N13" i="3" s="1"/>
  <c r="E80" i="4"/>
  <c r="E96" i="4" s="1"/>
  <c r="E80" i="64"/>
  <c r="E96" i="64" s="1"/>
  <c r="F153" i="47"/>
  <c r="F156" i="47" s="1"/>
  <c r="M80" i="64"/>
  <c r="M96" i="64" s="1"/>
  <c r="K78" i="19"/>
  <c r="K80" i="19" s="1"/>
  <c r="J13" i="3" s="1"/>
  <c r="M80" i="4"/>
  <c r="M96" i="4" s="1"/>
  <c r="G78" i="64"/>
  <c r="G94" i="64" s="1"/>
  <c r="N153" i="47"/>
  <c r="N156" i="47" s="1"/>
  <c r="B15" i="3"/>
  <c r="C18" i="5"/>
  <c r="N78" i="4"/>
  <c r="N94" i="4" s="1"/>
  <c r="H76" i="4"/>
  <c r="H92" i="4" s="1"/>
  <c r="H76" i="64"/>
  <c r="H92" i="64" s="1"/>
  <c r="H112" i="47"/>
  <c r="K144" i="47"/>
  <c r="K77" i="64"/>
  <c r="K93" i="64" s="1"/>
  <c r="K77" i="4"/>
  <c r="K93" i="4" s="1"/>
  <c r="K80" i="4"/>
  <c r="K96" i="4" s="1"/>
  <c r="K80" i="64"/>
  <c r="K96" i="64" s="1"/>
  <c r="I78" i="19"/>
  <c r="I80" i="19" s="1"/>
  <c r="H13" i="3" s="1"/>
  <c r="D78" i="4"/>
  <c r="D94" i="4" s="1"/>
  <c r="D78" i="64"/>
  <c r="D94" i="64" s="1"/>
  <c r="D155" i="47"/>
  <c r="C17" i="5"/>
  <c r="L77" i="4"/>
  <c r="L93" i="4" s="1"/>
  <c r="L144" i="47"/>
  <c r="L77" i="64"/>
  <c r="L93" i="64" s="1"/>
  <c r="E142" i="47"/>
  <c r="E145" i="47" s="1"/>
  <c r="M142" i="47"/>
  <c r="M145" i="47" s="1"/>
  <c r="D80" i="4"/>
  <c r="D96" i="4" s="1"/>
  <c r="D80" i="64"/>
  <c r="D96" i="64" s="1"/>
  <c r="N78" i="19"/>
  <c r="N80" i="19" s="1"/>
  <c r="M13" i="3" s="1"/>
  <c r="G155" i="47"/>
  <c r="L78" i="19"/>
  <c r="L80" i="19" s="1"/>
  <c r="K13" i="3" s="1"/>
  <c r="F144" i="47"/>
  <c r="F77" i="64"/>
  <c r="F93" i="64" s="1"/>
  <c r="F77" i="4"/>
  <c r="F93" i="4" s="1"/>
  <c r="F80" i="64"/>
  <c r="F96" i="64" s="1"/>
  <c r="D78" i="19"/>
  <c r="D80" i="19" s="1"/>
  <c r="F80" i="4"/>
  <c r="F96" i="4" s="1"/>
  <c r="C153" i="47"/>
  <c r="C156" i="47" s="1"/>
  <c r="C157" i="47" s="1"/>
  <c r="M68" i="19" s="1"/>
  <c r="M70" i="19" s="1"/>
  <c r="L11" i="3" s="1"/>
  <c r="E77" i="64"/>
  <c r="E93" i="64" s="1"/>
  <c r="E144" i="47"/>
  <c r="E77" i="4"/>
  <c r="E93" i="4" s="1"/>
  <c r="H77" i="4"/>
  <c r="H93" i="4" s="1"/>
  <c r="H144" i="47"/>
  <c r="H77" i="64"/>
  <c r="H93" i="64" s="1"/>
  <c r="M77" i="4"/>
  <c r="M93" i="4" s="1"/>
  <c r="M144" i="47"/>
  <c r="M77" i="64"/>
  <c r="M93" i="64" s="1"/>
  <c r="G80" i="64"/>
  <c r="G96" i="64" s="1"/>
  <c r="E78" i="19"/>
  <c r="E80" i="19" s="1"/>
  <c r="D13" i="3" s="1"/>
  <c r="G80" i="4"/>
  <c r="G96" i="4" s="1"/>
  <c r="K76" i="4"/>
  <c r="K92" i="4" s="1"/>
  <c r="K76" i="64"/>
  <c r="K92" i="64" s="1"/>
  <c r="K112" i="47"/>
  <c r="I77" i="4"/>
  <c r="I93" i="4" s="1"/>
  <c r="I77" i="64"/>
  <c r="I93" i="64" s="1"/>
  <c r="I144" i="47"/>
  <c r="G76" i="64"/>
  <c r="G92" i="64" s="1"/>
  <c r="G112" i="47"/>
  <c r="G76" i="4"/>
  <c r="G92" i="4" s="1"/>
  <c r="M155" i="47"/>
  <c r="M157" i="47" s="1"/>
  <c r="K68" i="19" s="1"/>
  <c r="K70" i="19" s="1"/>
  <c r="J11" i="3" s="1"/>
  <c r="M78" i="64"/>
  <c r="M94" i="64" s="1"/>
  <c r="M78" i="4"/>
  <c r="M94" i="4" s="1"/>
  <c r="I153" i="47"/>
  <c r="I156" i="47" s="1"/>
  <c r="I157" i="47" s="1"/>
  <c r="G68" i="19" s="1"/>
  <c r="G70" i="19" s="1"/>
  <c r="F11" i="3" s="1"/>
  <c r="J76" i="4"/>
  <c r="J92" i="4" s="1"/>
  <c r="J76" i="64"/>
  <c r="J92" i="64" s="1"/>
  <c r="J112" i="47"/>
  <c r="D77" i="4"/>
  <c r="D93" i="4" s="1"/>
  <c r="D77" i="64"/>
  <c r="D93" i="64" s="1"/>
  <c r="D144" i="47"/>
  <c r="F78" i="4"/>
  <c r="F94" i="4" s="1"/>
  <c r="F155" i="47"/>
  <c r="F78" i="64"/>
  <c r="F94" i="64" s="1"/>
  <c r="I142" i="47"/>
  <c r="I145" i="47" s="1"/>
  <c r="D142" i="47"/>
  <c r="D145" i="47" s="1"/>
  <c r="M112" i="47"/>
  <c r="M76" i="4"/>
  <c r="M92" i="4" s="1"/>
  <c r="M76" i="64"/>
  <c r="M92" i="64" s="1"/>
  <c r="N155" i="47"/>
  <c r="I112" i="47"/>
  <c r="H80" i="4"/>
  <c r="H96" i="4" s="1"/>
  <c r="F78" i="19"/>
  <c r="F80" i="19" s="1"/>
  <c r="E13" i="3" s="1"/>
  <c r="H80" i="64"/>
  <c r="H96" i="64" s="1"/>
  <c r="E78" i="4"/>
  <c r="E94" i="4" s="1"/>
  <c r="E78" i="64"/>
  <c r="E94" i="64" s="1"/>
  <c r="E155" i="47"/>
  <c r="C80" i="64"/>
  <c r="C96" i="64" s="1"/>
  <c r="M78" i="19"/>
  <c r="M80" i="19" s="1"/>
  <c r="L13" i="3" s="1"/>
  <c r="C80" i="4"/>
  <c r="C96" i="4" s="1"/>
  <c r="N77" i="4"/>
  <c r="N93" i="4" s="1"/>
  <c r="N144" i="47"/>
  <c r="N77" i="64"/>
  <c r="N93" i="64" s="1"/>
  <c r="F142" i="47"/>
  <c r="F145" i="47" s="1"/>
  <c r="L153" i="47"/>
  <c r="L156" i="47" s="1"/>
  <c r="L157" i="47" s="1"/>
  <c r="J68" i="19" s="1"/>
  <c r="J70" i="19" s="1"/>
  <c r="I11" i="3" s="1"/>
  <c r="K155" i="47"/>
  <c r="K78" i="4"/>
  <c r="K94" i="4" s="1"/>
  <c r="K78" i="64"/>
  <c r="K94" i="64" s="1"/>
  <c r="H142" i="47"/>
  <c r="H145" i="47" s="1"/>
  <c r="L142" i="47"/>
  <c r="L145" i="47" s="1"/>
  <c r="J14" i="3" l="1"/>
  <c r="M14" i="3"/>
  <c r="K14" i="3"/>
  <c r="I14" i="3"/>
  <c r="B97" i="64"/>
  <c r="F97" i="64" s="1"/>
  <c r="E157" i="47"/>
  <c r="O68" i="19" s="1"/>
  <c r="O70" i="19" s="1"/>
  <c r="N11" i="3" s="1"/>
  <c r="E14" i="3"/>
  <c r="G14" i="3"/>
  <c r="D14" i="3"/>
  <c r="B97" i="4"/>
  <c r="M97" i="4" s="1"/>
  <c r="H14" i="3"/>
  <c r="C14" i="3"/>
  <c r="F14" i="3"/>
  <c r="L14" i="3"/>
  <c r="J157" i="47"/>
  <c r="H68" i="19" s="1"/>
  <c r="H70" i="19" s="1"/>
  <c r="G11" i="3" s="1"/>
  <c r="C47" i="5"/>
  <c r="C48" i="5"/>
  <c r="F157" i="47"/>
  <c r="D68" i="19" s="1"/>
  <c r="D70" i="19" s="1"/>
  <c r="C11" i="3" s="1"/>
  <c r="G157" i="47"/>
  <c r="E68" i="19" s="1"/>
  <c r="E70" i="19" s="1"/>
  <c r="D11" i="3" s="1"/>
  <c r="K157" i="47"/>
  <c r="I68" i="19" s="1"/>
  <c r="I70" i="19" s="1"/>
  <c r="H11" i="3" s="1"/>
  <c r="N146" i="47"/>
  <c r="L37" i="19" s="1"/>
  <c r="L39" i="19" s="1"/>
  <c r="L41" i="19" s="1"/>
  <c r="E146" i="47"/>
  <c r="O37" i="19" s="1"/>
  <c r="O39" i="19" s="1"/>
  <c r="O41" i="19" s="1"/>
  <c r="D157" i="47"/>
  <c r="N68" i="19" s="1"/>
  <c r="N70" i="19" s="1"/>
  <c r="M11" i="3" s="1"/>
  <c r="K146" i="47"/>
  <c r="I37" i="19" s="1"/>
  <c r="I39" i="19" s="1"/>
  <c r="I41" i="19" s="1"/>
  <c r="O93" i="64"/>
  <c r="N157" i="47"/>
  <c r="L68" i="19" s="1"/>
  <c r="L70" i="19" s="1"/>
  <c r="K11" i="3" s="1"/>
  <c r="D146" i="47"/>
  <c r="N37" i="19" s="1"/>
  <c r="N39" i="19" s="1"/>
  <c r="N41" i="19" s="1"/>
  <c r="O112" i="47"/>
  <c r="O94" i="64"/>
  <c r="O92" i="64"/>
  <c r="M97" i="64"/>
  <c r="G97" i="64"/>
  <c r="D97" i="64"/>
  <c r="E97" i="64"/>
  <c r="J97" i="64"/>
  <c r="I97" i="64"/>
  <c r="C13" i="3"/>
  <c r="C80" i="19"/>
  <c r="F146" i="47"/>
  <c r="D37" i="19" s="1"/>
  <c r="D39" i="19" s="1"/>
  <c r="D41" i="19" s="1"/>
  <c r="C24" i="5"/>
  <c r="D15" i="3"/>
  <c r="F15" i="3"/>
  <c r="B98" i="64"/>
  <c r="C15" i="3"/>
  <c r="M15" i="3"/>
  <c r="I15" i="3"/>
  <c r="B98" i="4"/>
  <c r="N15" i="3"/>
  <c r="H15" i="3"/>
  <c r="L15" i="3"/>
  <c r="K15" i="3"/>
  <c r="G15" i="3"/>
  <c r="J15" i="3"/>
  <c r="E15" i="3"/>
  <c r="F97" i="4"/>
  <c r="H146" i="47"/>
  <c r="F37" i="19" s="1"/>
  <c r="F39" i="19" s="1"/>
  <c r="F41" i="19" s="1"/>
  <c r="I146" i="47"/>
  <c r="G37" i="19" s="1"/>
  <c r="G39" i="19" s="1"/>
  <c r="G41" i="19" s="1"/>
  <c r="O96" i="64"/>
  <c r="M146" i="47"/>
  <c r="K37" i="19" s="1"/>
  <c r="K39" i="19" s="1"/>
  <c r="K41" i="19" s="1"/>
  <c r="L146" i="47"/>
  <c r="J37" i="19" s="1"/>
  <c r="J39" i="19" s="1"/>
  <c r="J41" i="19" s="1"/>
  <c r="J35" i="3" l="1"/>
  <c r="J37" i="3" s="1"/>
  <c r="I35" i="3"/>
  <c r="I37" i="3" s="1"/>
  <c r="F35" i="3"/>
  <c r="F37" i="3" s="1"/>
  <c r="E35" i="3"/>
  <c r="E37" i="3" s="1"/>
  <c r="G35" i="3"/>
  <c r="G37" i="3" s="1"/>
  <c r="L35" i="3"/>
  <c r="L37" i="3" s="1"/>
  <c r="N35" i="3"/>
  <c r="N37" i="3" s="1"/>
  <c r="K97" i="64"/>
  <c r="E97" i="4"/>
  <c r="J97" i="4"/>
  <c r="I97" i="4"/>
  <c r="H97" i="64"/>
  <c r="N97" i="64"/>
  <c r="D97" i="4"/>
  <c r="C97" i="4"/>
  <c r="H97" i="4"/>
  <c r="L97" i="64"/>
  <c r="G97" i="4"/>
  <c r="N97" i="4"/>
  <c r="L97" i="4"/>
  <c r="C97" i="64"/>
  <c r="K97" i="4"/>
  <c r="H35" i="3"/>
  <c r="H37" i="3" s="1"/>
  <c r="O157" i="47"/>
  <c r="M35" i="3"/>
  <c r="M37" i="3" s="1"/>
  <c r="D35" i="3"/>
  <c r="D37" i="3" s="1"/>
  <c r="C70" i="19"/>
  <c r="K35" i="3"/>
  <c r="K37" i="3" s="1"/>
  <c r="O134" i="47"/>
  <c r="O146" i="47"/>
  <c r="C35" i="3"/>
  <c r="C37" i="3" s="1"/>
  <c r="F24" i="5"/>
  <c r="C37" i="5"/>
  <c r="C39" i="5" s="1"/>
  <c r="C42" i="5" s="1"/>
  <c r="N98" i="4"/>
  <c r="I98" i="4"/>
  <c r="I103" i="4" s="1"/>
  <c r="F98" i="4"/>
  <c r="F118" i="4" s="1"/>
  <c r="D98" i="4"/>
  <c r="L98" i="4"/>
  <c r="H98" i="4"/>
  <c r="J98" i="4"/>
  <c r="E98" i="4"/>
  <c r="G98" i="4"/>
  <c r="K98" i="4"/>
  <c r="C98" i="4"/>
  <c r="M98" i="4"/>
  <c r="M118" i="4" s="1"/>
  <c r="J98" i="64"/>
  <c r="H98" i="64"/>
  <c r="C98" i="64"/>
  <c r="N98" i="64"/>
  <c r="G98" i="64"/>
  <c r="L98" i="64"/>
  <c r="K98" i="64"/>
  <c r="D98" i="64"/>
  <c r="D103" i="64" s="1"/>
  <c r="I98" i="64"/>
  <c r="I103" i="64" s="1"/>
  <c r="F98" i="64"/>
  <c r="F120" i="64" s="1"/>
  <c r="M98" i="64"/>
  <c r="M103" i="64" s="1"/>
  <c r="E98" i="64"/>
  <c r="E103" i="64" s="1"/>
  <c r="C41" i="19"/>
  <c r="H120" i="64" l="1"/>
  <c r="L103" i="4"/>
  <c r="E103" i="4"/>
  <c r="H118" i="4"/>
  <c r="D103" i="4"/>
  <c r="O97" i="64"/>
  <c r="K118" i="4"/>
  <c r="N103" i="64"/>
  <c r="C103" i="64"/>
  <c r="J118" i="4"/>
  <c r="L120" i="64"/>
  <c r="C120" i="64"/>
  <c r="I120" i="64"/>
  <c r="I118" i="4"/>
  <c r="J103" i="4"/>
  <c r="D120" i="64"/>
  <c r="F103" i="64"/>
  <c r="H103" i="4"/>
  <c r="D118" i="4"/>
  <c r="K103" i="4"/>
  <c r="E120" i="64"/>
  <c r="F103" i="4"/>
  <c r="N120" i="64"/>
  <c r="G103" i="64"/>
  <c r="G120" i="64"/>
  <c r="J103" i="64"/>
  <c r="J120" i="64"/>
  <c r="G118" i="4"/>
  <c r="G103" i="4"/>
  <c r="N103" i="4"/>
  <c r="N118" i="4"/>
  <c r="L118" i="4"/>
  <c r="E118" i="4"/>
  <c r="M103" i="4"/>
  <c r="K120" i="64"/>
  <c r="K103" i="64"/>
  <c r="O98" i="64"/>
  <c r="C118" i="4"/>
  <c r="C103" i="4"/>
  <c r="L103" i="64"/>
  <c r="H103" i="64"/>
  <c r="G24" i="5"/>
  <c r="M120" i="64"/>
  <c r="O120" i="64" l="1"/>
  <c r="O103" i="64"/>
  <c r="C8" i="5"/>
  <c r="D30" i="5"/>
  <c r="C11" i="5" l="1"/>
  <c r="C12" i="5" s="1"/>
  <c r="D12" i="5" s="1"/>
  <c r="D9" i="5"/>
  <c r="D37" i="5"/>
  <c r="F30" i="5"/>
  <c r="G30" i="5" s="1"/>
  <c r="G35" i="5" s="1"/>
  <c r="H35" i="5" s="1"/>
  <c r="I37" i="5"/>
  <c r="G38" i="5"/>
  <c r="D39" i="5" l="1"/>
  <c r="D42" i="5" s="1"/>
  <c r="H30" i="5"/>
  <c r="F37" i="5"/>
  <c r="G37" i="5" s="1"/>
  <c r="G39" i="5" s="1"/>
  <c r="H37" i="5" l="1"/>
  <c r="H24" i="5" s="1"/>
  <c r="I24" i="5" l="1"/>
  <c r="H43" i="5" s="1"/>
  <c r="C27" i="66" l="1"/>
  <c r="C19" i="66"/>
  <c r="C26" i="66"/>
  <c r="C25" i="66"/>
  <c r="C21" i="66"/>
  <c r="O21" i="66" s="1"/>
  <c r="C20" i="66"/>
  <c r="B55" i="3"/>
  <c r="B43" i="3"/>
  <c r="B57" i="3"/>
  <c r="B62" i="3"/>
  <c r="B64" i="3"/>
  <c r="B56" i="3"/>
  <c r="B60" i="3"/>
  <c r="B45" i="3"/>
  <c r="B46" i="3"/>
  <c r="B58" i="3"/>
  <c r="B61" i="3"/>
  <c r="B41" i="3"/>
  <c r="B42" i="3"/>
  <c r="B47" i="3"/>
  <c r="B51" i="3"/>
  <c r="E25" i="66" l="1"/>
  <c r="M25" i="66"/>
  <c r="F25" i="66"/>
  <c r="N25" i="66"/>
  <c r="H25" i="66"/>
  <c r="D25" i="66"/>
  <c r="G25" i="66"/>
  <c r="O25" i="66"/>
  <c r="K25" i="66"/>
  <c r="L25" i="66"/>
  <c r="I25" i="66"/>
  <c r="J25" i="66"/>
  <c r="N20" i="66"/>
  <c r="D20" i="66"/>
  <c r="K20" i="66"/>
  <c r="H20" i="66"/>
  <c r="G20" i="66"/>
  <c r="L20" i="66"/>
  <c r="F20" i="66"/>
  <c r="E20" i="66"/>
  <c r="I20" i="66"/>
  <c r="J20" i="66"/>
  <c r="M20" i="66"/>
  <c r="O20" i="66"/>
  <c r="E21" i="66"/>
  <c r="M21" i="66"/>
  <c r="F21" i="66"/>
  <c r="N21" i="66"/>
  <c r="G21" i="66"/>
  <c r="H21" i="66"/>
  <c r="K21" i="66"/>
  <c r="I21" i="66"/>
  <c r="J21" i="66"/>
  <c r="D21" i="66"/>
  <c r="L21" i="66"/>
  <c r="K26" i="66"/>
  <c r="E26" i="66"/>
  <c r="L26" i="66"/>
  <c r="J26" i="66"/>
  <c r="N26" i="66"/>
  <c r="I26" i="66"/>
  <c r="H26" i="66"/>
  <c r="G26" i="66"/>
  <c r="O26" i="66"/>
  <c r="M26" i="66"/>
  <c r="F26" i="66"/>
  <c r="D26" i="66"/>
  <c r="E19" i="66"/>
  <c r="G19" i="66"/>
  <c r="L19" i="66"/>
  <c r="O19" i="66"/>
  <c r="M19" i="66"/>
  <c r="H19" i="66"/>
  <c r="I19" i="66"/>
  <c r="F19" i="66"/>
  <c r="K19" i="66"/>
  <c r="N19" i="66"/>
  <c r="J19" i="66"/>
  <c r="D19" i="66"/>
  <c r="M27" i="66"/>
  <c r="G27" i="66"/>
  <c r="O27" i="66"/>
  <c r="F27" i="66"/>
  <c r="N27" i="66"/>
  <c r="K27" i="66"/>
  <c r="J27" i="66"/>
  <c r="D27" i="66"/>
  <c r="L27" i="66"/>
  <c r="I27" i="66"/>
  <c r="E27" i="66"/>
  <c r="H27" i="66"/>
  <c r="H51" i="3"/>
  <c r="H95" i="3" s="1"/>
  <c r="L51" i="3"/>
  <c r="L95" i="3" s="1"/>
  <c r="F51" i="3"/>
  <c r="F95" i="3" s="1"/>
  <c r="B132" i="4"/>
  <c r="G51" i="3"/>
  <c r="G95" i="3" s="1"/>
  <c r="D51" i="3"/>
  <c r="D95" i="3" s="1"/>
  <c r="J51" i="3"/>
  <c r="J95" i="3" s="1"/>
  <c r="K51" i="3"/>
  <c r="K95" i="3" s="1"/>
  <c r="E51" i="3"/>
  <c r="E95" i="3" s="1"/>
  <c r="C51" i="3"/>
  <c r="C95" i="3" s="1"/>
  <c r="M51" i="3"/>
  <c r="M95" i="3" s="1"/>
  <c r="I51" i="3"/>
  <c r="I95" i="3" s="1"/>
  <c r="N51" i="3"/>
  <c r="N95" i="3" s="1"/>
  <c r="M60" i="3"/>
  <c r="K60" i="3"/>
  <c r="E60" i="3"/>
  <c r="F60" i="3"/>
  <c r="G60" i="3"/>
  <c r="N60" i="3"/>
  <c r="H60" i="3"/>
  <c r="D60" i="3"/>
  <c r="B141" i="4"/>
  <c r="C60" i="3"/>
  <c r="L60" i="3"/>
  <c r="I60" i="3"/>
  <c r="J60" i="3"/>
  <c r="G47" i="3"/>
  <c r="G91" i="3" s="1"/>
  <c r="E47" i="3"/>
  <c r="E91" i="3" s="1"/>
  <c r="L47" i="3"/>
  <c r="L91" i="3" s="1"/>
  <c r="C47" i="3"/>
  <c r="C91" i="3" s="1"/>
  <c r="B128" i="4"/>
  <c r="D47" i="3"/>
  <c r="D91" i="3" s="1"/>
  <c r="M47" i="3"/>
  <c r="M91" i="3" s="1"/>
  <c r="H47" i="3"/>
  <c r="H91" i="3" s="1"/>
  <c r="K47" i="3"/>
  <c r="K91" i="3" s="1"/>
  <c r="N47" i="3"/>
  <c r="N91" i="3" s="1"/>
  <c r="J47" i="3"/>
  <c r="J91" i="3" s="1"/>
  <c r="F47" i="3"/>
  <c r="F91" i="3" s="1"/>
  <c r="I47" i="3"/>
  <c r="I91" i="3" s="1"/>
  <c r="F56" i="3"/>
  <c r="D56" i="3"/>
  <c r="I56" i="3"/>
  <c r="B137" i="4"/>
  <c r="N56" i="3"/>
  <c r="H56" i="3"/>
  <c r="K56" i="3"/>
  <c r="G56" i="3"/>
  <c r="E56" i="3"/>
  <c r="M56" i="3"/>
  <c r="J56" i="3"/>
  <c r="L56" i="3"/>
  <c r="C56" i="3"/>
  <c r="C45" i="3"/>
  <c r="H45" i="3"/>
  <c r="L45" i="3"/>
  <c r="B126" i="4"/>
  <c r="M45" i="3"/>
  <c r="D45" i="3"/>
  <c r="E45" i="3"/>
  <c r="K45" i="3"/>
  <c r="J45" i="3"/>
  <c r="N45" i="3"/>
  <c r="G45" i="3"/>
  <c r="I45" i="3"/>
  <c r="F45" i="3"/>
  <c r="H42" i="3"/>
  <c r="N42" i="3"/>
  <c r="B123" i="4"/>
  <c r="L42" i="3"/>
  <c r="J42" i="3"/>
  <c r="M42" i="3"/>
  <c r="G42" i="3"/>
  <c r="E42" i="3"/>
  <c r="F42" i="3"/>
  <c r="K42" i="3"/>
  <c r="I42" i="3"/>
  <c r="C42" i="3"/>
  <c r="D42" i="3"/>
  <c r="L64" i="3"/>
  <c r="L108" i="3" s="1"/>
  <c r="G64" i="3"/>
  <c r="G108" i="3" s="1"/>
  <c r="I64" i="3"/>
  <c r="I108" i="3" s="1"/>
  <c r="F64" i="3"/>
  <c r="F108" i="3" s="1"/>
  <c r="D64" i="3"/>
  <c r="D108" i="3" s="1"/>
  <c r="K64" i="3"/>
  <c r="K108" i="3" s="1"/>
  <c r="C64" i="3"/>
  <c r="C108" i="3" s="1"/>
  <c r="H64" i="3"/>
  <c r="H108" i="3" s="1"/>
  <c r="E64" i="3"/>
  <c r="E108" i="3" s="1"/>
  <c r="N64" i="3"/>
  <c r="N108" i="3" s="1"/>
  <c r="M64" i="3"/>
  <c r="M108" i="3" s="1"/>
  <c r="B145" i="4"/>
  <c r="J64" i="3"/>
  <c r="J108" i="3" s="1"/>
  <c r="I41" i="3"/>
  <c r="L41" i="3"/>
  <c r="N41" i="3"/>
  <c r="D41" i="3"/>
  <c r="M41" i="3"/>
  <c r="F41" i="3"/>
  <c r="J41" i="3"/>
  <c r="B122" i="4"/>
  <c r="K41" i="3"/>
  <c r="C41" i="3"/>
  <c r="H41" i="3"/>
  <c r="G41" i="3"/>
  <c r="E41" i="3"/>
  <c r="M62" i="3"/>
  <c r="M106" i="3" s="1"/>
  <c r="I62" i="3"/>
  <c r="I106" i="3" s="1"/>
  <c r="G62" i="3"/>
  <c r="G106" i="3" s="1"/>
  <c r="E62" i="3"/>
  <c r="E106" i="3" s="1"/>
  <c r="K62" i="3"/>
  <c r="K106" i="3" s="1"/>
  <c r="N62" i="3"/>
  <c r="N106" i="3" s="1"/>
  <c r="F62" i="3"/>
  <c r="F106" i="3" s="1"/>
  <c r="D62" i="3"/>
  <c r="D106" i="3" s="1"/>
  <c r="L62" i="3"/>
  <c r="L106" i="3" s="1"/>
  <c r="B143" i="4"/>
  <c r="C62" i="3"/>
  <c r="C106" i="3" s="1"/>
  <c r="H62" i="3"/>
  <c r="H106" i="3" s="1"/>
  <c r="J62" i="3"/>
  <c r="J106" i="3" s="1"/>
  <c r="K61" i="3"/>
  <c r="K105" i="3" s="1"/>
  <c r="G61" i="3"/>
  <c r="G105" i="3" s="1"/>
  <c r="N61" i="3"/>
  <c r="N105" i="3" s="1"/>
  <c r="C61" i="3"/>
  <c r="C105" i="3" s="1"/>
  <c r="D61" i="3"/>
  <c r="D105" i="3" s="1"/>
  <c r="E61" i="3"/>
  <c r="E105" i="3" s="1"/>
  <c r="J61" i="3"/>
  <c r="J105" i="3" s="1"/>
  <c r="I61" i="3"/>
  <c r="I105" i="3" s="1"/>
  <c r="B142" i="4"/>
  <c r="M61" i="3"/>
  <c r="M105" i="3" s="1"/>
  <c r="F61" i="3"/>
  <c r="F105" i="3" s="1"/>
  <c r="L61" i="3"/>
  <c r="L105" i="3" s="1"/>
  <c r="L121" i="3" s="1"/>
  <c r="H61" i="3"/>
  <c r="H105" i="3" s="1"/>
  <c r="D57" i="3"/>
  <c r="E57" i="3"/>
  <c r="N57" i="3"/>
  <c r="M57" i="3"/>
  <c r="G57" i="3"/>
  <c r="H57" i="3"/>
  <c r="L57" i="3"/>
  <c r="B138" i="4"/>
  <c r="I57" i="3"/>
  <c r="K57" i="3"/>
  <c r="F57" i="3"/>
  <c r="C57" i="3"/>
  <c r="J57" i="3"/>
  <c r="D58" i="3"/>
  <c r="K58" i="3"/>
  <c r="I58" i="3"/>
  <c r="E58" i="3"/>
  <c r="L58" i="3"/>
  <c r="J58" i="3"/>
  <c r="B139" i="4"/>
  <c r="N58" i="3"/>
  <c r="H58" i="3"/>
  <c r="C58" i="3"/>
  <c r="M58" i="3"/>
  <c r="G58" i="3"/>
  <c r="F58" i="3"/>
  <c r="N43" i="3"/>
  <c r="M43" i="3"/>
  <c r="D43" i="3"/>
  <c r="H43" i="3"/>
  <c r="K43" i="3"/>
  <c r="L43" i="3"/>
  <c r="E43" i="3"/>
  <c r="B124" i="4"/>
  <c r="I43" i="3"/>
  <c r="C43" i="3"/>
  <c r="J43" i="3"/>
  <c r="F43" i="3"/>
  <c r="G43" i="3"/>
  <c r="K46" i="3"/>
  <c r="K90" i="3" s="1"/>
  <c r="D46" i="3"/>
  <c r="D90" i="3" s="1"/>
  <c r="L46" i="3"/>
  <c r="L90" i="3" s="1"/>
  <c r="H46" i="3"/>
  <c r="H90" i="3" s="1"/>
  <c r="G46" i="3"/>
  <c r="G90" i="3" s="1"/>
  <c r="I46" i="3"/>
  <c r="I90" i="3" s="1"/>
  <c r="I118" i="3" s="1"/>
  <c r="F46" i="3"/>
  <c r="F90" i="3" s="1"/>
  <c r="B127" i="4"/>
  <c r="E46" i="3"/>
  <c r="E90" i="3" s="1"/>
  <c r="J46" i="3"/>
  <c r="J90" i="3" s="1"/>
  <c r="M46" i="3"/>
  <c r="M90" i="3" s="1"/>
  <c r="C46" i="3"/>
  <c r="C90" i="3" s="1"/>
  <c r="C118" i="3" s="1"/>
  <c r="N46" i="3"/>
  <c r="N90" i="3" s="1"/>
  <c r="M55" i="3"/>
  <c r="L55" i="3"/>
  <c r="K55" i="3"/>
  <c r="I55" i="3"/>
  <c r="D55" i="3"/>
  <c r="C55" i="3"/>
  <c r="B136" i="4"/>
  <c r="G55" i="3"/>
  <c r="F55" i="3"/>
  <c r="J55" i="3"/>
  <c r="E55" i="3"/>
  <c r="N55" i="3"/>
  <c r="H55" i="3"/>
  <c r="P25" i="66" l="1"/>
  <c r="P26" i="66"/>
  <c r="I28" i="66"/>
  <c r="F28" i="66"/>
  <c r="H28" i="66"/>
  <c r="P21" i="66"/>
  <c r="M28" i="66"/>
  <c r="P27" i="66"/>
  <c r="D28" i="66"/>
  <c r="P19" i="66"/>
  <c r="O28" i="66"/>
  <c r="J28" i="66"/>
  <c r="L28" i="66"/>
  <c r="N28" i="66"/>
  <c r="G28" i="66"/>
  <c r="P20" i="66"/>
  <c r="K28" i="66"/>
  <c r="E28" i="66"/>
  <c r="C121" i="3"/>
  <c r="F121" i="3"/>
  <c r="G121" i="3"/>
  <c r="F118" i="3"/>
  <c r="J67" i="3"/>
  <c r="J68" i="3" s="1"/>
  <c r="J78" i="3" s="1"/>
  <c r="J103" i="3" s="1"/>
  <c r="E52" i="3"/>
  <c r="E77" i="3" s="1"/>
  <c r="E86" i="3" s="1"/>
  <c r="H118" i="3"/>
  <c r="N118" i="3"/>
  <c r="I121" i="3"/>
  <c r="N121" i="3"/>
  <c r="L67" i="3"/>
  <c r="L68" i="3" s="1"/>
  <c r="L78" i="3" s="1"/>
  <c r="L103" i="3" s="1"/>
  <c r="M121" i="3"/>
  <c r="G118" i="3"/>
  <c r="M52" i="3"/>
  <c r="M77" i="3" s="1"/>
  <c r="M89" i="3" s="1"/>
  <c r="M118" i="3"/>
  <c r="L118" i="3"/>
  <c r="J118" i="3"/>
  <c r="E118" i="3"/>
  <c r="K121" i="3"/>
  <c r="E121" i="3"/>
  <c r="H121" i="3"/>
  <c r="I67" i="3"/>
  <c r="I68" i="3" s="1"/>
  <c r="I78" i="3" s="1"/>
  <c r="K118" i="3"/>
  <c r="H126" i="4"/>
  <c r="J126" i="4"/>
  <c r="M126" i="4"/>
  <c r="L126" i="4"/>
  <c r="D126" i="4"/>
  <c r="K126" i="4"/>
  <c r="C126" i="4"/>
  <c r="E126" i="4"/>
  <c r="I126" i="4"/>
  <c r="N126" i="4"/>
  <c r="F126" i="4"/>
  <c r="G126" i="4"/>
  <c r="F67" i="3"/>
  <c r="F68" i="3" s="1"/>
  <c r="F78" i="3" s="1"/>
  <c r="F103" i="3" s="1"/>
  <c r="M67" i="3"/>
  <c r="M68" i="3" s="1"/>
  <c r="M78" i="3" s="1"/>
  <c r="M103" i="3" s="1"/>
  <c r="G52" i="3"/>
  <c r="D52" i="3"/>
  <c r="E128" i="4"/>
  <c r="I128" i="4"/>
  <c r="J128" i="4"/>
  <c r="H128" i="4"/>
  <c r="F128" i="4"/>
  <c r="C128" i="4"/>
  <c r="M128" i="4"/>
  <c r="D128" i="4"/>
  <c r="L128" i="4"/>
  <c r="N128" i="4"/>
  <c r="K128" i="4"/>
  <c r="G128" i="4"/>
  <c r="I136" i="4"/>
  <c r="L136" i="4"/>
  <c r="N136" i="4"/>
  <c r="M136" i="4"/>
  <c r="K136" i="4"/>
  <c r="J136" i="4"/>
  <c r="F136" i="4"/>
  <c r="G136" i="4"/>
  <c r="H136" i="4"/>
  <c r="E136" i="4"/>
  <c r="C136" i="4"/>
  <c r="D136" i="4"/>
  <c r="B90" i="3"/>
  <c r="C52" i="3"/>
  <c r="L52" i="3"/>
  <c r="B108" i="3"/>
  <c r="G139" i="4"/>
  <c r="I139" i="4"/>
  <c r="N139" i="4"/>
  <c r="H139" i="4"/>
  <c r="L139" i="4"/>
  <c r="F139" i="4"/>
  <c r="M139" i="4"/>
  <c r="K139" i="4"/>
  <c r="E139" i="4"/>
  <c r="J139" i="4"/>
  <c r="C139" i="4"/>
  <c r="D139" i="4"/>
  <c r="C67" i="3"/>
  <c r="C68" i="3" s="1"/>
  <c r="C78" i="3" s="1"/>
  <c r="C103" i="3" s="1"/>
  <c r="J124" i="4"/>
  <c r="L124" i="4"/>
  <c r="E124" i="4"/>
  <c r="D124" i="4"/>
  <c r="M124" i="4"/>
  <c r="K124" i="4"/>
  <c r="I124" i="4"/>
  <c r="H124" i="4"/>
  <c r="C124" i="4"/>
  <c r="G124" i="4"/>
  <c r="N124" i="4"/>
  <c r="F124" i="4"/>
  <c r="J121" i="3"/>
  <c r="K52" i="3"/>
  <c r="I52" i="3"/>
  <c r="F123" i="4"/>
  <c r="M123" i="4"/>
  <c r="K123" i="4"/>
  <c r="I123" i="4"/>
  <c r="C123" i="4"/>
  <c r="N123" i="4"/>
  <c r="L123" i="4"/>
  <c r="D123" i="4"/>
  <c r="H123" i="4"/>
  <c r="E123" i="4"/>
  <c r="J123" i="4"/>
  <c r="G123" i="4"/>
  <c r="K132" i="4"/>
  <c r="G132" i="4"/>
  <c r="I132" i="4"/>
  <c r="D132" i="4"/>
  <c r="M132" i="4"/>
  <c r="E132" i="4"/>
  <c r="J132" i="4"/>
  <c r="H132" i="4"/>
  <c r="C132" i="4"/>
  <c r="F132" i="4"/>
  <c r="N132" i="4"/>
  <c r="L132" i="4"/>
  <c r="G67" i="3"/>
  <c r="G68" i="3" s="1"/>
  <c r="G78" i="3" s="1"/>
  <c r="G103" i="3" s="1"/>
  <c r="D142" i="4"/>
  <c r="I142" i="4"/>
  <c r="H142" i="4"/>
  <c r="F142" i="4"/>
  <c r="C142" i="4"/>
  <c r="M142" i="4"/>
  <c r="L142" i="4"/>
  <c r="E142" i="4"/>
  <c r="J142" i="4"/>
  <c r="K142" i="4"/>
  <c r="N142" i="4"/>
  <c r="G142" i="4"/>
  <c r="H52" i="3"/>
  <c r="D141" i="4"/>
  <c r="F141" i="4"/>
  <c r="E141" i="4"/>
  <c r="I141" i="4"/>
  <c r="C141" i="4"/>
  <c r="H141" i="4"/>
  <c r="K141" i="4"/>
  <c r="J141" i="4"/>
  <c r="G141" i="4"/>
  <c r="L141" i="4"/>
  <c r="N141" i="4"/>
  <c r="M141" i="4"/>
  <c r="H67" i="3"/>
  <c r="H68" i="3" s="1"/>
  <c r="H78" i="3" s="1"/>
  <c r="D67" i="3"/>
  <c r="D68" i="3" s="1"/>
  <c r="D78" i="3" s="1"/>
  <c r="D103" i="3" s="1"/>
  <c r="D118" i="3"/>
  <c r="B118" i="3" s="1"/>
  <c r="B106" i="3"/>
  <c r="J122" i="4"/>
  <c r="C122" i="4"/>
  <c r="K122" i="4"/>
  <c r="I122" i="4"/>
  <c r="L122" i="4"/>
  <c r="M122" i="4"/>
  <c r="F122" i="4"/>
  <c r="N122" i="4"/>
  <c r="G122" i="4"/>
  <c r="H122" i="4"/>
  <c r="E122" i="4"/>
  <c r="D122" i="4"/>
  <c r="M137" i="4"/>
  <c r="J137" i="4"/>
  <c r="K137" i="4"/>
  <c r="I137" i="4"/>
  <c r="F137" i="4"/>
  <c r="L137" i="4"/>
  <c r="E137" i="4"/>
  <c r="D137" i="4"/>
  <c r="N137" i="4"/>
  <c r="G137" i="4"/>
  <c r="H137" i="4"/>
  <c r="C137" i="4"/>
  <c r="N52" i="3"/>
  <c r="B91" i="3"/>
  <c r="N67" i="3"/>
  <c r="N68" i="3" s="1"/>
  <c r="N78" i="3" s="1"/>
  <c r="N103" i="3" s="1"/>
  <c r="G138" i="4"/>
  <c r="E138" i="4"/>
  <c r="D138" i="4"/>
  <c r="K138" i="4"/>
  <c r="C138" i="4"/>
  <c r="N138" i="4"/>
  <c r="F138" i="4"/>
  <c r="I138" i="4"/>
  <c r="H138" i="4"/>
  <c r="L138" i="4"/>
  <c r="J138" i="4"/>
  <c r="M138" i="4"/>
  <c r="D121" i="3"/>
  <c r="C143" i="4"/>
  <c r="L143" i="4"/>
  <c r="E143" i="4"/>
  <c r="J143" i="4"/>
  <c r="F143" i="4"/>
  <c r="G143" i="4"/>
  <c r="M143" i="4"/>
  <c r="D143" i="4"/>
  <c r="I143" i="4"/>
  <c r="H143" i="4"/>
  <c r="N143" i="4"/>
  <c r="K143" i="4"/>
  <c r="J52" i="3"/>
  <c r="L145" i="4"/>
  <c r="G145" i="4"/>
  <c r="E145" i="4"/>
  <c r="M145" i="4"/>
  <c r="D145" i="4"/>
  <c r="N145" i="4"/>
  <c r="I145" i="4"/>
  <c r="H145" i="4"/>
  <c r="F145" i="4"/>
  <c r="C145" i="4"/>
  <c r="J145" i="4"/>
  <c r="K145" i="4"/>
  <c r="B95" i="3"/>
  <c r="E67" i="3"/>
  <c r="E68" i="3" s="1"/>
  <c r="E78" i="3" s="1"/>
  <c r="E103" i="3" s="1"/>
  <c r="K67" i="3"/>
  <c r="K68" i="3" s="1"/>
  <c r="K78" i="3" s="1"/>
  <c r="K103" i="3" s="1"/>
  <c r="G127" i="4"/>
  <c r="C127" i="4"/>
  <c r="F127" i="4"/>
  <c r="D127" i="4"/>
  <c r="E127" i="4"/>
  <c r="H127" i="4"/>
  <c r="M127" i="4"/>
  <c r="L127" i="4"/>
  <c r="I127" i="4"/>
  <c r="K127" i="4"/>
  <c r="J127" i="4"/>
  <c r="N127" i="4"/>
  <c r="B105" i="3"/>
  <c r="F52" i="3"/>
  <c r="B121" i="3" l="1"/>
  <c r="P28" i="66"/>
  <c r="I99" i="3"/>
  <c r="I103" i="3"/>
  <c r="H102" i="3"/>
  <c r="H103" i="3"/>
  <c r="J99" i="3"/>
  <c r="J104" i="3"/>
  <c r="J102" i="3"/>
  <c r="J100" i="3"/>
  <c r="J101" i="3"/>
  <c r="L99" i="3"/>
  <c r="L102" i="3"/>
  <c r="L100" i="3"/>
  <c r="L101" i="3"/>
  <c r="L104" i="3"/>
  <c r="E88" i="3"/>
  <c r="E85" i="3"/>
  <c r="M87" i="3"/>
  <c r="M85" i="3"/>
  <c r="E89" i="3"/>
  <c r="E87" i="3"/>
  <c r="M86" i="3"/>
  <c r="M88" i="3"/>
  <c r="O128" i="4"/>
  <c r="O126" i="4"/>
  <c r="F133" i="4"/>
  <c r="L151" i="4"/>
  <c r="I100" i="3"/>
  <c r="I104" i="3"/>
  <c r="I102" i="3"/>
  <c r="I101" i="3"/>
  <c r="E100" i="3"/>
  <c r="E99" i="3"/>
  <c r="E102" i="3"/>
  <c r="E101" i="3"/>
  <c r="I79" i="3"/>
  <c r="I80" i="3" s="1"/>
  <c r="I77" i="3"/>
  <c r="J148" i="4"/>
  <c r="N99" i="3"/>
  <c r="N100" i="3"/>
  <c r="N104" i="3"/>
  <c r="N101" i="3"/>
  <c r="M133" i="4"/>
  <c r="D99" i="3"/>
  <c r="D100" i="3"/>
  <c r="D101" i="3"/>
  <c r="M151" i="4"/>
  <c r="K79" i="3"/>
  <c r="K80" i="3" s="1"/>
  <c r="K77" i="3"/>
  <c r="O139" i="4"/>
  <c r="K148" i="4"/>
  <c r="F100" i="3"/>
  <c r="F99" i="3"/>
  <c r="F104" i="3"/>
  <c r="F102" i="3"/>
  <c r="F101" i="3"/>
  <c r="E79" i="3"/>
  <c r="E80" i="3" s="1"/>
  <c r="M102" i="3"/>
  <c r="M100" i="3"/>
  <c r="M99" i="3"/>
  <c r="L133" i="4"/>
  <c r="H99" i="3"/>
  <c r="H104" i="3"/>
  <c r="H100" i="3"/>
  <c r="H77" i="3"/>
  <c r="H79" i="3"/>
  <c r="H80" i="3" s="1"/>
  <c r="C151" i="4"/>
  <c r="O142" i="4"/>
  <c r="D148" i="4"/>
  <c r="M148" i="4"/>
  <c r="N102" i="3"/>
  <c r="O143" i="4"/>
  <c r="D133" i="4"/>
  <c r="I133" i="4"/>
  <c r="G151" i="4"/>
  <c r="F151" i="4"/>
  <c r="O132" i="4"/>
  <c r="O123" i="4"/>
  <c r="O136" i="4"/>
  <c r="C148" i="4"/>
  <c r="N148" i="4"/>
  <c r="D102" i="3"/>
  <c r="O138" i="4"/>
  <c r="E133" i="4"/>
  <c r="K133" i="4"/>
  <c r="N151" i="4"/>
  <c r="H151" i="4"/>
  <c r="D104" i="3"/>
  <c r="E148" i="4"/>
  <c r="L148" i="4"/>
  <c r="M101" i="3"/>
  <c r="O127" i="4"/>
  <c r="O145" i="4"/>
  <c r="N77" i="3"/>
  <c r="N79" i="3"/>
  <c r="N80" i="3" s="1"/>
  <c r="H133" i="4"/>
  <c r="O122" i="4"/>
  <c r="C133" i="4"/>
  <c r="O141" i="4"/>
  <c r="K151" i="4"/>
  <c r="I151" i="4"/>
  <c r="H148" i="4"/>
  <c r="I148" i="4"/>
  <c r="M104" i="3"/>
  <c r="G133" i="4"/>
  <c r="J133" i="4"/>
  <c r="J151" i="4"/>
  <c r="D151" i="4"/>
  <c r="O124" i="4"/>
  <c r="L79" i="3"/>
  <c r="L80" i="3" s="1"/>
  <c r="L77" i="3"/>
  <c r="G148" i="4"/>
  <c r="D79" i="3"/>
  <c r="D80" i="3" s="1"/>
  <c r="D77" i="3"/>
  <c r="M79" i="3"/>
  <c r="M80" i="3" s="1"/>
  <c r="F79" i="3"/>
  <c r="F80" i="3" s="1"/>
  <c r="F77" i="3"/>
  <c r="K99" i="3"/>
  <c r="K101" i="3"/>
  <c r="K104" i="3"/>
  <c r="K102" i="3"/>
  <c r="K100" i="3"/>
  <c r="J79" i="3"/>
  <c r="J80" i="3" s="1"/>
  <c r="J77" i="3"/>
  <c r="O137" i="4"/>
  <c r="N133" i="4"/>
  <c r="E151" i="4"/>
  <c r="G104" i="3"/>
  <c r="G101" i="3"/>
  <c r="G100" i="3"/>
  <c r="G99" i="3"/>
  <c r="G102" i="3"/>
  <c r="C101" i="3"/>
  <c r="B78" i="3"/>
  <c r="C100" i="3"/>
  <c r="C102" i="3"/>
  <c r="C104" i="3"/>
  <c r="C99" i="3"/>
  <c r="C77" i="3"/>
  <c r="C79" i="3"/>
  <c r="F148" i="4"/>
  <c r="G77" i="3"/>
  <c r="G79" i="3"/>
  <c r="G80" i="3" s="1"/>
  <c r="E104" i="3"/>
  <c r="H101" i="3"/>
  <c r="J111" i="3" l="1"/>
  <c r="L111" i="3"/>
  <c r="E96" i="3"/>
  <c r="M96" i="3"/>
  <c r="O151" i="4"/>
  <c r="B100" i="3"/>
  <c r="O133" i="4"/>
  <c r="D111" i="3"/>
  <c r="I111" i="3"/>
  <c r="H87" i="3"/>
  <c r="H85" i="3"/>
  <c r="H89" i="3"/>
  <c r="H88" i="3"/>
  <c r="H86" i="3"/>
  <c r="I88" i="3"/>
  <c r="I85" i="3"/>
  <c r="I89" i="3"/>
  <c r="I87" i="3"/>
  <c r="I86" i="3"/>
  <c r="B79" i="3"/>
  <c r="B80" i="3" s="1"/>
  <c r="C80" i="3"/>
  <c r="B101" i="3"/>
  <c r="K111" i="3"/>
  <c r="L88" i="3"/>
  <c r="L85" i="3"/>
  <c r="L87" i="3"/>
  <c r="L86" i="3"/>
  <c r="L89" i="3"/>
  <c r="O148" i="4"/>
  <c r="C88" i="3"/>
  <c r="C87" i="3"/>
  <c r="B77" i="3"/>
  <c r="C86" i="3"/>
  <c r="C85" i="3"/>
  <c r="C89" i="3"/>
  <c r="N88" i="3"/>
  <c r="N89" i="3"/>
  <c r="N87" i="3"/>
  <c r="N86" i="3"/>
  <c r="N85" i="3"/>
  <c r="H111" i="3"/>
  <c r="K87" i="3"/>
  <c r="K89" i="3"/>
  <c r="K85" i="3"/>
  <c r="K88" i="3"/>
  <c r="K86" i="3"/>
  <c r="G88" i="3"/>
  <c r="G87" i="3"/>
  <c r="G89" i="3"/>
  <c r="G85" i="3"/>
  <c r="G86" i="3"/>
  <c r="B103" i="3"/>
  <c r="G111" i="3"/>
  <c r="J88" i="3"/>
  <c r="J89" i="3"/>
  <c r="J87" i="3"/>
  <c r="J86" i="3"/>
  <c r="J85" i="3"/>
  <c r="F89" i="3"/>
  <c r="F87" i="3"/>
  <c r="F88" i="3"/>
  <c r="F86" i="3"/>
  <c r="F85" i="3"/>
  <c r="B99" i="3"/>
  <c r="C111" i="3"/>
  <c r="E111" i="3"/>
  <c r="M111" i="3"/>
  <c r="F111" i="3"/>
  <c r="N111" i="3"/>
  <c r="B104" i="3"/>
  <c r="B102" i="3"/>
  <c r="D85" i="3"/>
  <c r="D88" i="3"/>
  <c r="D86" i="3"/>
  <c r="D87" i="3"/>
  <c r="D89" i="3"/>
  <c r="E113" i="3" l="1"/>
  <c r="M113" i="3"/>
  <c r="I96" i="3"/>
  <c r="I113" i="3" s="1"/>
  <c r="F96" i="3"/>
  <c r="F113" i="3" s="1"/>
  <c r="B87" i="3"/>
  <c r="B88" i="3"/>
  <c r="K96" i="3"/>
  <c r="K113" i="3" s="1"/>
  <c r="B89" i="3"/>
  <c r="J96" i="3"/>
  <c r="J113" i="3" s="1"/>
  <c r="G96" i="3"/>
  <c r="G113" i="3" s="1"/>
  <c r="B85" i="3"/>
  <c r="C96" i="3"/>
  <c r="C113" i="3" s="1"/>
  <c r="B86" i="3"/>
  <c r="H96" i="3"/>
  <c r="H113" i="3" s="1"/>
  <c r="D96" i="3"/>
  <c r="D113" i="3" s="1"/>
  <c r="B111" i="3"/>
  <c r="N96" i="3"/>
  <c r="N113" i="3" s="1"/>
  <c r="L96" i="3"/>
  <c r="L113" i="3" s="1"/>
  <c r="B113" i="3" l="1"/>
  <c r="B114" i="3" s="1"/>
  <c r="B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Knox, Tara</author>
    <author>Tara Knox</author>
  </authors>
  <commentList>
    <comment ref="B1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annual usage divided by hours of darkness from 2016 Daylight apply proportion of hour during system peak in darkness
</t>
        </r>
      </text>
    </comment>
    <comment ref="B1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2016 Daylight apply proportion of hour during system peak in darkness
</t>
        </r>
      </text>
    </comment>
    <comment ref="B16" authorId="0" shapeId="0" xr:uid="{00000000-0006-0000-0000-000003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7" authorId="0" shapeId="0" xr:uid="{00000000-0006-0000-0000-000004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8" authorId="0" shapeId="0" xr:uid="{00000000-0006-0000-0000-000005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9" authorId="0" shapeId="0" xr:uid="{00000000-0006-0000-0000-000006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28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apply proportion of hour during system peak in darkness
</t>
        </r>
      </text>
    </comment>
    <comment ref="B29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apply proportion of hour during system peak in darkness
</t>
        </r>
      </text>
    </comment>
    <comment ref="B30" authorId="0" shapeId="0" xr:uid="{00000000-0006-0000-0000-000009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31" authorId="0" shapeId="0" xr:uid="{00000000-0006-0000-0000-00000A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32" authorId="0" shapeId="0" xr:uid="{00000000-0006-0000-0000-00000B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33" authorId="0" shapeId="0" xr:uid="{00000000-0006-0000-0000-00000C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  <comment ref="B65" authorId="1" shapeId="0" xr:uid="{3D6EA7A1-04C8-4336-B37D-00C0F6E33B6D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Includes adjustment for overstatement of temporary reclass of ID customer </t>
        </r>
      </text>
    </comment>
    <comment ref="B71" authorId="0" shapeId="0" xr:uid="{00000000-0006-0000-0000-00000D000000}">
      <text>
        <r>
          <rPr>
            <sz val="8"/>
            <color indexed="81"/>
            <rFont val="Tahoma"/>
            <family val="2"/>
          </rPr>
          <t>Time Agrees to  Form 1 page 401b</t>
        </r>
      </text>
    </comment>
    <comment ref="B75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Tara Knox:</t>
        </r>
        <r>
          <rPr>
            <sz val="8"/>
            <color indexed="81"/>
            <rFont val="Tahoma"/>
            <family val="2"/>
          </rPr>
          <t xml:space="preserve">
Without CP Generation which is excluded from the P/T ratio to allow direct assignment of the cost of the purchase to 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 satisfied Microsoft Office user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most recent load study</t>
        </r>
      </text>
    </comment>
    <comment ref="B97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8" authorId="1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9" authorId="1" shapeId="0" xr:uid="{00000000-0006-0000-0100-000004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00" authorId="1" shapeId="0" xr:uid="{00000000-0006-0000-0100-000005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01" authorId="1" shapeId="0" xr:uid="{00000000-0006-0000-0100-000006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02" authorId="1" shapeId="0" xr:uid="{00000000-0006-0000-0100-000007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2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3" authorId="1" shapeId="0" xr:uid="{00000000-0006-0000-0100-000009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4" authorId="1" shapeId="0" xr:uid="{00000000-0006-0000-0100-00000A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15" authorId="1" shapeId="0" xr:uid="{00000000-0006-0000-0100-00000B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6" authorId="1" shapeId="0" xr:uid="{00000000-0006-0000-0100-00000C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117" authorId="1" shapeId="0" xr:uid="{00000000-0006-0000-0100-00000D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 satisfied Microsoft Office user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most recent demand study</t>
        </r>
      </text>
    </comment>
    <comment ref="B97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8" authorId="1" shapeId="0" xr:uid="{00000000-0006-0000-0300-000003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9" authorId="1" shapeId="0" xr:uid="{00000000-0006-0000-0300-000004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00" authorId="1" shapeId="0" xr:uid="{00000000-0006-0000-0300-000005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01" authorId="1" shapeId="0" xr:uid="{00000000-0006-0000-0300-000006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02" authorId="1" shapeId="0" xr:uid="{00000000-0006-0000-0300-000007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2" authorId="1" shapeId="0" xr:uid="{00000000-0006-0000-03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3" authorId="1" shapeId="0" xr:uid="{00000000-0006-0000-0300-000009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4" authorId="1" shapeId="0" xr:uid="{00000000-0006-0000-0300-00000A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15" authorId="1" shapeId="0" xr:uid="{00000000-0006-0000-0300-00000B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6" authorId="1" shapeId="0" xr:uid="{00000000-0006-0000-0300-00000C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117" authorId="1" shapeId="0" xr:uid="{00000000-0006-0000-0300-00000D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gzhkw6</author>
  </authors>
  <commentList>
    <comment ref="C6" authorId="0" shapeId="0" xr:uid="{00000000-0006-0000-0400-000001000000}">
      <text>
        <r>
          <rPr>
            <sz val="11"/>
            <color indexed="81"/>
            <rFont val="Tahoma"/>
            <family val="2"/>
          </rPr>
          <t>weekday 1 = Sunday and 7 = Saturday.</t>
        </r>
      </text>
    </comment>
    <comment ref="D1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customers copied from 12ME 2019 WAID Elec Weather Adj Calc/Elec by Mo or Cust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gzhkw6</author>
  </authors>
  <commentList>
    <comment ref="C6" authorId="0" shapeId="0" xr:uid="{00000000-0006-0000-0500-000001000000}">
      <text>
        <r>
          <rPr>
            <sz val="11"/>
            <color indexed="81"/>
            <rFont val="Tahoma"/>
            <family val="2"/>
          </rPr>
          <t>weekday 1 = Sunday and 7 = Saturday.</t>
        </r>
      </text>
    </comment>
    <comment ref="D11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customers copied from 12ME 2019 WAID Elec Weather Adj Calc/Elec by Mo or Cust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I7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7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18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  <comment ref="I45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45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4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56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temporarily moved to Schedule 21, for GRC will pro-form normal usage</t>
        </r>
      </text>
    </comment>
    <comment ref="H31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G3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8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agrees with customer bill</t>
        </r>
      </text>
    </comment>
    <comment ref="G41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1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I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11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Source = R-120286/R-120287 reports showing Sch 21 customers served at Primary.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Corp Employee</author>
  </authors>
  <commentList>
    <comment ref="A133" authorId="0" shapeId="0" xr:uid="{00000000-0006-0000-0E00-000001000000}">
      <text>
        <r>
          <rPr>
            <sz val="11"/>
            <color indexed="81"/>
            <rFont val="Tahoma"/>
            <family val="2"/>
          </rPr>
          <t>Source = data from R-120287 reports filtered for Sch 21 customers served at Primary Voltage (receiving PVD).</t>
        </r>
      </text>
    </comment>
    <comment ref="A134" authorId="1" shapeId="0" xr:uid="{00000000-0006-0000-0E00-000002000000}">
      <text>
        <r>
          <rPr>
            <b/>
            <sz val="8"/>
            <color indexed="81"/>
            <rFont val="Tahoma"/>
            <family val="2"/>
          </rPr>
          <t>Corp Employee:</t>
        </r>
        <r>
          <rPr>
            <sz val="8"/>
            <color indexed="81"/>
            <rFont val="Tahoma"/>
            <family val="2"/>
          </rPr>
          <t xml:space="preserve">
Obsolete - Prior Source: CSS Report DWWPA0GR Demand Meter Usage for all rate schedules</t>
        </r>
      </text>
    </comment>
  </commentList>
</comments>
</file>

<file path=xl/sharedStrings.xml><?xml version="1.0" encoding="utf-8"?>
<sst xmlns="http://schemas.openxmlformats.org/spreadsheetml/2006/main" count="3612" uniqueCount="2590">
  <si>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</si>
  <si>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</si>
  <si>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</si>
  <si>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</si>
  <si>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</si>
  <si>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</si>
  <si>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</si>
  <si>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</si>
  <si>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</si>
  <si>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</si>
  <si>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</si>
  <si>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</si>
  <si>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</si>
  <si>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</si>
  <si>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</si>
  <si>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</si>
  <si>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</si>
  <si>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</si>
  <si>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</si>
  <si>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</si>
  <si>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</si>
  <si>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</si>
  <si>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</si>
  <si>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</si>
  <si>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</si>
  <si>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</si>
  <si>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</si>
  <si>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</si>
  <si>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</si>
  <si>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</si>
  <si>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</si>
  <si>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</si>
  <si>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12.2.23</t>
  </si>
  <si>
    <t>12.2.24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</si>
  <si>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</si>
  <si>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</si>
  <si>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</si>
  <si>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</si>
  <si>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</si>
  <si>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</si>
  <si>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</si>
  <si>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</si>
  <si>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</si>
  <si>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</si>
  <si>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</si>
  <si>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</si>
  <si>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</si>
  <si>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</si>
  <si>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</si>
  <si>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</si>
  <si>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</si>
  <si>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</si>
  <si>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</si>
  <si>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12.3.20</t>
  </si>
  <si>
    <t>12.3.21</t>
  </si>
  <si>
    <t>12.3.22</t>
  </si>
  <si>
    <t>12.3.23</t>
  </si>
  <si>
    <t>12.3.24</t>
  </si>
  <si>
    <t>12.4.1</t>
  </si>
  <si>
    <t>12.4.2</t>
  </si>
  <si>
    <t>12.4.3</t>
  </si>
  <si>
    <t>12.4.4</t>
  </si>
  <si>
    <t>Revenue Class</t>
  </si>
  <si>
    <t>12.4.5</t>
  </si>
  <si>
    <t>12.4.6</t>
  </si>
  <si>
    <t>12.4.7</t>
  </si>
  <si>
    <t>12.4.8</t>
  </si>
  <si>
    <t>12.4.9</t>
  </si>
  <si>
    <t>12.4.10</t>
  </si>
  <si>
    <t>12.4.11</t>
  </si>
  <si>
    <t>12.4.12</t>
  </si>
  <si>
    <t>12.4.13</t>
  </si>
  <si>
    <t>12.4.14</t>
  </si>
  <si>
    <t>12.4.15</t>
  </si>
  <si>
    <t>12.4.16</t>
  </si>
  <si>
    <t>12.4.17</t>
  </si>
  <si>
    <t>12.4.18</t>
  </si>
  <si>
    <t>12.4.19</t>
  </si>
  <si>
    <t>12.4.20</t>
  </si>
  <si>
    <t>12.4.21</t>
  </si>
  <si>
    <t>12.4.22</t>
  </si>
  <si>
    <t>12.4.23</t>
  </si>
  <si>
    <t>12.4.24</t>
  </si>
  <si>
    <t>12.5.1</t>
  </si>
  <si>
    <t>12.5.2</t>
  </si>
  <si>
    <t>12.5.3</t>
  </si>
  <si>
    <t>12.5.4</t>
  </si>
  <si>
    <t>12.5.5</t>
  </si>
  <si>
    <t>12.5.6</t>
  </si>
  <si>
    <t>12.5.7</t>
  </si>
  <si>
    <t>12.5.8</t>
  </si>
  <si>
    <t>12.5.9</t>
  </si>
  <si>
    <t>12.5.10</t>
  </si>
  <si>
    <t>12.5.11</t>
  </si>
  <si>
    <t>12.5.12</t>
  </si>
  <si>
    <t>12.5.13</t>
  </si>
  <si>
    <t>12.5.14</t>
  </si>
  <si>
    <t>12.5.15</t>
  </si>
  <si>
    <t>12.5.16</t>
  </si>
  <si>
    <t>12.5.17</t>
  </si>
  <si>
    <t>12.5.18</t>
  </si>
  <si>
    <t>12.5.19</t>
  </si>
  <si>
    <t>12.5.20</t>
  </si>
  <si>
    <t>12.5.21</t>
  </si>
  <si>
    <t>12.5.22</t>
  </si>
  <si>
    <t>12.5.23</t>
  </si>
  <si>
    <t>12.5.24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</si>
  <si>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</si>
  <si>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</si>
  <si>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</si>
  <si>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</si>
  <si>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</si>
  <si>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</si>
  <si>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</si>
  <si>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</si>
  <si>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</si>
  <si>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12.6.10</t>
  </si>
  <si>
    <t>12.6.11</t>
  </si>
  <si>
    <t>12.6.12</t>
  </si>
  <si>
    <t>12.6.13</t>
  </si>
  <si>
    <t>12.6.14</t>
  </si>
  <si>
    <t>12.6.15</t>
  </si>
  <si>
    <t>12.6.16</t>
  </si>
  <si>
    <t>12.6.17</t>
  </si>
  <si>
    <t>12.6.18</t>
  </si>
  <si>
    <t>12.6.19</t>
  </si>
  <si>
    <t>12.6.20</t>
  </si>
  <si>
    <t>12.6.21</t>
  </si>
  <si>
    <t>12.6.22</t>
  </si>
  <si>
    <t>12.6.23</t>
  </si>
  <si>
    <t>12.6.24</t>
  </si>
  <si>
    <t>12.7.1</t>
  </si>
  <si>
    <t>12.7.2</t>
  </si>
  <si>
    <t>12.7.3</t>
  </si>
  <si>
    <t>12.7.4</t>
  </si>
  <si>
    <t>12.7.5</t>
  </si>
  <si>
    <t>12.7.6</t>
  </si>
  <si>
    <t>12.7.7</t>
  </si>
  <si>
    <t>12.7.8</t>
  </si>
  <si>
    <t>12.7.9</t>
  </si>
  <si>
    <t>12.7.10</t>
  </si>
  <si>
    <t>12.7.11</t>
  </si>
  <si>
    <t>12.7.12</t>
  </si>
  <si>
    <t>12.7.13</t>
  </si>
  <si>
    <t>12.7.14</t>
  </si>
  <si>
    <t>12.7.15</t>
  </si>
  <si>
    <t>12.7.16</t>
  </si>
  <si>
    <t>12.7.17</t>
  </si>
  <si>
    <t>12.7.18</t>
  </si>
  <si>
    <t>12.7.19</t>
  </si>
  <si>
    <t>12.7.20</t>
  </si>
  <si>
    <t>12.7.21</t>
  </si>
  <si>
    <t>12.7.22</t>
  </si>
  <si>
    <t>12.7.23</t>
  </si>
  <si>
    <t>12.7.24</t>
  </si>
  <si>
    <t>Weekday</t>
  </si>
  <si>
    <t>Month</t>
  </si>
  <si>
    <t>days in month</t>
  </si>
  <si>
    <t>D 011</t>
  </si>
  <si>
    <t xml:space="preserve">                                                                                                                                      </t>
  </si>
  <si>
    <t>Day</t>
  </si>
  <si>
    <t>Rise</t>
  </si>
  <si>
    <t>Set</t>
  </si>
  <si>
    <t>Peak Day</t>
  </si>
  <si>
    <t>Peak Time</t>
  </si>
  <si>
    <t>Area Load at Time of Sys Pk</t>
  </si>
  <si>
    <t>&lt;BPA &amp; GCPD Borderline Load&gt;</t>
  </si>
  <si>
    <t>AVA Load on BPA at time of Sys Pk</t>
  </si>
  <si>
    <t>Adj at Time of Sys Pk</t>
  </si>
  <si>
    <t>Subtotal</t>
  </si>
  <si>
    <t>+ Adj. To WA Peak</t>
  </si>
  <si>
    <t>WA Retail Peak</t>
  </si>
  <si>
    <t>+ Adj. To ID Peak</t>
  </si>
  <si>
    <t>ID Retail Peak</t>
  </si>
  <si>
    <t>Losses from System</t>
  </si>
  <si>
    <t>Secondary</t>
  </si>
  <si>
    <t>Primary</t>
  </si>
  <si>
    <t>Transmission</t>
  </si>
  <si>
    <t>opp. sign as source</t>
  </si>
  <si>
    <t>Pend Oreille PUD; opp. sign as source</t>
  </si>
  <si>
    <t>Light</t>
  </si>
  <si>
    <t>check AM</t>
  </si>
  <si>
    <t>check PM</t>
  </si>
  <si>
    <t>Hours of darkness at Peak Hour?</t>
  </si>
  <si>
    <t>Annual Hrs</t>
  </si>
  <si>
    <t>Dark</t>
  </si>
  <si>
    <t>RISE - in Excel date format</t>
  </si>
  <si>
    <t>SET - in Excel date format</t>
  </si>
  <si>
    <t>DAYLIGHT - in Excel format</t>
  </si>
  <si>
    <t>Dark AM</t>
  </si>
  <si>
    <t>Dark PM</t>
  </si>
  <si>
    <t>Retail Sales subject to losses</t>
  </si>
  <si>
    <t>Difference from Rev Run</t>
  </si>
  <si>
    <t>Unexplained diff. from Rev Run</t>
  </si>
  <si>
    <t>Shoulder Mo</t>
  </si>
  <si>
    <t>Summer Mo</t>
  </si>
  <si>
    <t>Apr, May, Jun, Oct, Nov</t>
  </si>
  <si>
    <t>Dec, Jan, Feb, Mar</t>
  </si>
  <si>
    <t>Apr, May, Oct, Nov</t>
  </si>
  <si>
    <t>Jun, Jul, Aug, Sep</t>
  </si>
  <si>
    <t>WA Other Sch 11</t>
  </si>
  <si>
    <t>Primary Sch 021</t>
  </si>
  <si>
    <t>Demand Metered Sch 011</t>
  </si>
  <si>
    <t>Selected Schedule &amp; Class</t>
  </si>
  <si>
    <t>Comm 011</t>
  </si>
  <si>
    <t>Res 012</t>
  </si>
  <si>
    <t>Res 011</t>
  </si>
  <si>
    <t>01221</t>
  </si>
  <si>
    <t>Comm 012</t>
  </si>
  <si>
    <t>Total Sch 011 &amp; Sch 012</t>
  </si>
  <si>
    <t>less: Res &amp; Comm Sch 011 &amp; Sch 012</t>
  </si>
  <si>
    <t>Other Sch 011 &amp; Sch 012</t>
  </si>
  <si>
    <t>Peak Hour Estimate #1</t>
  </si>
  <si>
    <t>Peak Hour Estimate #2</t>
  </si>
  <si>
    <t>ID Other Sch 11</t>
  </si>
  <si>
    <t>01101</t>
  </si>
  <si>
    <t>01121</t>
  </si>
  <si>
    <t>01201</t>
  </si>
  <si>
    <t>Full hour usage is annual billed total divided by hours of darkness</t>
  </si>
  <si>
    <t>Summary by Rate Schedule</t>
  </si>
  <si>
    <t>Summary by Rate Class</t>
  </si>
  <si>
    <t>Res</t>
  </si>
  <si>
    <t>01</t>
  </si>
  <si>
    <t>Theft</t>
  </si>
  <si>
    <t>18</t>
  </si>
  <si>
    <t>Comm</t>
  </si>
  <si>
    <t>21</t>
  </si>
  <si>
    <t>Ind</t>
  </si>
  <si>
    <t>31</t>
  </si>
  <si>
    <t>Pump</t>
  </si>
  <si>
    <t>39</t>
  </si>
  <si>
    <t>Lighting</t>
  </si>
  <si>
    <t>51</t>
  </si>
  <si>
    <t>EnExch</t>
  </si>
  <si>
    <t>61</t>
  </si>
  <si>
    <t>Intdpt</t>
  </si>
  <si>
    <t>80</t>
  </si>
  <si>
    <t>Svc.</t>
  </si>
  <si>
    <t>83</t>
  </si>
  <si>
    <t>Rent</t>
  </si>
  <si>
    <t>85</t>
  </si>
  <si>
    <t>MiscOth</t>
  </si>
  <si>
    <t>86</t>
  </si>
  <si>
    <t>Schedule 25P less PFI generation</t>
  </si>
  <si>
    <t>Shoulder Mo.</t>
  </si>
  <si>
    <t>Winter Mo</t>
  </si>
  <si>
    <t>Durbin Watson</t>
  </si>
  <si>
    <t>test results</t>
  </si>
  <si>
    <t>No Autocorrelation</t>
  </si>
  <si>
    <t>Degree Days on Day of Peak</t>
  </si>
  <si>
    <t>Coincident Peak Calculations</t>
  </si>
  <si>
    <t>Average</t>
  </si>
  <si>
    <t>Washington</t>
  </si>
  <si>
    <t>Schedule 1</t>
  </si>
  <si>
    <t>Schedule 11/12</t>
  </si>
  <si>
    <t>Schedule 25</t>
  </si>
  <si>
    <t>Schedule 31/32</t>
  </si>
  <si>
    <t xml:space="preserve">     Total Washington</t>
  </si>
  <si>
    <t>Idaho</t>
  </si>
  <si>
    <t xml:space="preserve">     Total Idaho</t>
  </si>
  <si>
    <t>monthly kWh consumption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</si>
  <si>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</si>
  <si>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</si>
  <si>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</si>
  <si>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</si>
  <si>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</si>
  <si>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</si>
  <si>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</si>
  <si>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</si>
  <si>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</si>
  <si>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</si>
  <si>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</si>
  <si>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</si>
  <si>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Schedule 21 Primary</t>
  </si>
  <si>
    <t>Estimate 12 Monthly Coincident Peaks</t>
  </si>
  <si>
    <t>Street Lights</t>
  </si>
  <si>
    <t>Area Lights</t>
  </si>
  <si>
    <t>Total</t>
  </si>
  <si>
    <t>System Peak Time</t>
  </si>
  <si>
    <t>Estimated Coincident Peak with Losses</t>
  </si>
  <si>
    <t xml:space="preserve">     Total</t>
  </si>
  <si>
    <t>Adjusted Coincident Peak with Losses</t>
  </si>
  <si>
    <t>12 Month Average</t>
  </si>
  <si>
    <t>Non-Coincident Peak Calculations</t>
  </si>
  <si>
    <t>Non-Coincident Peak</t>
  </si>
  <si>
    <t>Ratio of Non-Coincident Peak kW to Average kW</t>
  </si>
  <si>
    <t>Estimate 12 Monthly Non-Coincident Peaks</t>
  </si>
  <si>
    <t>Estimated Non-Coincident Peak with Losses</t>
  </si>
  <si>
    <t>12 Month</t>
  </si>
  <si>
    <t>Compute Estimated Losses by Voltage Level</t>
  </si>
  <si>
    <t>MWHs</t>
  </si>
  <si>
    <t>Retail Sales</t>
  </si>
  <si>
    <t>Retail Losses</t>
  </si>
  <si>
    <t>Standard Transmission Loss %</t>
  </si>
  <si>
    <t>Remainder Distribution Losses</t>
  </si>
  <si>
    <t>Differentiate Distribution Sales by Voltage</t>
  </si>
  <si>
    <t>Secondary KWHs per Revenue Runs</t>
  </si>
  <si>
    <t>Cumulative MWHs</t>
  </si>
  <si>
    <t>Losses</t>
  </si>
  <si>
    <t>Loss %</t>
  </si>
  <si>
    <t>Schedule 11</t>
  </si>
  <si>
    <t>Schedule 21S</t>
  </si>
  <si>
    <t>Schedule 31</t>
  </si>
  <si>
    <t>Primary KWHs per Revenue Runs</t>
  </si>
  <si>
    <t>Schedule 21P</t>
  </si>
  <si>
    <t>Transmission  KWHs per Revenue Runs</t>
  </si>
  <si>
    <t>Schedule 28T</t>
  </si>
  <si>
    <t>Sum</t>
  </si>
  <si>
    <t>Monday</t>
  </si>
  <si>
    <t>Tuesday</t>
  </si>
  <si>
    <t>Wednesday</t>
  </si>
  <si>
    <t>Thursday</t>
  </si>
  <si>
    <t>Washington Retail Peak</t>
  </si>
  <si>
    <t>Total Washington</t>
  </si>
  <si>
    <t>Total Idaho</t>
  </si>
  <si>
    <t>Washington Retail Total</t>
  </si>
  <si>
    <t>Washington Estimation Error</t>
  </si>
  <si>
    <t>Idaho Estimation Error</t>
  </si>
  <si>
    <t>Total Estimation Error</t>
  </si>
  <si>
    <t>AVISTA UTILITIES</t>
  </si>
  <si>
    <t>Schedule 21/22  Secondary</t>
  </si>
  <si>
    <t>Schedule 21/22 Secondary</t>
  </si>
  <si>
    <t>DDH</t>
  </si>
  <si>
    <t>DDC</t>
  </si>
  <si>
    <t>WA Res Sch 1</t>
  </si>
  <si>
    <t>Peak Day Estimate</t>
  </si>
  <si>
    <t>Number of Cust</t>
  </si>
  <si>
    <t>Baseload/Cust/Mo</t>
  </si>
  <si>
    <t>Usage/DDH/Cust</t>
  </si>
  <si>
    <t>Usage/DDC/Cust</t>
  </si>
  <si>
    <t>Seasonal Profile hourly %</t>
  </si>
  <si>
    <t>Peak Hour Estimate</t>
  </si>
  <si>
    <t>WA Com Sch 11</t>
  </si>
  <si>
    <t>Total WA Sch 11</t>
  </si>
  <si>
    <t>Billed Usage</t>
  </si>
  <si>
    <t>Estimated Daily Usage</t>
  </si>
  <si>
    <t>WA Primary Sch 21</t>
  </si>
  <si>
    <t>WA Total Sch 31</t>
  </si>
  <si>
    <t>ID Res Sch 1</t>
  </si>
  <si>
    <t>ID Res Sch 11</t>
  </si>
  <si>
    <t>ID Com Sch 11</t>
  </si>
  <si>
    <t>Total ID Sch 11</t>
  </si>
  <si>
    <t>ID Primary Sch 21</t>
  </si>
  <si>
    <t>ID Total Sch 31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</si>
  <si>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</si>
  <si>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</si>
  <si>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</si>
  <si>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</si>
  <si>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</si>
  <si>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</si>
  <si>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</si>
  <si>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</si>
  <si>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</si>
  <si>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</si>
  <si>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</si>
  <si>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</si>
  <si>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Notes on Demand Study Process</t>
  </si>
  <si>
    <t>Coincident Peak Calculation Process</t>
  </si>
  <si>
    <t>Estimate Peak Hour Usage for Street and Area Lights</t>
  </si>
  <si>
    <t>Determine Loss Factor by Voltage Level</t>
  </si>
  <si>
    <t>Retail Peak Information</t>
  </si>
  <si>
    <t>For Weather Sensitive Schedule/Classes estimate peak day usage based on weather factors used for weather normalization</t>
  </si>
  <si>
    <t>For Other  Schedule/Classes estimated peak day usage by dividing monthly billed usage by days in month</t>
  </si>
  <si>
    <t>Use specific weekday average for each month to obtain profile days</t>
  </si>
  <si>
    <t>Run Primary Voltage queries to ascertain Primary Schedule 21 subset of billed data</t>
  </si>
  <si>
    <t>Form 1 page 401 retail usage and retail losses indicate overall percentage</t>
  </si>
  <si>
    <t>Segregate by voltage level based on billed usage data</t>
  </si>
  <si>
    <t>From workpapers used to determine production transmission ratio, requires certain adjustments from native load information to get retail only</t>
  </si>
  <si>
    <t>Non-Coincident Peak Calculation Process</t>
  </si>
  <si>
    <t>Estimate Non-Coincident Peaks for Schedules 1, 11, 21, and 31</t>
  </si>
  <si>
    <t>Estimate Non-Coincident Peaks for Street and Area Lights</t>
  </si>
  <si>
    <t>Same as Coincident Peak</t>
  </si>
  <si>
    <t>Determine from Sunrise/Sunset table for Spokane Weather Service Station the proportion of system peak hour occurring after sunset or before sunrise</t>
  </si>
  <si>
    <t>Multiply Full hour usage by Proportion of darkness</t>
  </si>
  <si>
    <t>Determine average kW from current billing information</t>
  </si>
  <si>
    <t>Apply proportion to current average kW</t>
  </si>
  <si>
    <t>025P</t>
  </si>
  <si>
    <t>058A</t>
  </si>
  <si>
    <t>Electric Cost Study</t>
  </si>
  <si>
    <t>Schedule 11/12 demand metered</t>
  </si>
  <si>
    <t>Adj</t>
  </si>
  <si>
    <t>Dependent</t>
  </si>
  <si>
    <t>Usage/Cust</t>
  </si>
  <si>
    <t>Variable</t>
  </si>
  <si>
    <t>Heating</t>
  </si>
  <si>
    <t>Cooling</t>
  </si>
  <si>
    <t>Base Load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</si>
  <si>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</si>
  <si>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</si>
  <si>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</si>
  <si>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</si>
  <si>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</si>
  <si>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</si>
  <si>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</si>
  <si>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</si>
  <si>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</si>
  <si>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</si>
  <si>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</si>
  <si>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</si>
  <si>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</si>
  <si>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</si>
  <si>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</si>
  <si>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</si>
  <si>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</si>
  <si>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</si>
  <si>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</si>
  <si>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</si>
  <si>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</si>
  <si>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</si>
  <si>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</si>
  <si>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</si>
  <si>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Schedule 25 Secondary</t>
  </si>
  <si>
    <t>Schedule 25S</t>
  </si>
  <si>
    <t>Schedule 25T</t>
  </si>
  <si>
    <t>Schedule 11/12 Demand Metered</t>
  </si>
  <si>
    <t>Washington Schedule 25 Billing Determinants</t>
  </si>
  <si>
    <t>Revenue Run Total</t>
  </si>
  <si>
    <t>*</t>
  </si>
  <si>
    <t>WA Other Sec Sch 21</t>
  </si>
  <si>
    <t>Difference</t>
  </si>
  <si>
    <t>Friday</t>
  </si>
  <si>
    <t>P 021</t>
  </si>
  <si>
    <t>January</t>
  </si>
  <si>
    <t>Sunday</t>
  </si>
  <si>
    <t>Saturday</t>
  </si>
  <si>
    <t>Hour</t>
  </si>
  <si>
    <t>WA01</t>
  </si>
  <si>
    <t>WA11</t>
  </si>
  <si>
    <t>WA31</t>
  </si>
  <si>
    <t>ID01</t>
  </si>
  <si>
    <t>ID11</t>
  </si>
  <si>
    <t>ID31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</si>
  <si>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</si>
  <si>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</si>
  <si>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</si>
  <si>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</si>
  <si>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</si>
  <si>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</si>
  <si>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</si>
  <si>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</si>
  <si>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</si>
  <si>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</si>
  <si>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Montana</t>
  </si>
  <si>
    <t>Annual Net Unbilled</t>
  </si>
  <si>
    <t xml:space="preserve">     Idaho Retail Total</t>
  </si>
  <si>
    <t>m.wkdy.h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</si>
  <si>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</si>
  <si>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</si>
  <si>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</si>
  <si>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</si>
  <si>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</si>
  <si>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</si>
  <si>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</si>
  <si>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</si>
  <si>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</si>
  <si>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</si>
  <si>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</si>
  <si>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</si>
  <si>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</si>
  <si>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</si>
  <si>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</si>
  <si>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</si>
  <si>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</si>
  <si>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</si>
  <si>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</si>
  <si>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</si>
  <si>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</si>
  <si>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</si>
  <si>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</si>
  <si>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</si>
  <si>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</si>
  <si>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</si>
  <si>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</si>
  <si>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</si>
  <si>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</si>
  <si>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</si>
  <si>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</si>
  <si>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</si>
  <si>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</si>
  <si>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</si>
  <si>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</si>
  <si>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</si>
  <si>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</si>
  <si>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</si>
  <si>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</si>
  <si>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</si>
  <si>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</si>
  <si>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</si>
  <si>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</si>
  <si>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</si>
  <si>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</si>
  <si>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</si>
  <si>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</si>
  <si>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</si>
  <si>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</si>
  <si>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</si>
  <si>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</si>
  <si>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</si>
  <si>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</si>
  <si>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</si>
  <si>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</si>
  <si>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</si>
  <si>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</si>
  <si>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</si>
  <si>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</si>
  <si>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</si>
  <si>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</si>
  <si>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</si>
  <si>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</si>
  <si>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</si>
  <si>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</si>
  <si>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</si>
  <si>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</si>
  <si>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</si>
  <si>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</si>
  <si>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</si>
  <si>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</si>
  <si>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</si>
  <si>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</si>
  <si>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</si>
  <si>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</si>
  <si>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</si>
  <si>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</si>
  <si>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</si>
  <si>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</si>
  <si>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</si>
  <si>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</si>
  <si>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</si>
  <si>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</si>
  <si>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</si>
  <si>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</si>
  <si>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</si>
  <si>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</si>
  <si>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</si>
  <si>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</si>
  <si>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</si>
  <si>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</si>
  <si>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</si>
  <si>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</si>
  <si>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</si>
  <si>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</si>
  <si>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</si>
  <si>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</si>
  <si>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</si>
  <si>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</si>
  <si>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</si>
  <si>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</si>
  <si>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</si>
  <si>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</si>
  <si>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</si>
  <si>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</si>
  <si>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</si>
  <si>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</si>
  <si>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</si>
  <si>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</si>
  <si>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</si>
  <si>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</si>
  <si>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</si>
  <si>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</si>
  <si>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</si>
  <si>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</si>
  <si>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</si>
  <si>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</si>
  <si>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</si>
  <si>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</si>
  <si>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</si>
  <si>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</si>
  <si>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</si>
  <si>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</si>
  <si>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</si>
  <si>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</si>
  <si>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</si>
  <si>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</si>
  <si>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</si>
  <si>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</si>
  <si>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</si>
  <si>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</si>
  <si>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</si>
  <si>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</si>
  <si>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</si>
  <si>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</si>
  <si>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</si>
  <si>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</si>
  <si>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</si>
  <si>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</si>
  <si>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</si>
  <si>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</si>
  <si>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</si>
  <si>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</si>
  <si>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</si>
  <si>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</si>
  <si>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</si>
  <si>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</si>
  <si>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</si>
  <si>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</si>
  <si>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</si>
  <si>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</si>
  <si>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</si>
  <si>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</si>
  <si>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</si>
  <si>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</si>
  <si>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</si>
  <si>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</si>
  <si>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</si>
  <si>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</si>
  <si>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</si>
  <si>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</si>
  <si>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</si>
  <si>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</si>
  <si>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</si>
  <si>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</si>
  <si>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</si>
  <si>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</si>
  <si>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1.7.24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</si>
  <si>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</si>
  <si>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</si>
  <si>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</si>
  <si>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</si>
  <si>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</si>
  <si>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</si>
  <si>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</si>
  <si>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</si>
  <si>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</si>
  <si>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</si>
  <si>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</si>
  <si>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</si>
  <si>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</si>
  <si>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</si>
  <si>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</si>
  <si>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</si>
  <si>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</si>
  <si>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</si>
  <si>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</si>
  <si>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</si>
  <si>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</si>
  <si>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</si>
  <si>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</si>
  <si>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</si>
  <si>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2.2.1</t>
  </si>
  <si>
    <t>2.2.2</t>
  </si>
  <si>
    <t>2.2.3</t>
  </si>
  <si>
    <t>2.2.4</t>
  </si>
  <si>
    <t>FERC Form 1 Page 401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</si>
  <si>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</si>
  <si>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</si>
  <si>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</si>
  <si>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</si>
  <si>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</si>
  <si>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</si>
  <si>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</si>
  <si>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</si>
  <si>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</si>
  <si>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</si>
  <si>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</si>
  <si>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</si>
  <si>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</si>
  <si>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</si>
  <si>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</si>
  <si>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</si>
  <si>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</si>
  <si>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</si>
  <si>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</si>
  <si>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</si>
  <si>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</si>
  <si>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</si>
  <si>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</si>
  <si>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</si>
  <si>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</si>
  <si>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</si>
  <si>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</si>
  <si>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</si>
  <si>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</si>
  <si>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</si>
  <si>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</si>
  <si>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</si>
  <si>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</si>
  <si>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</si>
  <si>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</si>
  <si>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</si>
  <si>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</si>
  <si>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</si>
  <si>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</si>
  <si>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</si>
  <si>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</si>
  <si>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</si>
  <si>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</si>
  <si>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</si>
  <si>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</si>
  <si>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</si>
  <si>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</si>
  <si>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</si>
  <si>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</si>
  <si>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</si>
  <si>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</si>
  <si>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</si>
  <si>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</si>
  <si>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</si>
  <si>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</si>
  <si>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</si>
  <si>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</si>
  <si>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</si>
  <si>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</si>
  <si>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</si>
  <si>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</si>
  <si>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</si>
  <si>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</si>
  <si>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</si>
  <si>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</si>
  <si>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</si>
  <si>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2.4.23</t>
  </si>
  <si>
    <t>2.4.24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</si>
  <si>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</si>
  <si>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</si>
  <si>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</si>
  <si>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</si>
  <si>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</si>
  <si>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</si>
  <si>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</si>
  <si>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</si>
  <si>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</si>
  <si>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</si>
  <si>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</si>
  <si>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</si>
  <si>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</si>
  <si>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</si>
  <si>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</si>
  <si>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</si>
  <si>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</si>
  <si>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</si>
  <si>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</si>
  <si>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</si>
  <si>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</si>
  <si>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2.5.22</t>
  </si>
  <si>
    <t>2.5.23</t>
  </si>
  <si>
    <t>2.5.24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</si>
  <si>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</si>
  <si>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</si>
  <si>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</si>
  <si>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</si>
  <si>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</si>
  <si>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</si>
  <si>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</si>
  <si>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</si>
  <si>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</si>
  <si>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</si>
  <si>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</si>
  <si>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</t>
  </si>
  <si>
    <t>2.6.13</t>
  </si>
  <si>
    <t>2.6.14</t>
  </si>
  <si>
    <t>2.6.15</t>
  </si>
  <si>
    <t>2.6.16</t>
  </si>
  <si>
    <t>2.6.17</t>
  </si>
  <si>
    <t>2.6.18</t>
  </si>
  <si>
    <t>2.6.19</t>
  </si>
  <si>
    <t>2.6.20</t>
  </si>
  <si>
    <t>2.6.21</t>
  </si>
  <si>
    <t>2.6.22</t>
  </si>
  <si>
    <t>2.6.23</t>
  </si>
  <si>
    <t>2.6.24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</si>
  <si>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</si>
  <si>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</si>
  <si>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</si>
  <si>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</si>
  <si>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</si>
  <si>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</si>
  <si>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</si>
  <si>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</si>
  <si>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</si>
  <si>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2.7.10</t>
  </si>
  <si>
    <t>2.7.11</t>
  </si>
  <si>
    <t>2.7.12</t>
  </si>
  <si>
    <t>2.7.13</t>
  </si>
  <si>
    <t>2.7.14</t>
  </si>
  <si>
    <t>2.7.15</t>
  </si>
  <si>
    <t>2.7.16</t>
  </si>
  <si>
    <t>2.7.17</t>
  </si>
  <si>
    <t>2.7.18</t>
  </si>
  <si>
    <t>2.7.19</t>
  </si>
  <si>
    <t>2.7.20</t>
  </si>
  <si>
    <t>2.7.21</t>
  </si>
  <si>
    <t>2.7.22</t>
  </si>
  <si>
    <t>2.7.23</t>
  </si>
  <si>
    <t>2.7.24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</si>
  <si>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</si>
  <si>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</si>
  <si>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</si>
  <si>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</si>
  <si>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</si>
  <si>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</si>
  <si>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</si>
  <si>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</si>
  <si>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</si>
  <si>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</si>
  <si>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</si>
  <si>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</si>
  <si>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</si>
  <si>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</si>
  <si>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</si>
  <si>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</si>
  <si>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</si>
  <si>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</si>
  <si>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</si>
  <si>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</si>
  <si>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</si>
  <si>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</si>
  <si>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</si>
  <si>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</si>
  <si>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</si>
  <si>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</si>
  <si>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</si>
  <si>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</si>
  <si>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</si>
  <si>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</si>
  <si>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</si>
  <si>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</si>
  <si>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</si>
  <si>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</si>
  <si>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</si>
  <si>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</si>
  <si>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</si>
  <si>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</si>
  <si>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</si>
  <si>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</si>
  <si>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</si>
  <si>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</si>
  <si>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</si>
  <si>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</si>
  <si>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</si>
  <si>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</si>
  <si>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</si>
  <si>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</si>
  <si>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</si>
  <si>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</si>
  <si>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</si>
  <si>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</si>
  <si>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</si>
  <si>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</si>
  <si>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</si>
  <si>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</si>
  <si>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</si>
  <si>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</si>
  <si>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</si>
  <si>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</si>
  <si>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</si>
  <si>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</si>
  <si>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</si>
  <si>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</si>
  <si>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</si>
  <si>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</si>
  <si>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</si>
  <si>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</si>
  <si>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</si>
  <si>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</si>
  <si>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</si>
  <si>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</si>
  <si>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</si>
  <si>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</si>
  <si>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</si>
  <si>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</si>
  <si>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</si>
  <si>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</si>
  <si>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</si>
  <si>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</si>
  <si>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</si>
  <si>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</si>
  <si>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</si>
  <si>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</si>
  <si>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</si>
  <si>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</si>
  <si>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</si>
  <si>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</si>
  <si>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</si>
  <si>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</si>
  <si>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</si>
  <si>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</si>
  <si>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</si>
  <si>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3.4.22</t>
  </si>
  <si>
    <t>3.4.23</t>
  </si>
  <si>
    <t>3.4.24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</si>
  <si>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</si>
  <si>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</si>
  <si>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</si>
  <si>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</si>
  <si>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</si>
  <si>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</si>
  <si>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</si>
  <si>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</si>
  <si>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</si>
  <si>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</si>
  <si>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</si>
  <si>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</si>
  <si>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</si>
  <si>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</si>
  <si>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</si>
  <si>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</si>
  <si>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</si>
  <si>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3.5.18</t>
  </si>
  <si>
    <t>3.5.19</t>
  </si>
  <si>
    <t>3.5.20</t>
  </si>
  <si>
    <t>3.5.21</t>
  </si>
  <si>
    <t>3.5.22</t>
  </si>
  <si>
    <t>3.5.23</t>
  </si>
  <si>
    <t>3.5.24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</si>
  <si>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</si>
  <si>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</si>
  <si>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</si>
  <si>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</si>
  <si>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</si>
  <si>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</si>
  <si>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</si>
  <si>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</si>
  <si>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</si>
  <si>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</si>
  <si>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</si>
  <si>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</si>
  <si>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</si>
  <si>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</si>
  <si>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</si>
  <si>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</si>
  <si>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</si>
  <si>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</si>
  <si>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</si>
  <si>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</si>
  <si>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</si>
  <si>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</si>
  <si>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</si>
  <si>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3.6.24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</si>
  <si>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</si>
  <si>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</si>
  <si>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</si>
  <si>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</si>
  <si>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</si>
  <si>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</si>
  <si>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</si>
  <si>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</si>
  <si>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</si>
  <si>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</si>
  <si>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</si>
  <si>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</si>
  <si>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</si>
  <si>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</si>
  <si>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</si>
  <si>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</si>
  <si>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</si>
  <si>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</si>
  <si>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3.7.19</t>
  </si>
  <si>
    <t>3.7.20</t>
  </si>
  <si>
    <t>3.7.21</t>
  </si>
  <si>
    <t>3.7.22</t>
  </si>
  <si>
    <t>3.7.23</t>
  </si>
  <si>
    <t>3.7.24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</si>
  <si>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</si>
  <si>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</si>
  <si>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</si>
  <si>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</si>
  <si>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</si>
  <si>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</si>
  <si>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</si>
  <si>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</si>
  <si>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</si>
  <si>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</si>
  <si>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</si>
  <si>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</si>
  <si>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</si>
  <si>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</si>
  <si>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</si>
  <si>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</si>
  <si>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</si>
  <si>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</si>
  <si>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</si>
  <si>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</si>
  <si>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</si>
  <si>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</si>
  <si>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</si>
  <si>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</si>
  <si>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</si>
  <si>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</si>
  <si>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</si>
  <si>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</si>
  <si>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</si>
  <si>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</si>
  <si>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</si>
  <si>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</si>
  <si>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</si>
  <si>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</si>
  <si>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</si>
  <si>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</si>
  <si>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</si>
  <si>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</si>
  <si>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</si>
  <si>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</si>
  <si>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</si>
  <si>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</si>
  <si>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</si>
  <si>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</si>
  <si>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</si>
  <si>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</si>
  <si>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</si>
  <si>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</si>
  <si>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</si>
  <si>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</si>
  <si>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</si>
  <si>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</si>
  <si>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</si>
  <si>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</si>
  <si>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</si>
  <si>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</si>
  <si>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</si>
  <si>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</si>
  <si>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</si>
  <si>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</si>
  <si>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</si>
  <si>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</si>
  <si>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</si>
  <si>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</si>
  <si>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</si>
  <si>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</si>
  <si>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</si>
  <si>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</si>
  <si>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</si>
  <si>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</si>
  <si>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</si>
  <si>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</si>
  <si>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</si>
  <si>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</si>
  <si>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</si>
  <si>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</si>
  <si>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</si>
  <si>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</si>
  <si>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</si>
  <si>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</si>
  <si>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</si>
  <si>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</si>
  <si>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</si>
  <si>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</si>
  <si>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</si>
  <si>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</si>
  <si>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</si>
  <si>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</si>
  <si>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</si>
  <si>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</si>
  <si>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</si>
  <si>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</si>
  <si>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</si>
  <si>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</si>
  <si>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</si>
  <si>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</si>
  <si>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</si>
  <si>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</si>
  <si>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</si>
  <si>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</si>
  <si>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</si>
  <si>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</si>
  <si>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</si>
  <si>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</si>
  <si>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</si>
  <si>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</si>
  <si>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</si>
  <si>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</si>
  <si>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</si>
  <si>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</si>
  <si>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</si>
  <si>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</si>
  <si>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</si>
  <si>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</si>
  <si>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</si>
  <si>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</si>
  <si>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</si>
  <si>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</si>
  <si>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</si>
  <si>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</si>
  <si>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</si>
  <si>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</si>
  <si>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</si>
  <si>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</si>
  <si>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</si>
  <si>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</si>
  <si>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</si>
  <si>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</si>
  <si>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</si>
  <si>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</si>
  <si>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</si>
  <si>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</si>
  <si>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</si>
  <si>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</si>
  <si>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</si>
  <si>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</si>
  <si>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</si>
  <si>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</si>
  <si>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</si>
  <si>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</si>
  <si>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</si>
  <si>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</si>
  <si>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</si>
  <si>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</si>
  <si>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</si>
  <si>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</si>
  <si>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</si>
  <si>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</si>
  <si>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</si>
  <si>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</si>
  <si>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</si>
  <si>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</si>
  <si>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</si>
  <si>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</si>
  <si>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</si>
  <si>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</si>
  <si>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</si>
  <si>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</si>
  <si>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</si>
  <si>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</si>
  <si>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</si>
  <si>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</si>
  <si>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</si>
  <si>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</si>
  <si>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</si>
  <si>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</si>
  <si>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</si>
  <si>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</si>
  <si>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5.1.1</t>
  </si>
  <si>
    <t>Primary Voltage Proportion of Total Schedule 21/22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</si>
  <si>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</si>
  <si>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</si>
  <si>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</si>
  <si>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</si>
  <si>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</si>
  <si>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</si>
  <si>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</si>
  <si>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</si>
  <si>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</si>
  <si>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</si>
  <si>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</si>
  <si>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</si>
  <si>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</si>
  <si>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</si>
  <si>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</si>
  <si>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</si>
  <si>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</si>
  <si>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</si>
  <si>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</si>
  <si>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</si>
  <si>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</si>
  <si>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</si>
  <si>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</si>
  <si>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</si>
  <si>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</si>
  <si>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</si>
  <si>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</si>
  <si>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</si>
  <si>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</si>
  <si>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</si>
  <si>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</si>
  <si>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</si>
  <si>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</si>
  <si>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</si>
  <si>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</si>
  <si>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</si>
  <si>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</si>
  <si>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</si>
  <si>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</si>
  <si>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</si>
  <si>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</si>
  <si>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</si>
  <si>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</si>
  <si>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</si>
  <si>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</si>
  <si>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</si>
  <si>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</si>
  <si>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</si>
  <si>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</si>
  <si>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</si>
  <si>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</si>
  <si>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</si>
  <si>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</si>
  <si>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</si>
  <si>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</si>
  <si>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</si>
  <si>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</si>
  <si>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</si>
  <si>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</si>
  <si>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</si>
  <si>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</si>
  <si>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</si>
  <si>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</si>
  <si>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</si>
  <si>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</si>
  <si>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</si>
  <si>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</si>
  <si>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</si>
  <si>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</si>
  <si>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</si>
  <si>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</si>
  <si>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</si>
  <si>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</si>
  <si>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</si>
  <si>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</si>
  <si>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</si>
  <si>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</si>
  <si>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</si>
  <si>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</si>
  <si>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</si>
  <si>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</si>
  <si>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</si>
  <si>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</si>
  <si>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</si>
  <si>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</si>
  <si>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</si>
  <si>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</si>
  <si>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</si>
  <si>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</si>
  <si>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</si>
  <si>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</si>
  <si>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</si>
  <si>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</si>
  <si>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</si>
  <si>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</si>
  <si>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</si>
  <si>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</si>
  <si>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</si>
  <si>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</si>
  <si>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</si>
  <si>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</si>
  <si>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</si>
  <si>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</si>
  <si>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</si>
  <si>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</si>
  <si>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</si>
  <si>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</si>
  <si>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</si>
  <si>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</si>
  <si>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</si>
  <si>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</si>
  <si>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>5.5.17</t>
  </si>
  <si>
    <t>5.5.18</t>
  </si>
  <si>
    <t>5.5.19</t>
  </si>
  <si>
    <t>5.5.20</t>
  </si>
  <si>
    <t>5.5.21</t>
  </si>
  <si>
    <t>5.5.22</t>
  </si>
  <si>
    <t>5.5.23</t>
  </si>
  <si>
    <t>5.5.24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</si>
  <si>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</si>
  <si>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</si>
  <si>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</si>
  <si>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</si>
  <si>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</si>
  <si>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</si>
  <si>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</si>
  <si>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</si>
  <si>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</si>
  <si>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</si>
  <si>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5.6.11</t>
  </si>
  <si>
    <t>5.6.12</t>
  </si>
  <si>
    <t>5.6.13</t>
  </si>
  <si>
    <t>5.6.14</t>
  </si>
  <si>
    <t>5.6.15</t>
  </si>
  <si>
    <t>5.6.16</t>
  </si>
  <si>
    <t>5.6.17</t>
  </si>
  <si>
    <t>5.6.18</t>
  </si>
  <si>
    <t>5.6.19</t>
  </si>
  <si>
    <t>5.6.20</t>
  </si>
  <si>
    <t>5.6.21</t>
  </si>
  <si>
    <t>5.6.22</t>
  </si>
  <si>
    <t>5.6.23</t>
  </si>
  <si>
    <t>5.6.24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</si>
  <si>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</si>
  <si>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</si>
  <si>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</si>
  <si>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</si>
  <si>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</si>
  <si>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</si>
  <si>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</si>
  <si>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</si>
  <si>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5.7.9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</si>
  <si>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</si>
  <si>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</si>
  <si>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</si>
  <si>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</si>
  <si>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</si>
  <si>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</si>
  <si>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</si>
  <si>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</si>
  <si>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</si>
  <si>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</si>
  <si>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</si>
  <si>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5.7.21</t>
  </si>
  <si>
    <t>5.7.22</t>
  </si>
  <si>
    <t>5.7.23</t>
  </si>
  <si>
    <t>5.7.24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</si>
  <si>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</si>
  <si>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</si>
  <si>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</si>
  <si>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</si>
  <si>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</si>
  <si>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</si>
  <si>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</si>
  <si>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</si>
  <si>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</si>
  <si>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</si>
  <si>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</si>
  <si>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</si>
  <si>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</si>
  <si>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</si>
  <si>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</si>
  <si>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</si>
  <si>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</si>
  <si>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</si>
  <si>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</si>
  <si>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</si>
  <si>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</si>
  <si>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</si>
  <si>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</si>
  <si>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</si>
  <si>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</si>
  <si>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</si>
  <si>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</si>
  <si>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</si>
  <si>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</si>
  <si>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</si>
  <si>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</si>
  <si>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</si>
  <si>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</si>
  <si>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</si>
  <si>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</si>
  <si>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</si>
  <si>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</si>
  <si>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</si>
  <si>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</si>
  <si>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</si>
  <si>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</si>
  <si>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</si>
  <si>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</si>
  <si>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</si>
  <si>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</si>
  <si>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</si>
  <si>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</si>
  <si>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</si>
  <si>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</si>
  <si>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</si>
  <si>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</si>
  <si>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</si>
  <si>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</si>
  <si>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</si>
  <si>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</si>
  <si>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</si>
  <si>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</si>
  <si>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</si>
  <si>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</si>
  <si>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</si>
  <si>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</si>
  <si>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</si>
  <si>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</si>
  <si>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</si>
  <si>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</si>
  <si>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</si>
  <si>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</si>
  <si>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</si>
  <si>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</si>
  <si>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</si>
  <si>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</si>
  <si>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</si>
  <si>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</si>
  <si>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</si>
  <si>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</si>
  <si>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</si>
  <si>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</si>
  <si>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</si>
  <si>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</si>
  <si>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</si>
  <si>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</si>
  <si>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</si>
  <si>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</si>
  <si>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</si>
  <si>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</si>
  <si>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</si>
  <si>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</si>
  <si>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</si>
  <si>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</si>
  <si>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</si>
  <si>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</si>
  <si>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</si>
  <si>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</si>
  <si>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</si>
  <si>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</si>
  <si>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</si>
  <si>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</si>
  <si>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</si>
  <si>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</si>
  <si>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</si>
  <si>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</si>
  <si>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</si>
  <si>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</si>
  <si>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</si>
  <si>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</si>
  <si>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</si>
  <si>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</si>
  <si>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</si>
  <si>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</si>
  <si>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</si>
  <si>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</si>
  <si>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</si>
  <si>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</si>
  <si>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</si>
  <si>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</si>
  <si>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</si>
  <si>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</si>
  <si>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</si>
  <si>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</si>
  <si>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</si>
  <si>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</si>
  <si>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</si>
  <si>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</si>
  <si>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</si>
  <si>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</si>
  <si>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</si>
  <si>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</si>
  <si>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</si>
  <si>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</si>
  <si>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</si>
  <si>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</si>
  <si>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6.6.12</t>
  </si>
  <si>
    <t>6.6.13</t>
  </si>
  <si>
    <t>6.6.14</t>
  </si>
  <si>
    <t>6.6.15</t>
  </si>
  <si>
    <t>6.6.16</t>
  </si>
  <si>
    <t>6.6.17</t>
  </si>
  <si>
    <t>6.6.18</t>
  </si>
  <si>
    <t>6.6.19</t>
  </si>
  <si>
    <t>6.6.20</t>
  </si>
  <si>
    <t>6.6.21</t>
  </si>
  <si>
    <t>6.6.22</t>
  </si>
  <si>
    <t>6.6.23</t>
  </si>
  <si>
    <t>6.6.24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</si>
  <si>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</si>
  <si>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</si>
  <si>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</si>
  <si>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</si>
  <si>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</si>
  <si>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</si>
  <si>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</si>
  <si>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</si>
  <si>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</si>
  <si>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</si>
  <si>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</si>
  <si>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</si>
  <si>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</si>
  <si>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</si>
  <si>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</si>
  <si>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</si>
  <si>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</si>
  <si>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</si>
  <si>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</si>
  <si>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6.7.20</t>
  </si>
  <si>
    <t>6.7.21</t>
  </si>
  <si>
    <t>6.7.22</t>
  </si>
  <si>
    <t>6.7.23</t>
  </si>
  <si>
    <t>6.7.24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</si>
  <si>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</si>
  <si>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</si>
  <si>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</si>
  <si>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</si>
  <si>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</si>
  <si>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</si>
  <si>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</si>
  <si>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</si>
  <si>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</si>
  <si>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</si>
  <si>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</si>
  <si>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</si>
  <si>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</si>
  <si>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</si>
  <si>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</si>
  <si>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</si>
  <si>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</si>
  <si>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</si>
  <si>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</si>
  <si>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</si>
  <si>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</si>
  <si>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</si>
  <si>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</si>
  <si>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</si>
  <si>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</si>
  <si>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</si>
  <si>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</si>
  <si>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</si>
  <si>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</si>
  <si>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</si>
  <si>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</si>
  <si>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</si>
  <si>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</si>
  <si>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</si>
  <si>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</si>
  <si>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</si>
  <si>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</si>
  <si>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</si>
  <si>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</si>
  <si>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</si>
  <si>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</si>
  <si>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</si>
  <si>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</si>
  <si>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</si>
  <si>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</si>
  <si>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</si>
  <si>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</si>
  <si>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</si>
  <si>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</si>
  <si>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</si>
  <si>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</si>
  <si>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</si>
  <si>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</si>
  <si>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</si>
  <si>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</si>
  <si>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</si>
  <si>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</si>
  <si>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</si>
  <si>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</si>
  <si>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</si>
  <si>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</si>
  <si>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</si>
  <si>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</si>
  <si>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</si>
  <si>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</si>
  <si>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</si>
  <si>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</si>
  <si>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</si>
  <si>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7.3.21</t>
  </si>
  <si>
    <t>7.3.22</t>
  </si>
  <si>
    <t>7.3.23</t>
  </si>
  <si>
    <t>7.3.24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</si>
  <si>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</si>
  <si>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</si>
  <si>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</si>
  <si>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</si>
  <si>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</si>
  <si>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</si>
  <si>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</si>
  <si>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</si>
  <si>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</si>
  <si>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</si>
  <si>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</si>
  <si>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</si>
  <si>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</si>
  <si>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</si>
  <si>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</si>
  <si>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</si>
  <si>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</si>
  <si>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</si>
  <si>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</si>
  <si>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</si>
  <si>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</si>
  <si>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7.4.22</t>
  </si>
  <si>
    <t>7.4.23</t>
  </si>
  <si>
    <t>7.4.24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</si>
  <si>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</si>
  <si>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</si>
  <si>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</si>
  <si>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</si>
  <si>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</si>
  <si>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</si>
  <si>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</si>
  <si>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</si>
  <si>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</si>
  <si>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</si>
  <si>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</si>
  <si>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</si>
  <si>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</si>
  <si>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</si>
  <si>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</si>
  <si>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</si>
  <si>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</si>
  <si>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</si>
  <si>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</si>
  <si>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7.5.20</t>
  </si>
  <si>
    <t>7.5.21</t>
  </si>
  <si>
    <t>7.5.22</t>
  </si>
  <si>
    <t>7.5.23</t>
  </si>
  <si>
    <t>7.5.24</t>
  </si>
  <si>
    <t>7.6.1</t>
  </si>
  <si>
    <t>7.6.2</t>
  </si>
  <si>
    <t>7.6.3</t>
  </si>
  <si>
    <t>7.6.4</t>
  </si>
  <si>
    <t>7.6.5</t>
  </si>
  <si>
    <t>7.6.6</t>
  </si>
  <si>
    <t>7.6.7</t>
  </si>
  <si>
    <t>7.6.8</t>
  </si>
  <si>
    <t>7.6.9</t>
  </si>
  <si>
    <t>7.6.10</t>
  </si>
  <si>
    <t>7.6.11</t>
  </si>
  <si>
    <t>7.6.12</t>
  </si>
  <si>
    <t>7.6.13</t>
  </si>
  <si>
    <t>7.6.14</t>
  </si>
  <si>
    <t>7.6.15</t>
  </si>
  <si>
    <t>7.6.16</t>
  </si>
  <si>
    <t>7.6.17</t>
  </si>
  <si>
    <t>7.6.18</t>
  </si>
  <si>
    <t>7.6.19</t>
  </si>
  <si>
    <t>7.6.20</t>
  </si>
  <si>
    <t>7.6.21</t>
  </si>
  <si>
    <t>7.6.22</t>
  </si>
  <si>
    <t>7.6.23</t>
  </si>
  <si>
    <t>7.6.24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</si>
  <si>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</si>
  <si>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</si>
  <si>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</si>
  <si>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</si>
  <si>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</si>
  <si>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</si>
  <si>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</si>
  <si>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</si>
  <si>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</si>
  <si>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</si>
  <si>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</si>
  <si>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7.7.12</t>
  </si>
  <si>
    <t>7.7.13</t>
  </si>
  <si>
    <t>7.7.14</t>
  </si>
  <si>
    <t>7.7.15</t>
  </si>
  <si>
    <t>7.7.16</t>
  </si>
  <si>
    <t>7.7.17</t>
  </si>
  <si>
    <t>7.7.18</t>
  </si>
  <si>
    <t>7.7.19</t>
  </si>
  <si>
    <t>7.7.20</t>
  </si>
  <si>
    <t>7.7.21</t>
  </si>
  <si>
    <t>7.7.22</t>
  </si>
  <si>
    <t>7.7.23</t>
  </si>
  <si>
    <t>7.7.24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</si>
  <si>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</si>
  <si>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</si>
  <si>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</si>
  <si>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</si>
  <si>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</si>
  <si>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</si>
  <si>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</si>
  <si>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</si>
  <si>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</si>
  <si>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</si>
  <si>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</si>
  <si>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</si>
  <si>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</si>
  <si>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</si>
  <si>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</si>
  <si>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</si>
  <si>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</si>
  <si>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</si>
  <si>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</si>
  <si>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</si>
  <si>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</si>
  <si>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</si>
  <si>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</si>
  <si>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</si>
  <si>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</si>
  <si>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</si>
  <si>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</si>
  <si>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</si>
  <si>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</si>
  <si>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</si>
  <si>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</si>
  <si>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</si>
  <si>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</si>
  <si>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</si>
  <si>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</si>
  <si>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</si>
  <si>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</si>
  <si>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</si>
  <si>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</si>
  <si>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</si>
  <si>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</si>
  <si>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8.2.18</t>
  </si>
  <si>
    <t>8.2.19</t>
  </si>
  <si>
    <t>8.2.20</t>
  </si>
  <si>
    <t>8.2.21</t>
  </si>
  <si>
    <t>8.2.22</t>
  </si>
  <si>
    <t>8.2.23</t>
  </si>
  <si>
    <t>8.2.24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</si>
  <si>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</si>
  <si>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</si>
  <si>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</si>
  <si>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</si>
  <si>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</si>
  <si>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</si>
  <si>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</si>
  <si>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</si>
  <si>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</si>
  <si>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</si>
  <si>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</si>
  <si>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</si>
  <si>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</si>
  <si>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</si>
  <si>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</si>
  <si>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8.3.16</t>
  </si>
  <si>
    <t>8.3.17</t>
  </si>
  <si>
    <t>8.3.18</t>
  </si>
  <si>
    <t>8.3.19</t>
  </si>
  <si>
    <t>8.3.20</t>
  </si>
  <si>
    <t>8.3.21</t>
  </si>
  <si>
    <t>8.3.22</t>
  </si>
  <si>
    <t>8.3.23</t>
  </si>
  <si>
    <t>8.3.24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</si>
  <si>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</si>
  <si>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</si>
  <si>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</si>
  <si>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</si>
  <si>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</si>
  <si>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</si>
  <si>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</si>
  <si>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</si>
  <si>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</si>
  <si>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</si>
  <si>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</si>
  <si>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</si>
  <si>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</si>
  <si>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</si>
  <si>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</si>
  <si>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</si>
  <si>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8.4.17</t>
  </si>
  <si>
    <t>8.4.18</t>
  </si>
  <si>
    <t>8.4.19</t>
  </si>
  <si>
    <t>8.4.20</t>
  </si>
  <si>
    <t>8.4.21</t>
  </si>
  <si>
    <t>8.4.22</t>
  </si>
  <si>
    <t>8.4.23</t>
  </si>
  <si>
    <t>8.4.24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</si>
  <si>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</si>
  <si>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</si>
  <si>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</si>
  <si>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</si>
  <si>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</si>
  <si>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</si>
  <si>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</si>
  <si>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</si>
  <si>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</si>
  <si>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</si>
  <si>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</si>
  <si>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</si>
  <si>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</si>
  <si>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</si>
  <si>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8.5.15</t>
  </si>
  <si>
    <t>8.5.16</t>
  </si>
  <si>
    <t>8.5.17</t>
  </si>
  <si>
    <t>8.5.18</t>
  </si>
  <si>
    <t>8.5.19</t>
  </si>
  <si>
    <t>8.5.20</t>
  </si>
  <si>
    <t>8.5.21</t>
  </si>
  <si>
    <t>8.5.22</t>
  </si>
  <si>
    <t>8.5.23</t>
  </si>
  <si>
    <t>8.5.24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</si>
  <si>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</si>
  <si>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</si>
  <si>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</si>
  <si>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</si>
  <si>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</si>
  <si>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</si>
  <si>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</si>
  <si>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</si>
  <si>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</si>
  <si>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8.6.10</t>
  </si>
  <si>
    <t>8.6.11</t>
  </si>
  <si>
    <t>8.6.12</t>
  </si>
  <si>
    <t>8.6.13</t>
  </si>
  <si>
    <t>8.6.14</t>
  </si>
  <si>
    <t>8.6.15</t>
  </si>
  <si>
    <t>8.6.16</t>
  </si>
  <si>
    <t>8.6.17</t>
  </si>
  <si>
    <t>8.6.18</t>
  </si>
  <si>
    <t>8.6.19</t>
  </si>
  <si>
    <t>8.6.20</t>
  </si>
  <si>
    <t>8.6.21</t>
  </si>
  <si>
    <t>8.6.22</t>
  </si>
  <si>
    <t>8.6.23</t>
  </si>
  <si>
    <t>8.6.24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</si>
  <si>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</si>
  <si>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</si>
  <si>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</si>
  <si>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</si>
  <si>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</si>
  <si>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</si>
  <si>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</si>
  <si>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</si>
  <si>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</si>
  <si>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</si>
  <si>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</si>
  <si>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8.7.12</t>
  </si>
  <si>
    <t>8.7.13</t>
  </si>
  <si>
    <t>8.7.14</t>
  </si>
  <si>
    <t>8.7.15</t>
  </si>
  <si>
    <t>8.7.16</t>
  </si>
  <si>
    <t>8.7.17</t>
  </si>
  <si>
    <t>8.7.18</t>
  </si>
  <si>
    <t>8.7.19</t>
  </si>
  <si>
    <t>8.7.20</t>
  </si>
  <si>
    <t>8.7.21</t>
  </si>
  <si>
    <t>8.7.22</t>
  </si>
  <si>
    <t>8.7.23</t>
  </si>
  <si>
    <t>8.7.24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</si>
  <si>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</si>
  <si>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</si>
  <si>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</si>
  <si>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</si>
  <si>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</si>
  <si>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</si>
  <si>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</si>
  <si>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</si>
  <si>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</si>
  <si>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</si>
  <si>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</si>
  <si>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</si>
  <si>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</si>
  <si>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</si>
  <si>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</si>
  <si>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</si>
  <si>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</si>
  <si>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</si>
  <si>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</si>
  <si>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</si>
  <si>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</si>
  <si>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</si>
  <si>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</si>
  <si>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</si>
  <si>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</si>
  <si>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</si>
  <si>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</si>
  <si>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</si>
  <si>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</si>
  <si>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</si>
  <si>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</si>
  <si>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</si>
  <si>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</si>
  <si>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</si>
  <si>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</si>
  <si>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</si>
  <si>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</si>
  <si>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</si>
  <si>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</si>
  <si>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</si>
  <si>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</si>
  <si>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</si>
  <si>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</si>
  <si>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</si>
  <si>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</si>
  <si>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</si>
  <si>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</si>
  <si>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</si>
  <si>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</si>
  <si>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</si>
  <si>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</si>
  <si>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</si>
  <si>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</si>
  <si>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</si>
  <si>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</si>
  <si>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</si>
  <si>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</si>
  <si>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</si>
  <si>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</si>
  <si>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</si>
  <si>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9.3.13</t>
  </si>
  <si>
    <t>9.3.14</t>
  </si>
  <si>
    <t>9.3.15</t>
  </si>
  <si>
    <t>9.3.16</t>
  </si>
  <si>
    <t>9.3.17</t>
  </si>
  <si>
    <t>9.3.18</t>
  </si>
  <si>
    <t>9.3.19</t>
  </si>
  <si>
    <t>9.3.20</t>
  </si>
  <si>
    <t>9.3.21</t>
  </si>
  <si>
    <t>9.3.22</t>
  </si>
  <si>
    <t>9.3.23</t>
  </si>
  <si>
    <t>9.3.24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</si>
  <si>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</si>
  <si>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</si>
  <si>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</si>
  <si>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</si>
  <si>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</si>
  <si>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</si>
  <si>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</si>
  <si>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</si>
  <si>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9.4.9</t>
  </si>
  <si>
    <t>9.4.10</t>
  </si>
  <si>
    <t>9.4.11</t>
  </si>
  <si>
    <t>9.4.12</t>
  </si>
  <si>
    <t>9.4.13</t>
  </si>
  <si>
    <t>9.4.14</t>
  </si>
  <si>
    <t>9.4.15</t>
  </si>
  <si>
    <t>9.4.16</t>
  </si>
  <si>
    <t>9.4.17</t>
  </si>
  <si>
    <t>9.4.18</t>
  </si>
  <si>
    <t>9.4.19</t>
  </si>
  <si>
    <t>9.4.20</t>
  </si>
  <si>
    <t>9.4.21</t>
  </si>
  <si>
    <t>9.4.22</t>
  </si>
  <si>
    <t>9.4.23</t>
  </si>
  <si>
    <t>9.4.24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</si>
  <si>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</si>
  <si>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</si>
  <si>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</si>
  <si>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</si>
  <si>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</si>
  <si>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</si>
  <si>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</si>
  <si>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</si>
  <si>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</si>
  <si>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</si>
  <si>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</si>
  <si>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9.5.12</t>
  </si>
  <si>
    <t>9.5.13</t>
  </si>
  <si>
    <t>9.5.14</t>
  </si>
  <si>
    <t>9.5.15</t>
  </si>
  <si>
    <t>9.5.16</t>
  </si>
  <si>
    <t>9.5.17</t>
  </si>
  <si>
    <t>9.5.18</t>
  </si>
  <si>
    <t>9.5.19</t>
  </si>
  <si>
    <t>9.5.20</t>
  </si>
  <si>
    <t>9.5.21</t>
  </si>
  <si>
    <t>9.5.22</t>
  </si>
  <si>
    <t>9.5.23</t>
  </si>
  <si>
    <t>9.5.24</t>
  </si>
  <si>
    <t>9.6.1</t>
  </si>
  <si>
    <t>9.6.2</t>
  </si>
  <si>
    <t>9.6.3</t>
  </si>
  <si>
    <t>9.6.4</t>
  </si>
  <si>
    <t>9.6.5</t>
  </si>
  <si>
    <t>9.6.6</t>
  </si>
  <si>
    <t>9.6.7</t>
  </si>
  <si>
    <t>9.6.8</t>
  </si>
  <si>
    <t>9.6.9</t>
  </si>
  <si>
    <t>9.6.10</t>
  </si>
  <si>
    <t>9.6.11</t>
  </si>
  <si>
    <t>9.6.12</t>
  </si>
  <si>
    <t>9.6.13</t>
  </si>
  <si>
    <t>9.6.14</t>
  </si>
  <si>
    <t>9.6.15</t>
  </si>
  <si>
    <t>9.6.16</t>
  </si>
  <si>
    <t>9.6.17</t>
  </si>
  <si>
    <t>9.6.18</t>
  </si>
  <si>
    <t>9.6.19</t>
  </si>
  <si>
    <t>9.6.20</t>
  </si>
  <si>
    <t>9.6.21</t>
  </si>
  <si>
    <t>9.6.22</t>
  </si>
  <si>
    <t>9.6.23</t>
  </si>
  <si>
    <t>9.6.24</t>
  </si>
  <si>
    <t>9.7.1</t>
  </si>
  <si>
    <t>9.7.2</t>
  </si>
  <si>
    <t>9.7.3</t>
  </si>
  <si>
    <t>9.7.4</t>
  </si>
  <si>
    <t>9.7.5</t>
  </si>
  <si>
    <t>9.7.6</t>
  </si>
  <si>
    <t>9.7.7</t>
  </si>
  <si>
    <t>9.7.8</t>
  </si>
  <si>
    <t>9.7.9</t>
  </si>
  <si>
    <t>9.7.10</t>
  </si>
  <si>
    <t>9.7.11</t>
  </si>
  <si>
    <t>9.7.12</t>
  </si>
  <si>
    <t>9.7.13</t>
  </si>
  <si>
    <t>9.7.14</t>
  </si>
  <si>
    <t>9.7.15</t>
  </si>
  <si>
    <t>9.7.16</t>
  </si>
  <si>
    <t>9.7.17</t>
  </si>
  <si>
    <t>9.7.18</t>
  </si>
  <si>
    <t>9.7.19</t>
  </si>
  <si>
    <t>9.7.20</t>
  </si>
  <si>
    <t>9.7.21</t>
  </si>
  <si>
    <t>9.7.22</t>
  </si>
  <si>
    <t>9.7.23</t>
  </si>
  <si>
    <t>9.7.24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</si>
  <si>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</si>
  <si>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</si>
  <si>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</si>
  <si>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</si>
  <si>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</si>
  <si>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</si>
  <si>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</si>
  <si>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</si>
  <si>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</si>
  <si>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</si>
  <si>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</si>
  <si>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</si>
  <si>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</si>
  <si>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</si>
  <si>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</si>
  <si>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</si>
  <si>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</si>
  <si>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</si>
  <si>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</si>
  <si>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</si>
  <si>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</si>
  <si>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</si>
  <si>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</si>
  <si>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</si>
  <si>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</si>
  <si>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</si>
  <si>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</si>
  <si>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</si>
  <si>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</si>
  <si>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</si>
  <si>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</si>
  <si>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</si>
  <si>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</si>
  <si>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</si>
  <si>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</si>
  <si>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</si>
  <si>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</si>
  <si>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</si>
  <si>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</si>
  <si>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</si>
  <si>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</si>
  <si>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</si>
  <si>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</si>
  <si>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</si>
  <si>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</si>
  <si>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</si>
  <si>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</si>
  <si>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</si>
  <si>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</si>
  <si>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</si>
  <si>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</si>
  <si>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</si>
  <si>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</si>
  <si>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</si>
  <si>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</si>
  <si>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</si>
  <si>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</si>
  <si>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</si>
  <si>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10.3.11</t>
  </si>
  <si>
    <t>10.3.12</t>
  </si>
  <si>
    <t>10.3.13</t>
  </si>
  <si>
    <t>10.3.14</t>
  </si>
  <si>
    <t>10.3.15</t>
  </si>
  <si>
    <t>10.3.16</t>
  </si>
  <si>
    <t>10.3.17</t>
  </si>
  <si>
    <t>10.3.18</t>
  </si>
  <si>
    <t>10.3.19</t>
  </si>
  <si>
    <t>10.3.20</t>
  </si>
  <si>
    <t>10.3.21</t>
  </si>
  <si>
    <t>10.3.22</t>
  </si>
  <si>
    <t>10.3.23</t>
  </si>
  <si>
    <t>10.3.24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</si>
  <si>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</si>
  <si>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</si>
  <si>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</si>
  <si>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</si>
  <si>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</si>
  <si>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</si>
  <si>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</si>
  <si>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</si>
  <si>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</si>
  <si>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</si>
  <si>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</si>
  <si>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10.4.12</t>
  </si>
  <si>
    <t>10.4.13</t>
  </si>
  <si>
    <t>10.4.14</t>
  </si>
  <si>
    <t>10.4.15</t>
  </si>
  <si>
    <t>10.4.16</t>
  </si>
  <si>
    <t>10.4.17</t>
  </si>
  <si>
    <t>10.4.18</t>
  </si>
  <si>
    <t>10.4.19</t>
  </si>
  <si>
    <t>10.4.20</t>
  </si>
  <si>
    <t>10.4.21</t>
  </si>
  <si>
    <t>10.4.22</t>
  </si>
  <si>
    <t>10.4.23</t>
  </si>
  <si>
    <t>10.4.24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</si>
  <si>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</si>
  <si>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</si>
  <si>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</si>
  <si>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</si>
  <si>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</si>
  <si>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</si>
  <si>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</si>
  <si>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</si>
  <si>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</si>
  <si>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10.5.10</t>
  </si>
  <si>
    <t>10.5.11</t>
  </si>
  <si>
    <t>10.5.12</t>
  </si>
  <si>
    <t>10.5.13</t>
  </si>
  <si>
    <t>10.5.14</t>
  </si>
  <si>
    <t>10.5.15</t>
  </si>
  <si>
    <t>10.5.16</t>
  </si>
  <si>
    <t>10.5.17</t>
  </si>
  <si>
    <t>10.5.18</t>
  </si>
  <si>
    <t>10.5.19</t>
  </si>
  <si>
    <t>10.5.20</t>
  </si>
  <si>
    <t>10.5.21</t>
  </si>
  <si>
    <t>10.5.22</t>
  </si>
  <si>
    <t>10.5.23</t>
  </si>
  <si>
    <t>10.5.24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</si>
  <si>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</si>
  <si>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</si>
  <si>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</si>
  <si>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</si>
  <si>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</si>
  <si>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</si>
  <si>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</si>
  <si>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</si>
  <si>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</si>
  <si>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</si>
  <si>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</si>
  <si>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</si>
  <si>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</si>
  <si>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10.6.14</t>
  </si>
  <si>
    <t>10.6.15</t>
  </si>
  <si>
    <t>10.6.16</t>
  </si>
  <si>
    <t>10.6.17</t>
  </si>
  <si>
    <t>10.6.18</t>
  </si>
  <si>
    <t>10.6.19</t>
  </si>
  <si>
    <t>10.6.20</t>
  </si>
  <si>
    <t>10.6.21</t>
  </si>
  <si>
    <t>10.6.22</t>
  </si>
  <si>
    <t>10.6.23</t>
  </si>
  <si>
    <t>10.6.24</t>
  </si>
  <si>
    <t>10.7.1</t>
  </si>
  <si>
    <t>10.7.2</t>
  </si>
  <si>
    <t>10.7.3</t>
  </si>
  <si>
    <t>10.7.4</t>
  </si>
  <si>
    <t>10.7.5</t>
  </si>
  <si>
    <t>10.7.6</t>
  </si>
  <si>
    <t>10.7.7</t>
  </si>
  <si>
    <t>10.7.8</t>
  </si>
  <si>
    <t>10.7.9</t>
  </si>
  <si>
    <t>10.7.10</t>
  </si>
  <si>
    <t>10.7.11</t>
  </si>
  <si>
    <t>10.7.12</t>
  </si>
  <si>
    <t>10.7.13</t>
  </si>
  <si>
    <t>10.7.14</t>
  </si>
  <si>
    <t>10.7.15</t>
  </si>
  <si>
    <t>10.7.16</t>
  </si>
  <si>
    <t>10.7.17</t>
  </si>
  <si>
    <t>10.7.18</t>
  </si>
  <si>
    <t>10.7.19</t>
  </si>
  <si>
    <t>10.7.20</t>
  </si>
  <si>
    <t>10.7.21</t>
  </si>
  <si>
    <t>10.7.22</t>
  </si>
  <si>
    <t>10.7.23</t>
  </si>
  <si>
    <t>10.7.24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</si>
  <si>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</si>
  <si>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</si>
  <si>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</si>
  <si>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</si>
  <si>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</si>
  <si>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</si>
  <si>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</si>
  <si>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</si>
  <si>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</si>
  <si>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</si>
  <si>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</si>
  <si>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</si>
  <si>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</si>
  <si>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</si>
  <si>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</si>
  <si>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</si>
  <si>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</si>
  <si>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</si>
  <si>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</si>
  <si>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</si>
  <si>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</si>
  <si>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</si>
  <si>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</si>
  <si>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</si>
  <si>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</si>
  <si>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</si>
  <si>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</si>
  <si>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</si>
  <si>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</si>
  <si>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</si>
  <si>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</si>
  <si>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</si>
  <si>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</si>
  <si>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</si>
  <si>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</si>
  <si>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</si>
  <si>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</si>
  <si>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</si>
  <si>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</si>
  <si>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</si>
  <si>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</si>
  <si>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</si>
  <si>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</si>
  <si>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</si>
  <si>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</si>
  <si>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</si>
  <si>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</si>
  <si>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</si>
  <si>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</si>
  <si>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</si>
  <si>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</si>
  <si>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</si>
  <si>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</si>
  <si>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</si>
  <si>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</si>
  <si>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</si>
  <si>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Schedule 25 Total</t>
  </si>
  <si>
    <t>Idaho Schedule 25 Billing Determinants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</si>
  <si>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</si>
  <si>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</si>
  <si>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</si>
  <si>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</si>
  <si>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</si>
  <si>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</si>
  <si>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</si>
  <si>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</si>
  <si>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</si>
  <si>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</si>
  <si>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11.3.19</t>
  </si>
  <si>
    <t>11.3.20</t>
  </si>
  <si>
    <t>11.3.21</t>
  </si>
  <si>
    <t>11.3.22</t>
  </si>
  <si>
    <t>11.3.23</t>
  </si>
  <si>
    <t>11.3.24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</si>
  <si>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</si>
  <si>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</si>
  <si>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</si>
  <si>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</si>
  <si>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</si>
  <si>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</si>
  <si>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</si>
  <si>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</si>
  <si>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</si>
  <si>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</si>
  <si>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</si>
  <si>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</si>
  <si>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</si>
  <si>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</si>
  <si>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</si>
  <si>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</si>
  <si>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11.4.17</t>
  </si>
  <si>
    <t>11.4.18</t>
  </si>
  <si>
    <t>11.4.19</t>
  </si>
  <si>
    <t>11.4.20</t>
  </si>
  <si>
    <t>11.4.21</t>
  </si>
  <si>
    <t>11.4.22</t>
  </si>
  <si>
    <t>11.4.23</t>
  </si>
  <si>
    <t>11.4.24</t>
  </si>
  <si>
    <t>11.5.1</t>
  </si>
  <si>
    <t>11.5.2</t>
  </si>
  <si>
    <t>11.5.3</t>
  </si>
  <si>
    <t>11.5.4</t>
  </si>
  <si>
    <t>11.5.5</t>
  </si>
  <si>
    <t>11.5.6</t>
  </si>
  <si>
    <t>11.5.7</t>
  </si>
  <si>
    <t>11.5.8</t>
  </si>
  <si>
    <t>11.5.9</t>
  </si>
  <si>
    <t>11.5.10</t>
  </si>
  <si>
    <t>11.5.11</t>
  </si>
  <si>
    <t>11.5.12</t>
  </si>
  <si>
    <t>11.5.13</t>
  </si>
  <si>
    <t>11.5.14</t>
  </si>
  <si>
    <t>11.5.15</t>
  </si>
  <si>
    <t>11.5.16</t>
  </si>
  <si>
    <t>11.5.17</t>
  </si>
  <si>
    <t>11.5.18</t>
  </si>
  <si>
    <t>11.5.19</t>
  </si>
  <si>
    <t>11.5.20</t>
  </si>
  <si>
    <t>11.5.21</t>
  </si>
  <si>
    <t>11.5.22</t>
  </si>
  <si>
    <t>11.5.23</t>
  </si>
  <si>
    <t>11.5.24</t>
  </si>
  <si>
    <t>11.6.1</t>
  </si>
  <si>
    <t>11.6.2</t>
  </si>
  <si>
    <t>11.6.3</t>
  </si>
  <si>
    <t>11.6.4</t>
  </si>
  <si>
    <t>11.6.5</t>
  </si>
  <si>
    <t>11.6.6</t>
  </si>
  <si>
    <t>11.6.7</t>
  </si>
  <si>
    <t>11.6.8</t>
  </si>
  <si>
    <t>11.6.9</t>
  </si>
  <si>
    <t>11.6.10</t>
  </si>
  <si>
    <t>11.6.11</t>
  </si>
  <si>
    <t>11.6.12</t>
  </si>
  <si>
    <t>11.6.13</t>
  </si>
  <si>
    <t>11.6.14</t>
  </si>
  <si>
    <t>11.6.15</t>
  </si>
  <si>
    <t>11.6.16</t>
  </si>
  <si>
    <t>11.6.17</t>
  </si>
  <si>
    <t>11.6.18</t>
  </si>
  <si>
    <t>11.6.19</t>
  </si>
  <si>
    <t>11.6.20</t>
  </si>
  <si>
    <t>11.6.21</t>
  </si>
  <si>
    <t>11.6.22</t>
  </si>
  <si>
    <t>11.6.23</t>
  </si>
  <si>
    <t>11.6.24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</si>
  <si>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</si>
  <si>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</si>
  <si>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</si>
  <si>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</si>
  <si>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</si>
  <si>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</si>
  <si>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</si>
  <si>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</si>
  <si>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11.7.9</t>
  </si>
  <si>
    <t>11.7.10</t>
  </si>
  <si>
    <t>11.7.11</t>
  </si>
  <si>
    <t>11.7.12</t>
  </si>
  <si>
    <t>11.7.13</t>
  </si>
  <si>
    <t>11.7.14</t>
  </si>
  <si>
    <t>11.7.15</t>
  </si>
  <si>
    <t>11.7.16</t>
  </si>
  <si>
    <t>11.7.17</t>
  </si>
  <si>
    <t>11.7.18</t>
  </si>
  <si>
    <t>11.7.19</t>
  </si>
  <si>
    <t>11.7.20</t>
  </si>
  <si>
    <t>11.7.21</t>
  </si>
  <si>
    <t>11.7.22</t>
  </si>
  <si>
    <t>11.7.23</t>
  </si>
  <si>
    <t>11.7.24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</si>
  <si>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</si>
  <si>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</si>
  <si>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</si>
  <si>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</si>
  <si>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</si>
  <si>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</si>
  <si>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</si>
  <si>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</si>
  <si>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</si>
  <si>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</si>
  <si>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</si>
  <si>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</si>
  <si>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</si>
  <si>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</si>
  <si>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Corrected with AR(1)</t>
  </si>
  <si>
    <t>Corrected with AR(1),(2)</t>
  </si>
  <si>
    <t>WA Ind Sch 11</t>
  </si>
  <si>
    <t>ID Ind Sch 11</t>
  </si>
  <si>
    <t>ID Res Sch 21</t>
  </si>
  <si>
    <t>1st</t>
  </si>
  <si>
    <t>12-mo Ended</t>
  </si>
  <si>
    <t>KWHs</t>
  </si>
  <si>
    <t>kwhs/mo</t>
  </si>
  <si>
    <t>Booked Unbilled Reversal</t>
  </si>
  <si>
    <t>Gross Booked Unbilled</t>
  </si>
  <si>
    <t>Calendar per Books Total</t>
  </si>
  <si>
    <t>Gross Unbilled True-up</t>
  </si>
  <si>
    <t>Unbilled Reversal True-up</t>
  </si>
  <si>
    <t>KVA</t>
  </si>
  <si>
    <t>Peak</t>
  </si>
  <si>
    <t>KVA in excess of 3,000</t>
  </si>
  <si>
    <t>KWH</t>
  </si>
  <si>
    <t>Schedule 25P KWH</t>
  </si>
  <si>
    <t>PVD</t>
  </si>
  <si>
    <t>No PVD</t>
  </si>
  <si>
    <t>Idaho Retail Peak (excluding CP Gen)</t>
  </si>
  <si>
    <t>System Peak KW (excluding CP Gen)</t>
  </si>
  <si>
    <t>Schedule 25 Primary</t>
  </si>
  <si>
    <t>Schedule 25 Transmission</t>
  </si>
  <si>
    <t>Schedule 25P Generation</t>
  </si>
  <si>
    <t>Schedule 25P Primary</t>
  </si>
  <si>
    <t xml:space="preserve">Schedule 11/12 </t>
  </si>
  <si>
    <t>Idaho Excluding Generation (directly assigned)</t>
  </si>
  <si>
    <t>System Total (Generation)</t>
  </si>
  <si>
    <t>Check to PT Demand Total</t>
  </si>
  <si>
    <t>WA21S</t>
  </si>
  <si>
    <t>WA21P</t>
  </si>
  <si>
    <t>ID21S</t>
  </si>
  <si>
    <t>ID21P</t>
  </si>
  <si>
    <t>Apply Daily profile peak hour percentage by schedule from 2009 load study database</t>
  </si>
  <si>
    <t>Collect Peak Hour Usage Information for Schedule 25 and 25P</t>
  </si>
  <si>
    <t>Calculate proportion of non-coincident peak kW to average kW for each rate schedule in 2009 load study</t>
  </si>
  <si>
    <t xml:space="preserve">Derived from MV 90 reports from meter shop (check to Schedule 25 Reconciliation information) </t>
  </si>
  <si>
    <t>Collect Non-Coincident Peak information for Schedule 25 and 25P</t>
  </si>
  <si>
    <t>Estimated Peak Hour amounts are adjusted proportionally to match actual retail system peaks</t>
  </si>
  <si>
    <t xml:space="preserve">     if a new Schedule 25 is being pro formed that does not have MV 90 data, add average kW to MV90 report system peak</t>
  </si>
  <si>
    <t xml:space="preserve">     if a new Schedule 25 customer is being pro formed that does not have MV 90, add peak kW to MV90 report class peak</t>
  </si>
  <si>
    <t>Estimate Peak Hour Usage for Schedules 1, 11, 21,  and 31</t>
  </si>
  <si>
    <t>System Total for P/T Allocation</t>
  </si>
  <si>
    <r>
      <t>R</t>
    </r>
    <r>
      <rPr>
        <b/>
        <vertAlign val="superscript"/>
        <sz val="10"/>
        <rFont val="Times New Roman"/>
        <family val="1"/>
      </rPr>
      <t>2</t>
    </r>
  </si>
  <si>
    <t xml:space="preserve">                                                                                                                                                         Washington, DC  20392-5420     </t>
  </si>
  <si>
    <t xml:space="preserve">                                                                   Pacific Standard Time                                                        </t>
  </si>
  <si>
    <t>Schedule 21 to Schedule 11 Shifted KWhs</t>
  </si>
  <si>
    <t>Total WA Sch 11/12</t>
  </si>
  <si>
    <t>WA Res Sch 21 (Sch 22)</t>
  </si>
  <si>
    <t>WA Res Sch 11 (Sch 12)</t>
  </si>
  <si>
    <t>Schedule 21 Transmission</t>
  </si>
  <si>
    <t>Adj Revenue Runs, Sch 25</t>
  </si>
  <si>
    <t>Adjustment to Peak Detail</t>
  </si>
  <si>
    <t>Deduct Box Canyon PPUD</t>
  </si>
  <si>
    <t>Add back Pine PUD Rathdrum</t>
  </si>
  <si>
    <t>Kaiser Trentwood (BPA)</t>
  </si>
  <si>
    <t>Pend Oreille PUD (Usk-BPA)</t>
  </si>
  <si>
    <t>Pend Oreille PUD (Newport-BPA)</t>
  </si>
  <si>
    <t>Pend Oreille PUD (Box Canyon-BPA)</t>
  </si>
  <si>
    <t>Pend Oreille PUD (Metaline Falls-BPA)</t>
  </si>
  <si>
    <t>Pend Oreille PUD (Diamond Lake-BPA)</t>
  </si>
  <si>
    <t>Total Washington Adjustment</t>
  </si>
  <si>
    <t>Deduct PFI Generation</t>
  </si>
  <si>
    <t>Customer bills</t>
  </si>
  <si>
    <t>*9</t>
  </si>
  <si>
    <t>Class Peak</t>
  </si>
  <si>
    <t>WC21</t>
  </si>
  <si>
    <t>WT21</t>
  </si>
  <si>
    <t>IC21</t>
  </si>
  <si>
    <t>II21</t>
  </si>
  <si>
    <t>IT21</t>
  </si>
  <si>
    <t xml:space="preserve">WA Com Sch 21 </t>
  </si>
  <si>
    <t>ID Com Sch 21</t>
  </si>
  <si>
    <t xml:space="preserve">                       o   ,      o   ,                   SPOKANE, WASHINGTON                             Astronomical Applications Dept.</t>
  </si>
  <si>
    <t>0001</t>
  </si>
  <si>
    <t>0011</t>
  </si>
  <si>
    <t>0012</t>
  </si>
  <si>
    <t>0021</t>
  </si>
  <si>
    <t>0022</t>
  </si>
  <si>
    <t>0025</t>
  </si>
  <si>
    <t>0030</t>
  </si>
  <si>
    <t>0031</t>
  </si>
  <si>
    <t>0032</t>
  </si>
  <si>
    <t>0041</t>
  </si>
  <si>
    <t>0042</t>
  </si>
  <si>
    <t>0044</t>
  </si>
  <si>
    <t>0045</t>
  </si>
  <si>
    <t>0046</t>
  </si>
  <si>
    <t>0047</t>
  </si>
  <si>
    <t>0048</t>
  </si>
  <si>
    <t>0058</t>
  </si>
  <si>
    <t>0058A</t>
  </si>
  <si>
    <t>0095</t>
  </si>
  <si>
    <t>0099</t>
  </si>
  <si>
    <t>025B</t>
  </si>
  <si>
    <t>0028</t>
  </si>
  <si>
    <t>0062</t>
  </si>
  <si>
    <t>0063</t>
  </si>
  <si>
    <t>0090</t>
  </si>
  <si>
    <t>0043</t>
  </si>
  <si>
    <t>0049</t>
  </si>
  <si>
    <t>SA Account ID</t>
  </si>
  <si>
    <t>new SA</t>
  </si>
  <si>
    <t>9 KWHs</t>
  </si>
  <si>
    <t>9 KVA</t>
  </si>
  <si>
    <t>Schedule 25P kVA</t>
  </si>
  <si>
    <t>Ind 011</t>
  </si>
  <si>
    <t>Ind 012</t>
  </si>
  <si>
    <t>01131</t>
  </si>
  <si>
    <t>01231</t>
  </si>
  <si>
    <t>02101</t>
  </si>
  <si>
    <t>02121</t>
  </si>
  <si>
    <t>02201</t>
  </si>
  <si>
    <t>02221</t>
  </si>
  <si>
    <t>Res 021</t>
  </si>
  <si>
    <t>Comm 021</t>
  </si>
  <si>
    <t>Res 022</t>
  </si>
  <si>
    <t>Comm 022</t>
  </si>
  <si>
    <t>Total Sch 021 &amp; Sch 022</t>
  </si>
  <si>
    <t>less: Res &amp; Comm Sch 021 &amp; Sch 022</t>
  </si>
  <si>
    <t>Other Sch 021 &amp; Sch 022</t>
  </si>
  <si>
    <t>Estimated Billing Peak</t>
  </si>
  <si>
    <t>Estimated Billing Peak Calculations</t>
  </si>
  <si>
    <t>Ratio of Billing Peak kW to Average kW</t>
  </si>
  <si>
    <t>Estimate 12 Monthly Billing Peaks</t>
  </si>
  <si>
    <t>ID Ind Sch 21</t>
  </si>
  <si>
    <t>ID Other Sec Sch 21</t>
  </si>
  <si>
    <t>Ind 021</t>
  </si>
  <si>
    <t>02131</t>
  </si>
  <si>
    <t>02231</t>
  </si>
  <si>
    <t>less: Res, Comm, Ind Sch 021 &amp; Sch 022</t>
  </si>
  <si>
    <t>Annual Total</t>
  </si>
  <si>
    <t>0002</t>
  </si>
  <si>
    <t>Sch 21 Secondary</t>
  </si>
  <si>
    <t>Sch 21 Primary</t>
  </si>
  <si>
    <t>CP</t>
  </si>
  <si>
    <t>NCP</t>
  </si>
  <si>
    <t>2014 Peak Study</t>
  </si>
  <si>
    <t>2014 Study Average kW (consumption/hours)</t>
  </si>
  <si>
    <t>Schedule Shifting Adjustment - Idaho</t>
  </si>
  <si>
    <t>Street and Area Lights</t>
  </si>
  <si>
    <t>Acct No.</t>
  </si>
  <si>
    <t xml:space="preserve"> 60 KV</t>
  </si>
  <si>
    <t>4.16 KV</t>
  </si>
  <si>
    <t>115 KV</t>
  </si>
  <si>
    <t xml:space="preserve">Total </t>
  </si>
  <si>
    <t>60 KV</t>
  </si>
  <si>
    <t>25P Tie Load</t>
  </si>
  <si>
    <t>Adj Revenue Runs, Sch 25P</t>
  </si>
  <si>
    <t>Totalized KVA</t>
  </si>
  <si>
    <t>Schedule 25 PVD</t>
  </si>
  <si>
    <t>Total KVA</t>
  </si>
  <si>
    <t>Block 2 KVA</t>
  </si>
  <si>
    <t>Block 3 KVA</t>
  </si>
  <si>
    <t>Bills</t>
  </si>
  <si>
    <t>Block 1 kWhs</t>
  </si>
  <si>
    <t>Block 2 kWhs</t>
  </si>
  <si>
    <t>Summarize Schedule 25 Billing Determinants</t>
  </si>
  <si>
    <t>Total Block 1 kWhs</t>
  </si>
  <si>
    <t>Total Block 2 kWhs</t>
  </si>
  <si>
    <t>Over 500,000</t>
  </si>
  <si>
    <t>Total kWhs</t>
  </si>
  <si>
    <t>Primary Voltage KVA</t>
  </si>
  <si>
    <t>Excess KVA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</si>
  <si>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</si>
  <si>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</si>
  <si>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</si>
  <si>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</si>
  <si>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</si>
  <si>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</si>
  <si>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</si>
  <si>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</si>
  <si>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</si>
  <si>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</si>
  <si>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</si>
  <si>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</si>
  <si>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Usage Qty</t>
  </si>
  <si>
    <t>less: Clearwater purchased generation</t>
  </si>
  <si>
    <t>Date:  (Net System Peak)</t>
  </si>
  <si>
    <t>Time:  HE PT</t>
  </si>
  <si>
    <t>WI21</t>
  </si>
  <si>
    <t xml:space="preserve">Location: W117 25, N47 40                Rise and Set for the Sun for 2018                             U. S. Naval Observatory        </t>
  </si>
  <si>
    <t>12 Monthly Coincident Peaks</t>
  </si>
  <si>
    <t>Schedule 21 Adjustment</t>
  </si>
  <si>
    <t>Schedule 25 Adjustment</t>
  </si>
  <si>
    <t>Coincident Peak with Losses</t>
  </si>
  <si>
    <t>12 Monthly Non-Coincident Peaks</t>
  </si>
  <si>
    <t>Twelve Months Ended December 31, 2019</t>
  </si>
  <si>
    <t>2019 Average kW (consumption/hours)</t>
  </si>
  <si>
    <t>Avista Retail Load 2019</t>
  </si>
  <si>
    <t>Electric Revenue Usage Report by Location  Twelve Months Ended  for Report Date : '12/31/2019'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</si>
  <si>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</si>
  <si>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</si>
  <si>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</si>
  <si>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</si>
  <si>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</si>
  <si>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</si>
  <si>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</si>
  <si>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</si>
  <si>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</si>
  <si>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</si>
  <si>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</si>
  <si>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</si>
  <si>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2019 Sch_Class Rev 12 Month Ended Report</t>
  </si>
  <si>
    <t>Service: Electric</t>
  </si>
  <si>
    <t>State Cde: WA</t>
  </si>
  <si>
    <t>State Cde: ID</t>
  </si>
  <si>
    <t>025PG</t>
  </si>
  <si>
    <t>State Cde: MT</t>
  </si>
  <si>
    <t xml:space="preserve">Calendar Books </t>
  </si>
  <si>
    <t>4.16kV</t>
  </si>
  <si>
    <t>Cust 7 KWH</t>
  </si>
  <si>
    <t>Customer 7 KVA</t>
  </si>
  <si>
    <t>Deduct Schedule 25 Unbilled Adj</t>
  </si>
  <si>
    <t>Deduct Schedule 25P Unbilled Adj</t>
  </si>
  <si>
    <t>https://www.esri.noaa.gov/gmd/grad/solcalc</t>
  </si>
  <si>
    <t>2019 Daylight Savings = 3/10 - 11/2</t>
  </si>
  <si>
    <r>
      <t xml:space="preserve">                                             Includes daylight time </t>
    </r>
    <r>
      <rPr>
        <b/>
        <sz val="10"/>
        <color rgb="FFFF0000"/>
        <rFont val="Arial Unicode MS"/>
      </rPr>
      <t>do not</t>
    </r>
    <r>
      <rPr>
        <sz val="10"/>
        <rFont val="Arial Unicode MS"/>
        <family val="2"/>
      </rPr>
      <t xml:space="preserve"> Add one hour for daylight time, if and when in use.</t>
    </r>
  </si>
  <si>
    <t>Weather Sensitivity Regression Summary for January 2009 through December 2018</t>
  </si>
  <si>
    <t>2018 Low</t>
  </si>
  <si>
    <t>Sch 25 Customer 9 temporarily moved to Schedule 21 in 2019</t>
  </si>
  <si>
    <t>Customer 9</t>
  </si>
  <si>
    <t>Sch 25</t>
  </si>
  <si>
    <t>Sch 21</t>
  </si>
  <si>
    <t>2019 actual kWh usage</t>
  </si>
  <si>
    <t>Reported As Schedule _ During 2019</t>
  </si>
  <si>
    <t>WA Street and Area Lights</t>
  </si>
  <si>
    <t>ID Street and Area Lights</t>
  </si>
  <si>
    <t>Normalized Usage by Month</t>
  </si>
  <si>
    <t>WASHINGTON ELECTRIC SYSTEM</t>
  </si>
  <si>
    <t>Normalized Test Year Usage</t>
  </si>
  <si>
    <t>Residential Schedule 001/002</t>
  </si>
  <si>
    <t>General Svc Schedule 011/012</t>
  </si>
  <si>
    <t>Large Gen Svc Schedule 021/022</t>
  </si>
  <si>
    <t>Extra Large Gen Schedule 25</t>
  </si>
  <si>
    <t>Pumping Schedule 31/32</t>
  </si>
  <si>
    <t>Total Normalized Test Year Usage</t>
  </si>
  <si>
    <t>Percentage of Annual Usage</t>
  </si>
  <si>
    <t>By Service Voltage Level</t>
  </si>
  <si>
    <t>Loss Factor</t>
  </si>
  <si>
    <t>Secondary Residential Sch 01/02</t>
  </si>
  <si>
    <t>Secondary General Svc Sch 11/12</t>
  </si>
  <si>
    <t>Secondary Large Gen Svc Sch 21/22</t>
  </si>
  <si>
    <t>Primary Large Gen Svc Sch 21/22</t>
  </si>
  <si>
    <t>Transmission Extra Large Gen Sch 25</t>
  </si>
  <si>
    <t>Primary Extra Large Gen Sch 25</t>
  </si>
  <si>
    <t>Secondary Extra Large Gen Sch 25</t>
  </si>
  <si>
    <t>Secondary Pumping Schedule 31/32</t>
  </si>
  <si>
    <t>Secondary Street and Area Lights</t>
  </si>
  <si>
    <t>Total Generation Level Normalized TY Usage</t>
  </si>
  <si>
    <t>WUTC Docket No. UE-20____</t>
  </si>
  <si>
    <t>check to Miller RSRD model</t>
  </si>
  <si>
    <t>Coincident Peak</t>
  </si>
  <si>
    <t>Usage</t>
  </si>
  <si>
    <t>Customer Bills</t>
  </si>
  <si>
    <t>Present Revenue</t>
  </si>
  <si>
    <t>$000s</t>
  </si>
  <si>
    <t>Monthly System Coincident Peaks</t>
  </si>
  <si>
    <t>Twelve Month Average</t>
  </si>
  <si>
    <t>Sch 1-2</t>
  </si>
  <si>
    <t>Sch 11-12</t>
  </si>
  <si>
    <t>Sch 21-22 S</t>
  </si>
  <si>
    <t>Sch 21-22 P</t>
  </si>
  <si>
    <t>Sch 30-32</t>
  </si>
  <si>
    <t>Sch 41-48</t>
  </si>
  <si>
    <t>Open</t>
  </si>
  <si>
    <t>Open1</t>
  </si>
  <si>
    <t>Open2</t>
  </si>
  <si>
    <t>Open3</t>
  </si>
  <si>
    <t>Schedule 1/2</t>
  </si>
  <si>
    <t>Schedule 30/31/32</t>
  </si>
  <si>
    <t xml:space="preserve">Monthly Distribution System Non-Coincident Peaks </t>
  </si>
  <si>
    <t>WA</t>
  </si>
  <si>
    <t>Index of Links</t>
  </si>
  <si>
    <t>There are no external links in this work paper file.</t>
  </si>
  <si>
    <t>Summary tab information copied to Demand Study Summary tab in Cost of Service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</si>
</sst>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00%"/>
    <numFmt numFmtId="168" formatCode="0.0000"/>
    <numFmt numFmtId="169" formatCode="#,##0.000"/>
    <numFmt numFmtId="170" formatCode=";;;"/>
    <numFmt numFmtId="171" formatCode="mmm"/>
    <numFmt numFmtId="172" formatCode="ddd"/>
    <numFmt numFmtId="173" formatCode="m/d/yy;@"/>
    <numFmt numFmtId="174" formatCode="[$-409]mmm\-yy;@"/>
    <numFmt numFmtId="175" formatCode="m/d;@"/>
    <numFmt numFmtId="176" formatCode="h:mm;@"/>
    <numFmt numFmtId="177" formatCode="#,##0.00;\-#,##0.00;"/>
    <numFmt numFmtId="178" formatCode="#,##0.0"/>
    <numFmt numFmtId="179" formatCode="#,###,###,##0"/>
    <numFmt numFmtId="180" formatCode="&quot;Over&quot;"/>
    <numFmt numFmtId="181" formatCode="mmm\ yy"/>
    <numFmt numFmtId="182" formatCode="#,##0;;"/>
    <numFmt numFmtId="183" formatCode="#,##0;\-#,##0;"/>
    <numFmt numFmtId="184" formatCode="[$-409]mmm/yy;@"/>
    <numFmt numFmtId="185" formatCode="[$-409]mmmm\-yy;@"/>
    <numFmt numFmtId="186" formatCode="#,##0_%_);\(#,##0\)_%;#,##0_%_);@_%_)"/>
    <numFmt numFmtId="187" formatCode="_._.* #,##0.0_)_%;_._.* \(#,##0.0\)_%"/>
    <numFmt numFmtId="188" formatCode="_._.* #,##0.00_)_%;_._.* \(#,##0.00\)_%"/>
    <numFmt numFmtId="189" formatCode="_._.* #,##0.000_)_%;_._.* \(#,##0.000\)_%"/>
    <numFmt numFmtId="190" formatCode="_(* #,##0.00_);_(* \(\ #,##0.00\ \);_(* &quot;-&quot;??_);_(\ @_ \)"/>
    <numFmt numFmtId="191" formatCode="_._.* #,##0_)_%;_._.* #,##0_)_%;_._.* 0_)_%;_._.@_)_%"/>
    <numFmt numFmtId="192" formatCode="_._.&quot;$&quot;* #,##0.0_)_%;_._.&quot;$&quot;* \(#,##0.0\)_%"/>
    <numFmt numFmtId="193" formatCode="_._.&quot;$&quot;* #,##0.00_)_%;_._.&quot;$&quot;* \(#,##0.00\)_%"/>
    <numFmt numFmtId="194" formatCode="_._.&quot;$&quot;* #,##0.000_)_%;_._.&quot;$&quot;* \(#,##0.000\)_%"/>
    <numFmt numFmtId="195" formatCode="_._.&quot;$&quot;* #,###_)_%;_._.&quot;$&quot;* #,###_)_%;_._.&quot;$&quot;* 0_)_%;_._.@_)_%"/>
    <numFmt numFmtId="196" formatCode="&quot;$&quot;#,##0\ ;\(&quot;$&quot;#,##0\)"/>
    <numFmt numFmtId="197" formatCode="mmmm\ d\,\ yyyy"/>
    <numFmt numFmtId="198" formatCode="#,###,##0.00;\(#,###,##0.00\)"/>
    <numFmt numFmtId="199" formatCode="#,###,##0;\(#,###,##0\)"/>
    <numFmt numFmtId="200" formatCode="0.0"/>
    <numFmt numFmtId="201" formatCode="_(&quot;$&quot;* #,##0.0_);_(&quot;$&quot;* \(#,##0.0\);_(&quot;$&quot;* &quot;-&quot;??_);_(@_)"/>
    <numFmt numFmtId="202" formatCode="&quot;$&quot;#,###,##0.00;\(&quot;$&quot;#,###,##0.00\)"/>
    <numFmt numFmtId="203" formatCode="&quot;$&quot;#,###,##0;\(&quot;$&quot;#,###,##0\)"/>
    <numFmt numFmtId="204" formatCode="#,##0.00%;\(#,##0.00%\)"/>
    <numFmt numFmtId="205" formatCode="[$-F800]dddd\,\ mmmm\ dd\,\ yyyy"/>
    <numFmt numFmtId="206" formatCode="_(0_)%;\(0\)%"/>
    <numFmt numFmtId="207" formatCode="_._._(* 0_)%;_._.* \(0\)%"/>
    <numFmt numFmtId="208" formatCode="_(0.0_)%;\(0.0\)%"/>
    <numFmt numFmtId="209" formatCode="_._._(* 0.0_)%;_._.* \(0.0\)%"/>
    <numFmt numFmtId="210" formatCode="_(0.00_)%;\(0.00\)%"/>
    <numFmt numFmtId="211" formatCode="_._._(* 0.00_)%;_._.* \(0.00\)%"/>
    <numFmt numFmtId="212" formatCode="_(0.000_)%;\(0.000\)%"/>
    <numFmt numFmtId="213" formatCode="_._._(* 0.000_)%;_._.* \(0.000\)%"/>
    <numFmt numFmtId="214" formatCode="_(0.0000_)%;\(0.0000\)%"/>
    <numFmt numFmtId="215" formatCode="_._._(* 0.0000_)%;_._.* \(0.0000\)%"/>
    <numFmt numFmtId="216" formatCode="_(* #,##0_);_(* \(#,##0\);_(* 0_);_(@_)"/>
    <numFmt numFmtId="217" formatCode="_(* #,##0.0_);_(* \(#,##0.0\)"/>
    <numFmt numFmtId="218" formatCode="_(* #,##0.00_);_(* \(#,##0.00\)"/>
    <numFmt numFmtId="219" formatCode="_(* #,##0.000_);_(* \(#,##0.000\)"/>
    <numFmt numFmtId="220" formatCode="_(&quot;$&quot;* #,##0_);_(&quot;$&quot;* \(#,##0\);_(&quot;$&quot;* 0_);_(@_)"/>
    <numFmt numFmtId="221" formatCode="_(&quot;$&quot;* #,##0.0_);_(&quot;$&quot;* \(#,##0.0\)"/>
    <numFmt numFmtId="222" formatCode="_(&quot;$&quot;* #,##0.00_);_(&quot;$&quot;* \(#,##0.00\)"/>
    <numFmt numFmtId="223" formatCode="_(&quot;$&quot;* #,##0.000_);_(&quot;$&quot;* \(#,##0.000\)"/>
    <numFmt numFmtId="224" formatCode="#,##0.0_x_x"/>
    <numFmt numFmtId="225" formatCode="_(* #,##0.000_);_(* \(#,##0.000\);_(* &quot;-&quot;??_);_(@_)"/>
    <numFmt numFmtId="226" formatCode="#,##0.########"/>
    <numFmt numFmtId="227" formatCode="mm\/dd\/yy"/>
  </numFmts>
  <fonts count="16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9"/>
      <name val="Times New Roman"/>
      <family val="1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11"/>
      <color indexed="81"/>
      <name val="Tahoma"/>
      <family val="2"/>
    </font>
    <font>
      <b/>
      <sz val="10"/>
      <name val="Arial"/>
      <family val="2"/>
    </font>
    <font>
      <sz val="10"/>
      <name val="Arial Unicode MS"/>
      <family val="2"/>
    </font>
    <font>
      <sz val="8"/>
      <name val="Times New Roman"/>
      <family val="1"/>
    </font>
    <font>
      <u/>
      <sz val="10"/>
      <name val="Arial"/>
      <family val="2"/>
    </font>
    <font>
      <b/>
      <u/>
      <sz val="10"/>
      <name val="Times New Roman"/>
      <family val="1"/>
    </font>
    <font>
      <b/>
      <sz val="12"/>
      <name val="Arial"/>
      <family val="2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  <font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color theme="10"/>
      <name val="Times New Roman"/>
      <family val="1"/>
    </font>
    <font>
      <b/>
      <sz val="11"/>
      <name val="Times New Roman"/>
      <family val="1"/>
    </font>
    <font>
      <sz val="10"/>
      <color theme="5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0"/>
      <color indexed="60"/>
      <name val="Arial"/>
      <family val="2"/>
    </font>
    <font>
      <sz val="11"/>
      <color indexed="52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9"/>
      <name val="Courier"/>
      <family val="3"/>
    </font>
    <font>
      <sz val="10"/>
      <color rgb="FF00B05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9"/>
      <color indexed="39"/>
      <name val="Arial"/>
      <family val="2"/>
    </font>
    <font>
      <sz val="8"/>
      <color rgb="FF333333"/>
      <name val="Arial"/>
      <family val="2"/>
    </font>
    <font>
      <b/>
      <sz val="8"/>
      <color rgb="FF31455E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b/>
      <u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 Unicode MS"/>
    </font>
    <font>
      <sz val="1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F19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9E4FF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938">
    <xf numFmtId="0" fontId="0" fillId="0" borderId="0"/>
    <xf numFmtId="43" fontId="9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9" fontId="9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3" fillId="0" borderId="0"/>
    <xf numFmtId="0" fontId="9" fillId="0" borderId="0"/>
    <xf numFmtId="0" fontId="44" fillId="0" borderId="0"/>
    <xf numFmtId="0" fontId="16" fillId="0" borderId="0"/>
    <xf numFmtId="0" fontId="9" fillId="0" borderId="0"/>
    <xf numFmtId="0" fontId="43" fillId="0" borderId="0"/>
    <xf numFmtId="0" fontId="9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11">
      <alignment horizontal="center"/>
    </xf>
    <xf numFmtId="3" fontId="48" fillId="0" borderId="0" applyFont="0" applyFill="0" applyBorder="0" applyAlignment="0" applyProtection="0"/>
    <xf numFmtId="0" fontId="48" fillId="6" borderId="0" applyNumberFormat="0" applyFont="0" applyBorder="0" applyAlignment="0" applyProtection="0"/>
    <xf numFmtId="164" fontId="43" fillId="4" borderId="0" applyFont="0" applyFill="0" applyBorder="0" applyAlignment="0" applyProtection="0">
      <alignment wrapText="1"/>
    </xf>
    <xf numFmtId="0" fontId="13" fillId="7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4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4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4" fillId="4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4" fillId="4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4" fillId="4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44" fillId="4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4" fillId="4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44" fillId="4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4" fillId="4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44" fillId="4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50" borderId="0" applyNumberFormat="0" applyBorder="0" applyAlignment="0" applyProtection="0"/>
    <xf numFmtId="0" fontId="72" fillId="50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72" fillId="47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48" borderId="0" applyNumberFormat="0" applyBorder="0" applyAlignment="0" applyProtection="0"/>
    <xf numFmtId="0" fontId="72" fillId="48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51" borderId="0" applyNumberFormat="0" applyBorder="0" applyAlignment="0" applyProtection="0"/>
    <xf numFmtId="0" fontId="72" fillId="51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72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72" fillId="53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54" borderId="0" applyNumberFormat="0" applyBorder="0" applyAlignment="0" applyProtection="0"/>
    <xf numFmtId="0" fontId="72" fillId="5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55" borderId="0" applyNumberFormat="0" applyBorder="0" applyAlignment="0" applyProtection="0"/>
    <xf numFmtId="0" fontId="72" fillId="55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56" borderId="0" applyNumberFormat="0" applyBorder="0" applyAlignment="0" applyProtection="0"/>
    <xf numFmtId="0" fontId="72" fillId="5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51" borderId="0" applyNumberFormat="0" applyBorder="0" applyAlignment="0" applyProtection="0"/>
    <xf numFmtId="0" fontId="72" fillId="5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72" fillId="52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72" fillId="57" borderId="0" applyNumberFormat="0" applyBorder="0" applyAlignment="0" applyProtection="0"/>
    <xf numFmtId="185" fontId="73" fillId="58" borderId="0" applyNumberFormat="0" applyBorder="0" applyAlignment="0" applyProtection="0"/>
    <xf numFmtId="185" fontId="19" fillId="59" borderId="0" applyNumberFormat="0" applyBorder="0" applyAlignment="0" applyProtection="0"/>
    <xf numFmtId="185" fontId="19" fillId="5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74" fillId="9" borderId="0" applyNumberFormat="0" applyBorder="0" applyAlignment="0" applyProtection="0"/>
    <xf numFmtId="0" fontId="75" fillId="41" borderId="0" applyNumberFormat="0" applyBorder="0" applyAlignment="0" applyProtection="0"/>
    <xf numFmtId="0" fontId="9" fillId="0" borderId="0" applyFill="0" applyBorder="0" applyAlignment="0" applyProtection="0"/>
    <xf numFmtId="0" fontId="62" fillId="12" borderId="15" applyNumberFormat="0" applyAlignment="0" applyProtection="0"/>
    <xf numFmtId="0" fontId="62" fillId="12" borderId="15" applyNumberFormat="0" applyAlignment="0" applyProtection="0"/>
    <xf numFmtId="0" fontId="62" fillId="12" borderId="15" applyNumberFormat="0" applyAlignment="0" applyProtection="0"/>
    <xf numFmtId="0" fontId="62" fillId="60" borderId="15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7" fillId="0" borderId="0" applyFill="0" applyBorder="0" applyProtection="0">
      <alignment horizontal="center" vertical="center"/>
    </xf>
    <xf numFmtId="0" fontId="78" fillId="0" borderId="0" applyFill="0" applyBorder="0" applyProtection="0">
      <alignment horizontal="center"/>
      <protection locked="0"/>
    </xf>
    <xf numFmtId="0" fontId="77" fillId="0" borderId="0" applyFill="0" applyBorder="0" applyProtection="0">
      <alignment horizontal="center" vertical="center"/>
    </xf>
    <xf numFmtId="0" fontId="64" fillId="13" borderId="18" applyNumberFormat="0" applyAlignment="0" applyProtection="0"/>
    <xf numFmtId="0" fontId="64" fillId="13" borderId="18" applyNumberFormat="0" applyAlignment="0" applyProtection="0"/>
    <xf numFmtId="0" fontId="64" fillId="13" borderId="18" applyNumberFormat="0" applyAlignment="0" applyProtection="0"/>
    <xf numFmtId="0" fontId="79" fillId="61" borderId="22" applyNumberFormat="0" applyAlignment="0" applyProtection="0"/>
    <xf numFmtId="0" fontId="80" fillId="0" borderId="11">
      <alignment horizontal="center"/>
    </xf>
    <xf numFmtId="0" fontId="81" fillId="62" borderId="0">
      <alignment horizontal="left"/>
    </xf>
    <xf numFmtId="0" fontId="82" fillId="62" borderId="0">
      <alignment horizontal="right"/>
    </xf>
    <xf numFmtId="0" fontId="82" fillId="62" borderId="0">
      <alignment horizontal="center"/>
    </xf>
    <xf numFmtId="0" fontId="82" fillId="62" borderId="0">
      <alignment horizontal="right"/>
    </xf>
    <xf numFmtId="0" fontId="83" fillId="62" borderId="0">
      <alignment horizontal="left"/>
    </xf>
    <xf numFmtId="41" fontId="1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86" fontId="85" fillId="0" borderId="0" applyFont="0" applyFill="0" applyBorder="0" applyAlignment="0" applyProtection="0">
      <alignment horizontal="right"/>
    </xf>
    <xf numFmtId="187" fontId="17" fillId="0" borderId="0" applyFont="0" applyFill="0" applyBorder="0" applyAlignment="0" applyProtection="0"/>
    <xf numFmtId="188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17" fillId="0" borderId="0">
      <protection locked="0"/>
    </xf>
    <xf numFmtId="3" fontId="18" fillId="0" borderId="0" applyFont="0" applyFill="0" applyBorder="0" applyAlignment="0" applyProtection="0"/>
    <xf numFmtId="0" fontId="92" fillId="0" borderId="0" applyFill="0" applyBorder="0" applyAlignment="0" applyProtection="0"/>
    <xf numFmtId="0" fontId="93" fillId="0" borderId="0" applyFill="0" applyBorder="0" applyAlignment="0" applyProtection="0">
      <protection locked="0"/>
    </xf>
    <xf numFmtId="0" fontId="92" fillId="0" borderId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94" fontId="8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5" fontId="17" fillId="0" borderId="0">
      <protection locked="0"/>
    </xf>
    <xf numFmtId="196" fontId="18" fillId="0" borderId="0" applyFont="0" applyFill="0" applyBorder="0" applyAlignment="0" applyProtection="0"/>
    <xf numFmtId="197" fontId="94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95" fillId="0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8" fontId="97" fillId="0" borderId="0"/>
    <xf numFmtId="199" fontId="97" fillId="0" borderId="0"/>
    <xf numFmtId="164" fontId="97" fillId="0" borderId="0"/>
    <xf numFmtId="199" fontId="97" fillId="0" borderId="0"/>
    <xf numFmtId="200" fontId="97" fillId="0" borderId="0"/>
    <xf numFmtId="200" fontId="97" fillId="0" borderId="0"/>
    <xf numFmtId="198" fontId="97" fillId="0" borderId="0"/>
    <xf numFmtId="201" fontId="97" fillId="0" borderId="0"/>
    <xf numFmtId="202" fontId="97" fillId="0" borderId="0"/>
    <xf numFmtId="203" fontId="97" fillId="0" borderId="0"/>
    <xf numFmtId="204" fontId="97" fillId="0" borderId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98" fillId="42" borderId="0" applyNumberFormat="0" applyBorder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99" fillId="0" borderId="23" applyNumberFormat="0" applyFill="0" applyAlignment="0" applyProtection="0"/>
    <xf numFmtId="0" fontId="100" fillId="0" borderId="2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101" fillId="0" borderId="13" applyNumberFormat="0" applyFill="0" applyAlignment="0" applyProtection="0"/>
    <xf numFmtId="0" fontId="102" fillId="0" borderId="2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1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04" fillId="0" borderId="25" applyNumberFormat="0" applyFill="0" applyAlignment="0" applyProtection="0"/>
    <xf numFmtId="0" fontId="105" fillId="0" borderId="25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3" fillId="0" borderId="0" applyFill="0" applyAlignment="0" applyProtection="0"/>
    <xf numFmtId="0" fontId="78" fillId="0" borderId="0" applyFill="0" applyAlignment="0" applyProtection="0">
      <protection locked="0"/>
    </xf>
    <xf numFmtId="0" fontId="23" fillId="0" borderId="0" applyFill="0" applyAlignment="0" applyProtection="0"/>
    <xf numFmtId="0" fontId="23" fillId="0" borderId="2" applyFill="0" applyAlignment="0" applyProtection="0"/>
    <xf numFmtId="0" fontId="78" fillId="0" borderId="2" applyFill="0" applyAlignment="0" applyProtection="0">
      <protection locked="0"/>
    </xf>
    <xf numFmtId="0" fontId="23" fillId="0" borderId="2" applyFill="0" applyAlignment="0" applyProtection="0"/>
    <xf numFmtId="0" fontId="78" fillId="0" borderId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85" fontId="106" fillId="6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0" fillId="11" borderId="15" applyNumberFormat="0" applyAlignment="0" applyProtection="0"/>
    <xf numFmtId="0" fontId="60" fillId="11" borderId="15" applyNumberFormat="0" applyAlignment="0" applyProtection="0"/>
    <xf numFmtId="0" fontId="60" fillId="11" borderId="15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41" fontId="108" fillId="4" borderId="26">
      <alignment horizontal="left"/>
      <protection locked="0"/>
    </xf>
    <xf numFmtId="185" fontId="19" fillId="4" borderId="0" applyNumberFormat="0" applyBorder="0" applyAlignment="0" applyProtection="0"/>
    <xf numFmtId="185" fontId="19" fillId="4" borderId="0" applyNumberFormat="0" applyBorder="0" applyAlignment="0" applyProtection="0"/>
    <xf numFmtId="0" fontId="81" fillId="62" borderId="0">
      <alignment horizontal="left"/>
    </xf>
    <xf numFmtId="0" fontId="81" fillId="62" borderId="0">
      <alignment horizontal="left"/>
    </xf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109" fillId="0" borderId="27" applyNumberFormat="0" applyFill="0" applyAlignment="0" applyProtection="0"/>
    <xf numFmtId="0" fontId="110" fillId="2" borderId="0"/>
    <xf numFmtId="174" fontId="9" fillId="64" borderId="0" applyFont="0" applyFill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111" fillId="65" borderId="0" applyNumberFormat="0" applyBorder="0" applyAlignment="0" applyProtection="0"/>
    <xf numFmtId="0" fontId="13" fillId="0" borderId="0">
      <alignment readingOrder="1"/>
    </xf>
    <xf numFmtId="0" fontId="16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5" fontId="84" fillId="0" borderId="0"/>
    <xf numFmtId="205" fontId="84" fillId="0" borderId="0"/>
    <xf numFmtId="205" fontId="84" fillId="0" borderId="0"/>
    <xf numFmtId="20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0" fontId="13" fillId="0" borderId="0"/>
    <xf numFmtId="0" fontId="13" fillId="0" borderId="0"/>
    <xf numFmtId="185" fontId="13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88" fillId="0" borderId="0"/>
    <xf numFmtId="3" fontId="84" fillId="0" borderId="0"/>
    <xf numFmtId="0" fontId="13" fillId="0" borderId="0"/>
    <xf numFmtId="0" fontId="84" fillId="0" borderId="0"/>
    <xf numFmtId="0" fontId="5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0" fontId="13" fillId="0" borderId="0"/>
    <xf numFmtId="0" fontId="8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3" fillId="0" borderId="0"/>
    <xf numFmtId="0" fontId="31" fillId="0" borderId="0">
      <alignment vertical="top"/>
    </xf>
    <xf numFmtId="0" fontId="13" fillId="0" borderId="0"/>
    <xf numFmtId="0" fontId="13" fillId="0" borderId="0"/>
    <xf numFmtId="185" fontId="13" fillId="0" borderId="0"/>
    <xf numFmtId="3" fontId="84" fillId="0" borderId="0"/>
    <xf numFmtId="0" fontId="31" fillId="0" borderId="0">
      <alignment vertical="top"/>
    </xf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3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/>
    <xf numFmtId="0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9" fillId="0" borderId="0"/>
    <xf numFmtId="0" fontId="84" fillId="0" borderId="0"/>
    <xf numFmtId="3" fontId="84" fillId="0" borderId="0"/>
    <xf numFmtId="0" fontId="9" fillId="0" borderId="0"/>
    <xf numFmtId="0" fontId="9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205" fontId="84" fillId="0" borderId="0"/>
    <xf numFmtId="205" fontId="84" fillId="0" borderId="0"/>
    <xf numFmtId="205" fontId="84" fillId="0" borderId="0"/>
    <xf numFmtId="205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5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84" fillId="0" borderId="0"/>
    <xf numFmtId="185" fontId="84" fillId="0" borderId="0"/>
    <xf numFmtId="185" fontId="84" fillId="0" borderId="0"/>
    <xf numFmtId="0" fontId="31" fillId="0" borderId="0">
      <alignment vertical="top"/>
    </xf>
    <xf numFmtId="185" fontId="84" fillId="0" borderId="0"/>
    <xf numFmtId="185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1" fillId="0" borderId="0">
      <alignment vertical="top"/>
    </xf>
    <xf numFmtId="0" fontId="4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8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39" fontId="113" fillId="0" borderId="0"/>
    <xf numFmtId="0" fontId="84" fillId="0" borderId="0"/>
    <xf numFmtId="0" fontId="5" fillId="0" borderId="0"/>
    <xf numFmtId="0" fontId="84" fillId="0" borderId="0"/>
    <xf numFmtId="0" fontId="114" fillId="0" borderId="0"/>
    <xf numFmtId="3" fontId="84" fillId="0" borderId="0"/>
    <xf numFmtId="0" fontId="13" fillId="0" borderId="0"/>
    <xf numFmtId="0" fontId="9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97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44" fillId="14" borderId="19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61" fillId="12" borderId="16" applyNumberFormat="0" applyAlignment="0" applyProtection="0"/>
    <xf numFmtId="0" fontId="61" fillId="12" borderId="16" applyNumberFormat="0" applyAlignment="0" applyProtection="0"/>
    <xf numFmtId="0" fontId="61" fillId="12" borderId="16" applyNumberFormat="0" applyAlignment="0" applyProtection="0"/>
    <xf numFmtId="0" fontId="61" fillId="60" borderId="16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40" fontId="116" fillId="63" borderId="0">
      <alignment horizontal="right"/>
    </xf>
    <xf numFmtId="0" fontId="117" fillId="63" borderId="0">
      <alignment horizontal="right"/>
    </xf>
    <xf numFmtId="185" fontId="13" fillId="64" borderId="0" applyNumberFormat="0" applyBorder="0" applyAlignment="0" applyProtection="0"/>
    <xf numFmtId="185" fontId="13" fillId="64" borderId="0" applyNumberFormat="0" applyBorder="0" applyAlignment="0" applyProtection="0"/>
    <xf numFmtId="0" fontId="118" fillId="63" borderId="30"/>
    <xf numFmtId="0" fontId="118" fillId="0" borderId="0" applyBorder="0">
      <alignment horizontal="centerContinuous"/>
    </xf>
    <xf numFmtId="0" fontId="119" fillId="0" borderId="0" applyBorder="0">
      <alignment horizontal="centerContinuous"/>
    </xf>
    <xf numFmtId="206" fontId="86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86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86" fillId="0" borderId="0" applyFont="0" applyFill="0" applyBorder="0" applyAlignment="0" applyProtection="0"/>
    <xf numFmtId="211" fontId="17" fillId="0" borderId="0" applyFont="0" applyFill="0" applyBorder="0" applyAlignment="0" applyProtection="0"/>
    <xf numFmtId="212" fontId="86" fillId="0" borderId="0" applyFont="0" applyFill="0" applyBorder="0" applyAlignment="0" applyProtection="0"/>
    <xf numFmtId="213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5" fontId="73" fillId="58" borderId="0" applyNumberFormat="0" applyBorder="0" applyAlignment="0" applyProtection="0"/>
    <xf numFmtId="0" fontId="81" fillId="62" borderId="0">
      <alignment horizontal="center"/>
    </xf>
    <xf numFmtId="49" fontId="120" fillId="62" borderId="0">
      <alignment horizontal="center"/>
    </xf>
    <xf numFmtId="0" fontId="121" fillId="0" borderId="0">
      <alignment horizontal="right"/>
    </xf>
    <xf numFmtId="0" fontId="122" fillId="0" borderId="0">
      <alignment horizontal="right"/>
    </xf>
    <xf numFmtId="0" fontId="82" fillId="62" borderId="0">
      <alignment horizontal="center"/>
    </xf>
    <xf numFmtId="0" fontId="82" fillId="62" borderId="0">
      <alignment horizontal="centerContinuous"/>
    </xf>
    <xf numFmtId="0" fontId="123" fillId="62" borderId="0">
      <alignment horizontal="left"/>
    </xf>
    <xf numFmtId="49" fontId="123" fillId="62" borderId="0">
      <alignment horizontal="center"/>
    </xf>
    <xf numFmtId="0" fontId="81" fillId="62" borderId="0">
      <alignment horizontal="left"/>
    </xf>
    <xf numFmtId="49" fontId="123" fillId="62" borderId="0">
      <alignment horizontal="left"/>
    </xf>
    <xf numFmtId="0" fontId="81" fillId="62" borderId="0">
      <alignment horizontal="centerContinuous"/>
    </xf>
    <xf numFmtId="0" fontId="81" fillId="62" borderId="0">
      <alignment horizontal="right"/>
    </xf>
    <xf numFmtId="49" fontId="81" fillId="62" borderId="0">
      <alignment horizontal="left"/>
    </xf>
    <xf numFmtId="0" fontId="82" fillId="62" borderId="0">
      <alignment horizontal="right"/>
    </xf>
    <xf numFmtId="0" fontId="123" fillId="67" borderId="0">
      <alignment horizontal="center"/>
    </xf>
    <xf numFmtId="0" fontId="124" fillId="67" borderId="0">
      <alignment horizontal="center"/>
    </xf>
    <xf numFmtId="0" fontId="97" fillId="0" borderId="0"/>
    <xf numFmtId="0" fontId="125" fillId="0" borderId="0" applyNumberFormat="0" applyBorder="0" applyAlignment="0"/>
    <xf numFmtId="0" fontId="125" fillId="0" borderId="0" applyNumberFormat="0" applyBorder="0" applyAlignment="0"/>
    <xf numFmtId="0" fontId="31" fillId="0" borderId="0" applyNumberFormat="0" applyBorder="0" applyAlignment="0"/>
    <xf numFmtId="185" fontId="31" fillId="0" borderId="0" applyNumberFormat="0" applyBorder="0" applyAlignment="0"/>
    <xf numFmtId="0" fontId="97" fillId="0" borderId="0"/>
    <xf numFmtId="185" fontId="31" fillId="0" borderId="0" applyNumberFormat="0" applyBorder="0" applyAlignment="0"/>
    <xf numFmtId="0" fontId="126" fillId="0" borderId="0"/>
    <xf numFmtId="0" fontId="127" fillId="0" borderId="0" applyNumberFormat="0" applyBorder="0" applyAlignment="0"/>
    <xf numFmtId="0" fontId="127" fillId="0" borderId="0" applyNumberFormat="0" applyBorder="0" applyAlignment="0"/>
    <xf numFmtId="0" fontId="126" fillId="0" borderId="0"/>
    <xf numFmtId="0" fontId="128" fillId="0" borderId="0"/>
    <xf numFmtId="185" fontId="129" fillId="0" borderId="0"/>
    <xf numFmtId="0" fontId="130" fillId="0" borderId="0"/>
    <xf numFmtId="0" fontId="131" fillId="0" borderId="0" applyNumberFormat="0" applyBorder="0" applyAlignment="0"/>
    <xf numFmtId="0" fontId="131" fillId="0" borderId="0" applyNumberFormat="0" applyBorder="0" applyAlignment="0"/>
    <xf numFmtId="0" fontId="130" fillId="0" borderId="0"/>
    <xf numFmtId="0" fontId="132" fillId="0" borderId="0" applyNumberFormat="0" applyBorder="0" applyAlignment="0"/>
    <xf numFmtId="0" fontId="133" fillId="0" borderId="0"/>
    <xf numFmtId="185" fontId="134" fillId="0" borderId="0"/>
    <xf numFmtId="0" fontId="135" fillId="0" borderId="0"/>
    <xf numFmtId="0" fontId="131" fillId="68" borderId="0" applyNumberFormat="0" applyBorder="0" applyAlignment="0"/>
    <xf numFmtId="0" fontId="136" fillId="0" borderId="0"/>
    <xf numFmtId="0" fontId="137" fillId="0" borderId="0"/>
    <xf numFmtId="0" fontId="138" fillId="0" borderId="0"/>
    <xf numFmtId="0" fontId="137" fillId="69" borderId="0"/>
    <xf numFmtId="0" fontId="53" fillId="0" borderId="0" applyNumberFormat="0" applyFill="0" applyBorder="0" applyAlignment="0" applyProtection="0"/>
    <xf numFmtId="0" fontId="139" fillId="70" borderId="31" applyNumberFormat="0">
      <alignment horizontal="lef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9" fillId="70" borderId="32">
      <alignment horizontal="left"/>
    </xf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3" fillId="62" borderId="0">
      <alignment horizont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85" fontId="23" fillId="71" borderId="0" applyNumberFormat="0" applyBorder="0" applyAlignment="0" applyProtection="0"/>
    <xf numFmtId="216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9" fillId="0" borderId="0" applyFont="0" applyFill="0" applyBorder="0" applyAlignment="0" applyProtection="0">
      <alignment horizontal="right"/>
    </xf>
    <xf numFmtId="0" fontId="145" fillId="0" borderId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45" fillId="0" borderId="0"/>
    <xf numFmtId="0" fontId="84" fillId="0" borderId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0" applyNumberFormat="0" applyBorder="0" applyAlignment="0" applyProtection="0"/>
    <xf numFmtId="0" fontId="60" fillId="11" borderId="15" applyNumberFormat="0" applyAlignment="0" applyProtection="0"/>
    <xf numFmtId="0" fontId="61" fillId="12" borderId="16" applyNumberFormat="0" applyAlignment="0" applyProtection="0"/>
    <xf numFmtId="0" fontId="62" fillId="12" borderId="15" applyNumberFormat="0" applyAlignment="0" applyProtection="0"/>
    <xf numFmtId="0" fontId="63" fillId="0" borderId="17" applyNumberFormat="0" applyFill="0" applyAlignment="0" applyProtection="0"/>
    <xf numFmtId="0" fontId="64" fillId="13" borderId="1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0" borderId="0"/>
    <xf numFmtId="0" fontId="4" fillId="0" borderId="0"/>
    <xf numFmtId="0" fontId="4" fillId="14" borderId="19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160" fillId="0" borderId="0"/>
    <xf numFmtId="0" fontId="3" fillId="0" borderId="0"/>
  </cellStyleXfs>
  <cellXfs count="47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7" fillId="0" borderId="0" xfId="0" applyFont="1"/>
    <xf numFmtId="0" fontId="0" fillId="0" borderId="0" xfId="0" applyBorder="1"/>
    <xf numFmtId="164" fontId="0" fillId="0" borderId="0" xfId="0" applyNumberFormat="1" applyBorder="1"/>
    <xf numFmtId="0" fontId="13" fillId="0" borderId="0" xfId="5"/>
    <xf numFmtId="0" fontId="13" fillId="0" borderId="0" xfId="5" applyFont="1" applyAlignment="1">
      <alignment horizontal="right"/>
    </xf>
    <xf numFmtId="0" fontId="15" fillId="0" borderId="0" xfId="0" applyFont="1"/>
    <xf numFmtId="164" fontId="15" fillId="0" borderId="0" xfId="0" applyNumberFormat="1" applyFont="1"/>
    <xf numFmtId="164" fontId="15" fillId="0" borderId="1" xfId="0" applyNumberFormat="1" applyFont="1" applyBorder="1"/>
    <xf numFmtId="0" fontId="15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3" fillId="0" borderId="0" xfId="5" applyFont="1"/>
    <xf numFmtId="0" fontId="13" fillId="0" borderId="0" xfId="7"/>
    <xf numFmtId="0" fontId="13" fillId="0" borderId="0" xfId="6"/>
    <xf numFmtId="3" fontId="13" fillId="0" borderId="0" xfId="7" applyNumberFormat="1" applyBorder="1"/>
    <xf numFmtId="0" fontId="13" fillId="0" borderId="0" xfId="7" applyFont="1" applyBorder="1"/>
    <xf numFmtId="0" fontId="9" fillId="0" borderId="0" xfId="0" applyFont="1"/>
    <xf numFmtId="164" fontId="9" fillId="0" borderId="0" xfId="1" applyNumberFormat="1" applyFont="1" applyFill="1"/>
    <xf numFmtId="14" fontId="13" fillId="0" borderId="0" xfId="5" applyNumberFormat="1" applyFont="1"/>
    <xf numFmtId="0" fontId="13" fillId="0" borderId="0" xfId="5" applyNumberFormat="1" applyFont="1"/>
    <xf numFmtId="164" fontId="13" fillId="0" borderId="0" xfId="5" applyNumberFormat="1" applyFont="1"/>
    <xf numFmtId="3" fontId="13" fillId="0" borderId="0" xfId="5" applyNumberFormat="1" applyFont="1"/>
    <xf numFmtId="166" fontId="13" fillId="0" borderId="0" xfId="5" applyNumberFormat="1" applyFont="1"/>
    <xf numFmtId="167" fontId="13" fillId="0" borderId="0" xfId="10" applyNumberFormat="1" applyFont="1" applyFill="1"/>
    <xf numFmtId="169" fontId="13" fillId="0" borderId="0" xfId="5" applyNumberFormat="1" applyFont="1"/>
    <xf numFmtId="43" fontId="13" fillId="0" borderId="0" xfId="5" applyNumberFormat="1" applyFont="1"/>
    <xf numFmtId="0" fontId="13" fillId="0" borderId="0" xfId="6" applyFont="1"/>
    <xf numFmtId="170" fontId="0" fillId="0" borderId="0" xfId="0" applyNumberFormat="1"/>
    <xf numFmtId="0" fontId="13" fillId="0" borderId="0" xfId="3" applyFont="1"/>
    <xf numFmtId="0" fontId="23" fillId="0" borderId="0" xfId="6" applyFont="1" applyAlignment="1">
      <alignment horizontal="center"/>
    </xf>
    <xf numFmtId="0" fontId="13" fillId="0" borderId="0" xfId="6" applyFont="1" applyAlignment="1">
      <alignment horizontal="right"/>
    </xf>
    <xf numFmtId="0" fontId="13" fillId="0" borderId="0" xfId="6" applyAlignment="1">
      <alignment horizontal="right"/>
    </xf>
    <xf numFmtId="0" fontId="13" fillId="0" borderId="0" xfId="6" applyFont="1" applyAlignment="1"/>
    <xf numFmtId="172" fontId="13" fillId="0" borderId="0" xfId="5" applyNumberFormat="1" applyFont="1" applyAlignment="1">
      <alignment horizontal="right"/>
    </xf>
    <xf numFmtId="18" fontId="13" fillId="0" borderId="0" xfId="5" applyNumberFormat="1" applyFont="1" applyAlignment="1">
      <alignment horizontal="right"/>
    </xf>
    <xf numFmtId="0" fontId="13" fillId="0" borderId="0" xfId="5" applyNumberFormat="1" applyFont="1" applyAlignment="1">
      <alignment horizontal="right"/>
    </xf>
    <xf numFmtId="173" fontId="13" fillId="0" borderId="0" xfId="5" applyNumberFormat="1" applyFont="1" applyAlignment="1">
      <alignment horizontal="right"/>
    </xf>
    <xf numFmtId="0" fontId="13" fillId="0" borderId="0" xfId="5" applyFont="1" applyAlignment="1">
      <alignment horizontal="left"/>
    </xf>
    <xf numFmtId="3" fontId="13" fillId="0" borderId="0" xfId="1" applyNumberFormat="1" applyFont="1"/>
    <xf numFmtId="0" fontId="23" fillId="0" borderId="0" xfId="5" applyFont="1" applyAlignment="1">
      <alignment horizontal="right"/>
    </xf>
    <xf numFmtId="3" fontId="9" fillId="0" borderId="0" xfId="1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0" fontId="13" fillId="0" borderId="0" xfId="4"/>
    <xf numFmtId="0" fontId="24" fillId="0" borderId="0" xfId="4" applyFont="1"/>
    <xf numFmtId="0" fontId="13" fillId="0" borderId="0" xfId="4" applyNumberFormat="1"/>
    <xf numFmtId="174" fontId="13" fillId="0" borderId="0" xfId="4" applyNumberFormat="1" applyAlignment="1">
      <alignment horizontal="centerContinuous"/>
    </xf>
    <xf numFmtId="0" fontId="13" fillId="0" borderId="0" xfId="4" applyAlignment="1">
      <alignment horizontal="centerContinuous"/>
    </xf>
    <xf numFmtId="0" fontId="24" fillId="0" borderId="0" xfId="4" applyFont="1" applyAlignment="1">
      <alignment horizontal="right"/>
    </xf>
    <xf numFmtId="0" fontId="13" fillId="0" borderId="0" xfId="4" applyAlignment="1">
      <alignment horizontal="right"/>
    </xf>
    <xf numFmtId="14" fontId="13" fillId="0" borderId="0" xfId="4" applyNumberFormat="1"/>
    <xf numFmtId="0" fontId="13" fillId="3" borderId="0" xfId="4" applyFill="1"/>
    <xf numFmtId="171" fontId="13" fillId="0" borderId="0" xfId="4" applyNumberFormat="1"/>
    <xf numFmtId="175" fontId="13" fillId="0" borderId="0" xfId="4" applyNumberFormat="1"/>
    <xf numFmtId="176" fontId="13" fillId="0" borderId="0" xfId="4" applyNumberFormat="1"/>
    <xf numFmtId="3" fontId="13" fillId="0" borderId="0" xfId="4" applyNumberFormat="1"/>
    <xf numFmtId="0" fontId="26" fillId="0" borderId="0" xfId="4" applyFont="1"/>
    <xf numFmtId="0" fontId="23" fillId="0" borderId="0" xfId="4" applyFo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164" fontId="21" fillId="0" borderId="0" xfId="1" applyNumberFormat="1" applyFont="1" applyFill="1"/>
    <xf numFmtId="165" fontId="9" fillId="0" borderId="0" xfId="10" applyNumberFormat="1" applyFont="1" applyFill="1"/>
    <xf numFmtId="164" fontId="9" fillId="0" borderId="0" xfId="0" applyNumberFormat="1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9" fillId="0" borderId="1" xfId="0" applyNumberFormat="1" applyFont="1" applyFill="1" applyBorder="1"/>
    <xf numFmtId="164" fontId="9" fillId="0" borderId="1" xfId="1" applyNumberFormat="1" applyFont="1" applyFill="1" applyBorder="1"/>
    <xf numFmtId="164" fontId="9" fillId="0" borderId="0" xfId="1" applyNumberFormat="1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165" fontId="9" fillId="0" borderId="0" xfId="0" applyNumberFormat="1" applyFont="1" applyFill="1"/>
    <xf numFmtId="164" fontId="9" fillId="0" borderId="0" xfId="1" applyNumberFormat="1" applyFont="1" applyFill="1" applyAlignment="1">
      <alignment horizontal="right"/>
    </xf>
    <xf numFmtId="3" fontId="13" fillId="0" borderId="0" xfId="5" applyNumberFormat="1" applyFont="1" applyFill="1"/>
    <xf numFmtId="3" fontId="19" fillId="0" borderId="0" xfId="7" applyNumberFormat="1" applyFont="1" applyFill="1" applyBorder="1"/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3" fontId="9" fillId="0" borderId="0" xfId="1" applyNumberFormat="1" applyFont="1" applyFill="1"/>
    <xf numFmtId="3" fontId="21" fillId="0" borderId="0" xfId="1" applyNumberFormat="1" applyFont="1" applyFill="1"/>
    <xf numFmtId="3" fontId="9" fillId="0" borderId="0" xfId="0" applyNumberFormat="1" applyFont="1" applyFill="1"/>
    <xf numFmtId="3" fontId="9" fillId="0" borderId="1" xfId="0" applyNumberFormat="1" applyFont="1" applyFill="1" applyBorder="1"/>
    <xf numFmtId="164" fontId="9" fillId="0" borderId="0" xfId="0" applyNumberFormat="1" applyFont="1" applyFill="1" applyBorder="1"/>
    <xf numFmtId="172" fontId="9" fillId="0" borderId="0" xfId="0" applyNumberFormat="1" applyFont="1" applyFill="1" applyAlignment="1">
      <alignment horizontal="right"/>
    </xf>
    <xf numFmtId="9" fontId="9" fillId="0" borderId="0" xfId="1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3" fontId="7" fillId="0" borderId="1" xfId="0" applyNumberFormat="1" applyFont="1" applyFill="1" applyBorder="1"/>
    <xf numFmtId="3" fontId="9" fillId="0" borderId="1" xfId="1" applyNumberFormat="1" applyFont="1" applyFill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3" fontId="9" fillId="0" borderId="0" xfId="1" applyNumberFormat="1" applyFont="1" applyFill="1" applyBorder="1"/>
    <xf numFmtId="14" fontId="0" fillId="0" borderId="0" xfId="0" applyNumberFormat="1" applyFill="1" applyAlignment="1">
      <alignment horizontal="center"/>
    </xf>
    <xf numFmtId="3" fontId="9" fillId="0" borderId="1" xfId="1" applyNumberFormat="1" applyFill="1" applyBorder="1" applyAlignment="1"/>
    <xf numFmtId="164" fontId="9" fillId="0" borderId="0" xfId="0" applyNumberFormat="1" applyFont="1" applyFill="1" applyAlignment="1">
      <alignment horizontal="center"/>
    </xf>
    <xf numFmtId="164" fontId="9" fillId="0" borderId="1" xfId="1" applyNumberFormat="1" applyFill="1" applyBorder="1"/>
    <xf numFmtId="0" fontId="0" fillId="0" borderId="0" xfId="0" applyFill="1" applyAlignment="1">
      <alignment horizontal="right"/>
    </xf>
    <xf numFmtId="3" fontId="0" fillId="0" borderId="1" xfId="0" applyNumberFormat="1" applyFill="1" applyBorder="1"/>
    <xf numFmtId="3" fontId="9" fillId="0" borderId="1" xfId="1" applyNumberFormat="1" applyFill="1" applyBorder="1"/>
    <xf numFmtId="3" fontId="9" fillId="0" borderId="0" xfId="1" applyNumberFormat="1" applyFill="1"/>
    <xf numFmtId="164" fontId="9" fillId="0" borderId="0" xfId="1" applyNumberFormat="1" applyFill="1"/>
    <xf numFmtId="43" fontId="9" fillId="0" borderId="0" xfId="1" applyNumberFormat="1" applyFill="1"/>
    <xf numFmtId="171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9" fillId="0" borderId="0" xfId="1" applyNumberFormat="1" applyFill="1" applyAlignment="1"/>
    <xf numFmtId="0" fontId="14" fillId="0" borderId="0" xfId="0" applyFont="1" applyFill="1"/>
    <xf numFmtId="9" fontId="0" fillId="0" borderId="0" xfId="10" applyFont="1" applyFill="1"/>
    <xf numFmtId="0" fontId="13" fillId="0" borderId="0" xfId="8"/>
    <xf numFmtId="174" fontId="23" fillId="0" borderId="0" xfId="8" applyNumberFormat="1" applyFont="1" applyAlignment="1">
      <alignment horizontal="right"/>
    </xf>
    <xf numFmtId="0" fontId="23" fillId="0" borderId="0" xfId="8" applyFont="1" applyAlignment="1">
      <alignment horizontal="right"/>
    </xf>
    <xf numFmtId="0" fontId="23" fillId="0" borderId="0" xfId="8" applyFont="1"/>
    <xf numFmtId="3" fontId="19" fillId="0" borderId="0" xfId="8" applyNumberFormat="1" applyFont="1"/>
    <xf numFmtId="3" fontId="13" fillId="0" borderId="0" xfId="8" applyNumberFormat="1"/>
    <xf numFmtId="3" fontId="13" fillId="0" borderId="1" xfId="8" applyNumberFormat="1" applyFont="1" applyBorder="1"/>
    <xf numFmtId="0" fontId="13" fillId="0" borderId="0" xfId="8" quotePrefix="1"/>
    <xf numFmtId="3" fontId="13" fillId="0" borderId="1" xfId="8" applyNumberFormat="1" applyBorder="1"/>
    <xf numFmtId="0" fontId="27" fillId="0" borderId="0" xfId="0" applyFont="1"/>
    <xf numFmtId="165" fontId="15" fillId="0" borderId="0" xfId="0" applyNumberFormat="1" applyFont="1"/>
    <xf numFmtId="0" fontId="13" fillId="0" borderId="0" xfId="8" applyAlignment="1">
      <alignment horizontal="left" indent="1"/>
    </xf>
    <xf numFmtId="164" fontId="14" fillId="0" borderId="0" xfId="1" applyNumberFormat="1" applyFont="1"/>
    <xf numFmtId="171" fontId="0" fillId="0" borderId="0" xfId="0" applyNumberFormat="1"/>
    <xf numFmtId="177" fontId="13" fillId="0" borderId="1" xfId="4" applyNumberFormat="1" applyBorder="1"/>
    <xf numFmtId="178" fontId="13" fillId="0" borderId="0" xfId="4" applyNumberFormat="1"/>
    <xf numFmtId="0" fontId="13" fillId="0" borderId="1" xfId="4" applyNumberFormat="1" applyBorder="1"/>
    <xf numFmtId="3" fontId="23" fillId="0" borderId="0" xfId="4" applyNumberFormat="1" applyFont="1"/>
    <xf numFmtId="3" fontId="23" fillId="0" borderId="1" xfId="4" applyNumberFormat="1" applyFont="1" applyBorder="1"/>
    <xf numFmtId="177" fontId="13" fillId="0" borderId="0" xfId="4" applyNumberFormat="1" applyBorder="1"/>
    <xf numFmtId="0" fontId="9" fillId="0" borderId="0" xfId="0" applyFont="1" applyFill="1" applyAlignment="1">
      <alignment horizontal="left" indent="1"/>
    </xf>
    <xf numFmtId="0" fontId="29" fillId="0" borderId="0" xfId="0" quotePrefix="1" applyFont="1" applyFill="1" applyBorder="1" applyAlignment="1">
      <alignment vertical="center"/>
    </xf>
    <xf numFmtId="3" fontId="0" fillId="0" borderId="0" xfId="0" applyNumberFormat="1"/>
    <xf numFmtId="3" fontId="0" fillId="0" borderId="1" xfId="0" applyNumberFormat="1" applyBorder="1"/>
    <xf numFmtId="0" fontId="26" fillId="0" borderId="0" xfId="0" applyFont="1" applyFill="1"/>
    <xf numFmtId="0" fontId="0" fillId="0" borderId="0" xfId="0" quotePrefix="1" applyFill="1"/>
    <xf numFmtId="3" fontId="0" fillId="0" borderId="0" xfId="0" applyNumberFormat="1" applyFill="1" applyBorder="1"/>
    <xf numFmtId="0" fontId="32" fillId="0" borderId="0" xfId="0" applyFont="1"/>
    <xf numFmtId="3" fontId="13" fillId="0" borderId="0" xfId="5" applyNumberFormat="1"/>
    <xf numFmtId="0" fontId="33" fillId="0" borderId="0" xfId="0" applyFont="1" applyFill="1" applyAlignment="1">
      <alignment horizontal="left"/>
    </xf>
    <xf numFmtId="3" fontId="13" fillId="0" borderId="0" xfId="1" applyNumberFormat="1" applyFont="1" applyFill="1"/>
    <xf numFmtId="22" fontId="13" fillId="0" borderId="0" xfId="4" applyNumberFormat="1"/>
    <xf numFmtId="10" fontId="0" fillId="0" borderId="0" xfId="10" applyNumberFormat="1" applyFont="1" applyFill="1"/>
    <xf numFmtId="0" fontId="13" fillId="0" borderId="0" xfId="8" applyFill="1"/>
    <xf numFmtId="0" fontId="13" fillId="0" borderId="0" xfId="8" applyFill="1" applyAlignment="1">
      <alignment horizontal="left" indent="1"/>
    </xf>
    <xf numFmtId="172" fontId="13" fillId="0" borderId="0" xfId="5" applyNumberFormat="1" applyFont="1" applyFill="1" applyAlignment="1">
      <alignment horizontal="right"/>
    </xf>
    <xf numFmtId="173" fontId="13" fillId="0" borderId="0" xfId="5" applyNumberFormat="1" applyFont="1" applyFill="1" applyAlignment="1">
      <alignment horizontal="right"/>
    </xf>
    <xf numFmtId="18" fontId="13" fillId="0" borderId="0" xfId="5" applyNumberFormat="1" applyFont="1" applyFill="1" applyAlignment="1">
      <alignment horizontal="right"/>
    </xf>
    <xf numFmtId="0" fontId="13" fillId="0" borderId="0" xfId="8" applyAlignment="1">
      <alignment horizontal="left"/>
    </xf>
    <xf numFmtId="0" fontId="28" fillId="0" borderId="0" xfId="8" quotePrefix="1" applyFont="1" applyAlignment="1">
      <alignment horizontal="left"/>
    </xf>
    <xf numFmtId="3" fontId="34" fillId="2" borderId="0" xfId="7" applyNumberFormat="1" applyFont="1" applyFill="1" applyBorder="1"/>
    <xf numFmtId="164" fontId="11" fillId="0" borderId="0" xfId="1" applyNumberFormat="1" applyFont="1" applyFill="1"/>
    <xf numFmtId="0" fontId="36" fillId="0" borderId="0" xfId="5" applyFont="1"/>
    <xf numFmtId="3" fontId="36" fillId="0" borderId="0" xfId="5" quotePrefix="1" applyNumberFormat="1" applyFont="1" applyFill="1"/>
    <xf numFmtId="0" fontId="13" fillId="0" borderId="0" xfId="12"/>
    <xf numFmtId="164" fontId="13" fillId="0" borderId="0" xfId="12" applyNumberFormat="1"/>
    <xf numFmtId="0" fontId="13" fillId="0" borderId="0" xfId="12" applyFill="1"/>
    <xf numFmtId="3" fontId="13" fillId="0" borderId="1" xfId="3" applyNumberFormat="1" applyFont="1" applyBorder="1" applyAlignment="1">
      <alignment vertical="justify"/>
    </xf>
    <xf numFmtId="3" fontId="13" fillId="0" borderId="10" xfId="3" applyNumberFormat="1" applyFont="1" applyBorder="1" applyAlignment="1">
      <alignment vertical="justify"/>
    </xf>
    <xf numFmtId="166" fontId="9" fillId="0" borderId="0" xfId="0" applyNumberFormat="1" applyFont="1"/>
    <xf numFmtId="0" fontId="11" fillId="0" borderId="0" xfId="0" applyFont="1" applyFill="1"/>
    <xf numFmtId="0" fontId="11" fillId="0" borderId="0" xfId="0" applyNumberFormat="1" applyFont="1" applyFill="1"/>
    <xf numFmtId="166" fontId="11" fillId="0" borderId="0" xfId="0" applyNumberFormat="1" applyFont="1" applyFill="1"/>
    <xf numFmtId="0" fontId="11" fillId="0" borderId="0" xfId="0" applyFont="1"/>
    <xf numFmtId="0" fontId="9" fillId="0" borderId="0" xfId="0" applyFont="1" applyAlignment="1">
      <alignment horizontal="left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center" vertical="center" wrapText="1"/>
    </xf>
    <xf numFmtId="166" fontId="9" fillId="0" borderId="2" xfId="9" applyNumberFormat="1" applyFont="1" applyBorder="1" applyAlignment="1">
      <alignment vertical="center"/>
    </xf>
    <xf numFmtId="0" fontId="9" fillId="0" borderId="2" xfId="9" applyFont="1" applyBorder="1" applyAlignment="1">
      <alignment horizontal="center" vertical="center"/>
    </xf>
    <xf numFmtId="168" fontId="9" fillId="0" borderId="2" xfId="9" applyNumberFormat="1" applyFont="1" applyBorder="1" applyAlignment="1">
      <alignment horizontal="right" vertical="center"/>
    </xf>
    <xf numFmtId="166" fontId="9" fillId="0" borderId="2" xfId="2" applyNumberFormat="1" applyFont="1" applyBorder="1" applyAlignment="1">
      <alignment vertical="center"/>
    </xf>
    <xf numFmtId="166" fontId="9" fillId="0" borderId="3" xfId="9" applyNumberFormat="1" applyFont="1" applyBorder="1" applyAlignment="1">
      <alignment vertical="center"/>
    </xf>
    <xf numFmtId="0" fontId="9" fillId="0" borderId="3" xfId="9" applyFont="1" applyBorder="1" applyAlignment="1">
      <alignment horizontal="center" vertical="center"/>
    </xf>
    <xf numFmtId="168" fontId="9" fillId="0" borderId="3" xfId="9" applyNumberFormat="1" applyFont="1" applyBorder="1" applyAlignment="1">
      <alignment horizontal="right" vertical="center"/>
    </xf>
    <xf numFmtId="0" fontId="9" fillId="0" borderId="0" xfId="9" applyFont="1" applyFill="1" applyAlignment="1">
      <alignment vertical="center"/>
    </xf>
    <xf numFmtId="0" fontId="9" fillId="0" borderId="0" xfId="9" applyFont="1" applyAlignment="1">
      <alignment horizontal="right" vertical="center"/>
    </xf>
    <xf numFmtId="166" fontId="9" fillId="0" borderId="0" xfId="9" applyNumberFormat="1" applyFont="1" applyAlignment="1">
      <alignment vertical="center"/>
    </xf>
    <xf numFmtId="0" fontId="8" fillId="0" borderId="0" xfId="9" applyFont="1" applyAlignment="1">
      <alignment vertical="center"/>
    </xf>
    <xf numFmtId="3" fontId="13" fillId="0" borderId="0" xfId="8" applyNumberFormat="1" applyFont="1" applyFill="1"/>
    <xf numFmtId="164" fontId="0" fillId="0" borderId="0" xfId="0" applyNumberFormat="1" applyFill="1"/>
    <xf numFmtId="0" fontId="13" fillId="0" borderId="0" xfId="0" applyFont="1"/>
    <xf numFmtId="0" fontId="0" fillId="0" borderId="0" xfId="0" applyFont="1" applyFill="1"/>
    <xf numFmtId="0" fontId="7" fillId="0" borderId="0" xfId="0" applyFont="1" applyAlignment="1">
      <alignment horizontal="left"/>
    </xf>
    <xf numFmtId="174" fontId="13" fillId="0" borderId="0" xfId="4" applyNumberFormat="1" applyAlignment="1">
      <alignment horizontal="center"/>
    </xf>
    <xf numFmtId="179" fontId="29" fillId="0" borderId="0" xfId="12" applyNumberFormat="1" applyFont="1" applyFill="1" applyBorder="1" applyAlignment="1">
      <alignment horizontal="right" vertical="top"/>
    </xf>
    <xf numFmtId="181" fontId="13" fillId="0" borderId="0" xfId="12" applyNumberFormat="1" applyAlignment="1">
      <alignment horizontal="center"/>
    </xf>
    <xf numFmtId="0" fontId="13" fillId="0" borderId="0" xfId="12" applyFont="1"/>
    <xf numFmtId="0" fontId="13" fillId="0" borderId="0" xfId="12" applyFont="1" applyAlignment="1"/>
    <xf numFmtId="0" fontId="50" fillId="0" borderId="0" xfId="52" applyAlignment="1" applyProtection="1"/>
    <xf numFmtId="0" fontId="13" fillId="0" borderId="0" xfId="5" applyFont="1" applyFill="1"/>
    <xf numFmtId="0" fontId="13" fillId="0" borderId="1" xfId="8" applyBorder="1"/>
    <xf numFmtId="3" fontId="13" fillId="0" borderId="0" xfId="7" applyNumberFormat="1" applyFont="1" applyFill="1" applyBorder="1"/>
    <xf numFmtId="3" fontId="13" fillId="0" borderId="1" xfId="8" applyNumberFormat="1" applyFont="1" applyFill="1" applyBorder="1"/>
    <xf numFmtId="3" fontId="13" fillId="0" borderId="1" xfId="8" applyNumberFormat="1" applyFill="1" applyBorder="1"/>
    <xf numFmtId="0" fontId="13" fillId="0" borderId="0" xfId="16" applyFont="1"/>
    <xf numFmtId="167" fontId="52" fillId="0" borderId="0" xfId="6" applyNumberFormat="1" applyFont="1"/>
    <xf numFmtId="167" fontId="52" fillId="0" borderId="0" xfId="10" applyNumberFormat="1" applyFont="1"/>
    <xf numFmtId="0" fontId="29" fillId="0" borderId="0" xfId="12" applyFont="1" applyFill="1" applyBorder="1" applyAlignment="1">
      <alignment horizontal="center" vertical="top"/>
    </xf>
    <xf numFmtId="0" fontId="69" fillId="0" borderId="0" xfId="12" applyFont="1"/>
    <xf numFmtId="164" fontId="39" fillId="0" borderId="0" xfId="53" applyNumberFormat="1" applyFont="1" applyFill="1"/>
    <xf numFmtId="164" fontId="19" fillId="5" borderId="0" xfId="18" applyNumberFormat="1" applyFont="1" applyFill="1"/>
    <xf numFmtId="164" fontId="19" fillId="4" borderId="0" xfId="18" applyNumberFormat="1" applyFont="1" applyFill="1"/>
    <xf numFmtId="164" fontId="13" fillId="0" borderId="0" xfId="18" applyNumberFormat="1" applyFont="1" applyFill="1"/>
    <xf numFmtId="0" fontId="42" fillId="0" borderId="0" xfId="12" applyFont="1"/>
    <xf numFmtId="0" fontId="42" fillId="0" borderId="0" xfId="12" applyFont="1" applyAlignment="1">
      <alignment horizontal="left"/>
    </xf>
    <xf numFmtId="0" fontId="114" fillId="0" borderId="0" xfId="15411"/>
    <xf numFmtId="0" fontId="114" fillId="0" borderId="0" xfId="15411" applyAlignment="1">
      <alignment horizontal="center"/>
    </xf>
    <xf numFmtId="181" fontId="13" fillId="0" borderId="0" xfId="13073" applyNumberFormat="1" applyAlignment="1">
      <alignment horizontal="center"/>
    </xf>
    <xf numFmtId="3" fontId="39" fillId="0" borderId="0" xfId="3182" applyNumberFormat="1" applyFont="1" applyFill="1"/>
    <xf numFmtId="3" fontId="13" fillId="0" borderId="0" xfId="53" applyNumberFormat="1"/>
    <xf numFmtId="3" fontId="13" fillId="0" borderId="1" xfId="53" applyNumberFormat="1" applyFont="1" applyFill="1" applyBorder="1"/>
    <xf numFmtId="3" fontId="13" fillId="0" borderId="10" xfId="53" applyNumberFormat="1" applyBorder="1"/>
    <xf numFmtId="164" fontId="13" fillId="0" borderId="0" xfId="53" applyNumberFormat="1"/>
    <xf numFmtId="164" fontId="13" fillId="0" borderId="1" xfId="2686" applyNumberFormat="1" applyFont="1" applyFill="1" applyBorder="1"/>
    <xf numFmtId="3" fontId="13" fillId="0" borderId="10" xfId="53" applyNumberFormat="1" applyFont="1" applyBorder="1"/>
    <xf numFmtId="0" fontId="13" fillId="0" borderId="0" xfId="3" applyFont="1" applyAlignment="1">
      <alignment horizontal="center"/>
    </xf>
    <xf numFmtId="0" fontId="13" fillId="0" borderId="0" xfId="3" applyFont="1" applyAlignment="1">
      <alignment vertical="justify"/>
    </xf>
    <xf numFmtId="3" fontId="19" fillId="0" borderId="0" xfId="3183" applyNumberFormat="1" applyFont="1" applyFill="1" applyAlignment="1">
      <alignment vertical="justify"/>
    </xf>
    <xf numFmtId="3" fontId="19" fillId="0" borderId="0" xfId="3184" applyNumberFormat="1" applyFont="1" applyFill="1"/>
    <xf numFmtId="3" fontId="13" fillId="0" borderId="0" xfId="53" applyNumberFormat="1" applyFill="1"/>
    <xf numFmtId="3" fontId="13" fillId="0" borderId="1" xfId="53" applyNumberFormat="1" applyBorder="1"/>
    <xf numFmtId="164" fontId="13" fillId="0" borderId="0" xfId="53" applyNumberFormat="1" applyFill="1"/>
    <xf numFmtId="3" fontId="19" fillId="0" borderId="0" xfId="53" applyNumberFormat="1" applyFont="1" applyFill="1"/>
    <xf numFmtId="3" fontId="13" fillId="0" borderId="0" xfId="53" applyNumberFormat="1" applyFont="1" applyFill="1" applyBorder="1"/>
    <xf numFmtId="5" fontId="13" fillId="0" borderId="0" xfId="53" applyNumberFormat="1" applyFont="1" applyFill="1"/>
    <xf numFmtId="3" fontId="19" fillId="0" borderId="0" xfId="3187" applyNumberFormat="1" applyFont="1" applyFill="1" applyAlignment="1">
      <alignment vertical="justify"/>
    </xf>
    <xf numFmtId="3" fontId="13" fillId="0" borderId="0" xfId="53" applyNumberFormat="1" applyFont="1" applyFill="1" applyAlignment="1">
      <alignment vertical="justify"/>
    </xf>
    <xf numFmtId="3" fontId="13" fillId="0" borderId="0" xfId="53" applyNumberFormat="1" applyFont="1" applyAlignment="1">
      <alignment vertical="justify"/>
    </xf>
    <xf numFmtId="3" fontId="19" fillId="72" borderId="0" xfId="53" applyNumberFormat="1" applyFont="1" applyFill="1"/>
    <xf numFmtId="0" fontId="0" fillId="0" borderId="0" xfId="0" quotePrefix="1"/>
    <xf numFmtId="0" fontId="0" fillId="0" borderId="0" xfId="0" applyAlignment="1">
      <alignment horizontal="right"/>
    </xf>
    <xf numFmtId="3" fontId="35" fillId="0" borderId="0" xfId="1" applyNumberFormat="1" applyFont="1" applyFill="1"/>
    <xf numFmtId="3" fontId="21" fillId="0" borderId="0" xfId="1" applyNumberFormat="1" applyFont="1" applyFill="1" applyAlignment="1"/>
    <xf numFmtId="0" fontId="9" fillId="0" borderId="0" xfId="0" quotePrefix="1" applyFont="1"/>
    <xf numFmtId="0" fontId="9" fillId="0" borderId="0" xfId="0" quotePrefix="1" applyFont="1" applyFill="1"/>
    <xf numFmtId="0" fontId="9" fillId="0" borderId="0" xfId="0" applyFont="1" applyAlignment="1">
      <alignment horizontal="right"/>
    </xf>
    <xf numFmtId="0" fontId="23" fillId="0" borderId="0" xfId="3" applyFont="1" applyAlignment="1">
      <alignment horizontal="left"/>
    </xf>
    <xf numFmtId="0" fontId="29" fillId="0" borderId="4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right" vertical="top"/>
    </xf>
    <xf numFmtId="0" fontId="30" fillId="0" borderId="6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center" vertical="top"/>
    </xf>
    <xf numFmtId="179" fontId="29" fillId="0" borderId="0" xfId="0" applyNumberFormat="1" applyFont="1" applyFill="1" applyBorder="1" applyAlignment="1">
      <alignment horizontal="right" vertical="top"/>
    </xf>
    <xf numFmtId="3" fontId="35" fillId="0" borderId="0" xfId="21841" applyNumberFormat="1" applyFont="1" applyFill="1"/>
    <xf numFmtId="3" fontId="146" fillId="0" borderId="0" xfId="1" applyNumberFormat="1" applyFont="1" applyFill="1"/>
    <xf numFmtId="225" fontId="0" fillId="0" borderId="0" xfId="0" applyNumberFormat="1"/>
    <xf numFmtId="0" fontId="42" fillId="0" borderId="0" xfId="3" applyFont="1" applyAlignment="1">
      <alignment vertical="justify"/>
    </xf>
    <xf numFmtId="0" fontId="13" fillId="74" borderId="0" xfId="0" applyFont="1" applyFill="1"/>
    <xf numFmtId="0" fontId="13" fillId="0" borderId="0" xfId="21935" applyAlignment="1">
      <alignment horizontal="center"/>
    </xf>
    <xf numFmtId="0" fontId="9" fillId="0" borderId="0" xfId="0" applyFont="1" applyFill="1" applyAlignment="1">
      <alignment horizontal="left"/>
    </xf>
    <xf numFmtId="165" fontId="21" fillId="0" borderId="0" xfId="10" applyNumberFormat="1" applyFont="1" applyFill="1"/>
    <xf numFmtId="0" fontId="147" fillId="0" borderId="0" xfId="0" applyFont="1"/>
    <xf numFmtId="9" fontId="149" fillId="0" borderId="0" xfId="10" applyFont="1"/>
    <xf numFmtId="0" fontId="38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164" fontId="39" fillId="0" borderId="0" xfId="1804" applyNumberFormat="1" applyFont="1" applyFill="1"/>
    <xf numFmtId="164" fontId="39" fillId="0" borderId="0" xfId="1804" applyNumberFormat="1" applyFont="1"/>
    <xf numFmtId="164" fontId="39" fillId="39" borderId="0" xfId="1804" applyNumberFormat="1" applyFont="1" applyFill="1"/>
    <xf numFmtId="164" fontId="13" fillId="0" borderId="1" xfId="53" applyNumberFormat="1" applyFont="1" applyFill="1" applyBorder="1"/>
    <xf numFmtId="0" fontId="0" fillId="0" borderId="0" xfId="0" applyAlignment="1"/>
    <xf numFmtId="0" fontId="0" fillId="0" borderId="0" xfId="0" applyAlignment="1">
      <alignment horizontal="left" indent="1"/>
    </xf>
    <xf numFmtId="183" fontId="0" fillId="0" borderId="0" xfId="0" applyNumberFormat="1" applyFill="1"/>
    <xf numFmtId="0" fontId="0" fillId="0" borderId="0" xfId="0" applyAlignment="1">
      <alignment vertical="justify"/>
    </xf>
    <xf numFmtId="0" fontId="0" fillId="0" borderId="0" xfId="0" applyFill="1" applyAlignment="1">
      <alignment vertical="justify"/>
    </xf>
    <xf numFmtId="164" fontId="0" fillId="0" borderId="0" xfId="0" applyNumberFormat="1" applyAlignment="1">
      <alignment horizontal="centerContinuous" vertical="justify"/>
    </xf>
    <xf numFmtId="5" fontId="0" fillId="0" borderId="0" xfId="0" applyNumberFormat="1"/>
    <xf numFmtId="181" fontId="0" fillId="0" borderId="0" xfId="0" applyNumberFormat="1" applyFill="1" applyAlignment="1">
      <alignment horizontal="center"/>
    </xf>
    <xf numFmtId="181" fontId="0" fillId="0" borderId="0" xfId="0" applyNumberFormat="1" applyAlignment="1">
      <alignment horizontal="center"/>
    </xf>
    <xf numFmtId="184" fontId="0" fillId="0" borderId="0" xfId="0" applyNumberFormat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0" xfId="0" applyNumberFormat="1" applyFill="1" applyBorder="1"/>
    <xf numFmtId="0" fontId="42" fillId="0" borderId="0" xfId="0" applyFont="1" applyAlignment="1">
      <alignment horizontal="left"/>
    </xf>
    <xf numFmtId="164" fontId="13" fillId="0" borderId="1" xfId="53" applyNumberFormat="1" applyFill="1" applyBorder="1"/>
    <xf numFmtId="164" fontId="13" fillId="0" borderId="1" xfId="53" applyNumberFormat="1" applyBorder="1"/>
    <xf numFmtId="164" fontId="13" fillId="0" borderId="0" xfId="53" applyNumberFormat="1" applyFill="1" applyBorder="1"/>
    <xf numFmtId="164" fontId="13" fillId="0" borderId="0" xfId="53" applyNumberFormat="1" applyBorder="1"/>
    <xf numFmtId="164" fontId="19" fillId="5" borderId="0" xfId="1804" applyNumberFormat="1" applyFont="1" applyFill="1"/>
    <xf numFmtId="164" fontId="13" fillId="5" borderId="0" xfId="53" applyNumberFormat="1" applyFont="1" applyFill="1"/>
    <xf numFmtId="164" fontId="19" fillId="39" borderId="0" xfId="1804" applyNumberFormat="1" applyFont="1" applyFill="1"/>
    <xf numFmtId="164" fontId="19" fillId="4" borderId="0" xfId="1804" applyNumberFormat="1" applyFont="1" applyFill="1"/>
    <xf numFmtId="164" fontId="13" fillId="4" borderId="0" xfId="53" applyNumberFormat="1" applyFont="1" applyFill="1"/>
    <xf numFmtId="164" fontId="37" fillId="5" borderId="0" xfId="18" applyNumberFormat="1" applyFont="1" applyFill="1" applyBorder="1"/>
    <xf numFmtId="164" fontId="13" fillId="0" borderId="0" xfId="53" applyNumberFormat="1" applyFont="1" applyFill="1" applyBorder="1"/>
    <xf numFmtId="164" fontId="13" fillId="5" borderId="0" xfId="53" applyNumberFormat="1" applyFont="1" applyFill="1" applyBorder="1"/>
    <xf numFmtId="164" fontId="13" fillId="5" borderId="2" xfId="53" applyNumberFormat="1" applyFont="1" applyFill="1" applyBorder="1"/>
    <xf numFmtId="0" fontId="38" fillId="0" borderId="0" xfId="21935" applyFont="1" applyAlignment="1">
      <alignment horizontal="left"/>
    </xf>
    <xf numFmtId="0" fontId="13" fillId="0" borderId="0" xfId="21935"/>
    <xf numFmtId="0" fontId="13" fillId="0" borderId="0" xfId="21935" applyFont="1"/>
    <xf numFmtId="0" fontId="23" fillId="0" borderId="0" xfId="21935" applyFont="1" applyAlignment="1">
      <alignment horizontal="center"/>
    </xf>
    <xf numFmtId="0" fontId="23" fillId="0" borderId="0" xfId="21935" applyFont="1"/>
    <xf numFmtId="3" fontId="13" fillId="0" borderId="0" xfId="21935" applyNumberFormat="1"/>
    <xf numFmtId="164" fontId="150" fillId="0" borderId="0" xfId="2686" applyNumberFormat="1" applyFont="1" applyFill="1"/>
    <xf numFmtId="3" fontId="69" fillId="0" borderId="0" xfId="53" applyNumberFormat="1" applyFont="1"/>
    <xf numFmtId="164" fontId="69" fillId="0" borderId="1" xfId="2686" applyNumberFormat="1" applyFont="1" applyFill="1" applyBorder="1"/>
    <xf numFmtId="0" fontId="13" fillId="0" borderId="0" xfId="21935" applyFont="1" applyAlignment="1">
      <alignment horizontal="left" indent="1"/>
    </xf>
    <xf numFmtId="3" fontId="69" fillId="0" borderId="1" xfId="53" applyNumberFormat="1" applyFont="1" applyFill="1" applyBorder="1"/>
    <xf numFmtId="3" fontId="69" fillId="0" borderId="10" xfId="53" applyNumberFormat="1" applyFont="1" applyBorder="1"/>
    <xf numFmtId="0" fontId="13" fillId="0" borderId="0" xfId="21935" applyFont="1" applyAlignment="1">
      <alignment vertical="justify"/>
    </xf>
    <xf numFmtId="0" fontId="13" fillId="0" borderId="0" xfId="21935" applyAlignment="1">
      <alignment vertical="justify"/>
    </xf>
    <xf numFmtId="164" fontId="13" fillId="0" borderId="0" xfId="21935" applyNumberFormat="1" applyAlignment="1">
      <alignment horizontal="centerContinuous" vertical="justify"/>
    </xf>
    <xf numFmtId="0" fontId="23" fillId="0" borderId="0" xfId="21935" applyFont="1" applyAlignment="1">
      <alignment horizontal="left"/>
    </xf>
    <xf numFmtId="0" fontId="13" fillId="0" borderId="0" xfId="21935" applyFont="1" applyAlignment="1">
      <alignment horizontal="centerContinuous" vertical="justify"/>
    </xf>
    <xf numFmtId="0" fontId="13" fillId="0" borderId="0" xfId="21935" applyAlignment="1">
      <alignment horizontal="centerContinuous" vertical="justify"/>
    </xf>
    <xf numFmtId="3" fontId="13" fillId="0" borderId="0" xfId="21935" applyNumberFormat="1" applyAlignment="1">
      <alignment vertical="justify"/>
    </xf>
    <xf numFmtId="0" fontId="13" fillId="0" borderId="0" xfId="3" applyFont="1" applyAlignment="1">
      <alignment horizontal="left"/>
    </xf>
    <xf numFmtId="164" fontId="13" fillId="0" borderId="0" xfId="21935" applyNumberFormat="1" applyBorder="1" applyAlignment="1">
      <alignment vertical="justify"/>
    </xf>
    <xf numFmtId="181" fontId="13" fillId="0" borderId="0" xfId="21935" applyNumberFormat="1" applyAlignment="1">
      <alignment horizontal="center"/>
    </xf>
    <xf numFmtId="164" fontId="13" fillId="0" borderId="0" xfId="21935" applyNumberFormat="1"/>
    <xf numFmtId="184" fontId="13" fillId="0" borderId="0" xfId="21935" applyNumberFormat="1" applyAlignment="1">
      <alignment horizontal="center"/>
    </xf>
    <xf numFmtId="3" fontId="13" fillId="0" borderId="1" xfId="21935" applyNumberFormat="1" applyBorder="1"/>
    <xf numFmtId="164" fontId="13" fillId="0" borderId="0" xfId="21935" applyNumberFormat="1" applyBorder="1"/>
    <xf numFmtId="3" fontId="13" fillId="0" borderId="10" xfId="21935" applyNumberFormat="1" applyBorder="1"/>
    <xf numFmtId="3" fontId="19" fillId="72" borderId="0" xfId="3188" applyNumberFormat="1" applyFont="1" applyFill="1"/>
    <xf numFmtId="4" fontId="13" fillId="0" borderId="0" xfId="21935" applyNumberFormat="1" applyFill="1"/>
    <xf numFmtId="0" fontId="13" fillId="0" borderId="0" xfId="3" applyFont="1" applyFill="1"/>
    <xf numFmtId="0" fontId="67" fillId="0" borderId="0" xfId="0" applyFont="1"/>
    <xf numFmtId="164" fontId="0" fillId="0" borderId="1" xfId="1" applyNumberFormat="1" applyFont="1" applyBorder="1"/>
    <xf numFmtId="0" fontId="42" fillId="0" borderId="0" xfId="21935" applyFont="1"/>
    <xf numFmtId="0" fontId="42" fillId="0" borderId="0" xfId="21935" applyFont="1" applyAlignment="1">
      <alignment horizontal="left" indent="1"/>
    </xf>
    <xf numFmtId="0" fontId="42" fillId="0" borderId="0" xfId="21935" applyFont="1" applyAlignment="1">
      <alignment vertical="justify"/>
    </xf>
    <xf numFmtId="0" fontId="148" fillId="0" borderId="0" xfId="21935" applyFont="1" applyAlignment="1">
      <alignment horizontal="left"/>
    </xf>
    <xf numFmtId="0" fontId="42" fillId="0" borderId="0" xfId="21935" applyFont="1" applyAlignment="1">
      <alignment horizontal="centerContinuous" vertical="justify"/>
    </xf>
    <xf numFmtId="0" fontId="148" fillId="0" borderId="0" xfId="21935" applyFont="1"/>
    <xf numFmtId="0" fontId="42" fillId="0" borderId="0" xfId="3" applyFont="1"/>
    <xf numFmtId="0" fontId="151" fillId="76" borderId="38" xfId="0" applyFont="1" applyFill="1" applyBorder="1" applyAlignment="1">
      <alignment horizontal="left" vertical="top"/>
    </xf>
    <xf numFmtId="0" fontId="153" fillId="78" borderId="39" xfId="0" applyFont="1" applyFill="1" applyBorder="1" applyAlignment="1">
      <alignment horizontal="left" vertical="top"/>
    </xf>
    <xf numFmtId="226" fontId="155" fillId="0" borderId="42" xfId="0" applyNumberFormat="1" applyFont="1" applyBorder="1" applyAlignment="1">
      <alignment horizontal="right" vertical="top"/>
    </xf>
    <xf numFmtId="3" fontId="154" fillId="79" borderId="43" xfId="0" applyNumberFormat="1" applyFont="1" applyFill="1" applyBorder="1" applyAlignment="1">
      <alignment horizontal="right" vertical="top"/>
    </xf>
    <xf numFmtId="3" fontId="155" fillId="0" borderId="42" xfId="0" applyNumberFormat="1" applyFont="1" applyBorder="1" applyAlignment="1">
      <alignment horizontal="right" vertical="top"/>
    </xf>
    <xf numFmtId="3" fontId="156" fillId="80" borderId="44" xfId="0" applyNumberFormat="1" applyFont="1" applyFill="1" applyBorder="1" applyAlignment="1">
      <alignment horizontal="right" vertical="top"/>
    </xf>
    <xf numFmtId="0" fontId="0" fillId="0" borderId="42" xfId="0" applyBorder="1"/>
    <xf numFmtId="164" fontId="155" fillId="0" borderId="42" xfId="1" applyNumberFormat="1" applyFont="1" applyBorder="1" applyAlignment="1">
      <alignment horizontal="right" vertical="top"/>
    </xf>
    <xf numFmtId="164" fontId="154" fillId="79" borderId="43" xfId="1" applyNumberFormat="1" applyFont="1" applyFill="1" applyBorder="1" applyAlignment="1">
      <alignment horizontal="right" vertical="top"/>
    </xf>
    <xf numFmtId="164" fontId="156" fillId="80" borderId="44" xfId="1" applyNumberFormat="1" applyFont="1" applyFill="1" applyBorder="1" applyAlignment="1">
      <alignment horizontal="right" vertical="top"/>
    </xf>
    <xf numFmtId="164" fontId="0" fillId="0" borderId="42" xfId="1" applyNumberFormat="1" applyFont="1" applyBorder="1"/>
    <xf numFmtId="0" fontId="0" fillId="79" borderId="43" xfId="0" applyFill="1" applyBorder="1"/>
    <xf numFmtId="227" fontId="13" fillId="0" borderId="0" xfId="0" applyNumberFormat="1" applyFont="1" applyProtection="1"/>
    <xf numFmtId="0" fontId="13" fillId="0" borderId="0" xfId="0" applyFont="1" applyProtection="1"/>
    <xf numFmtId="14" fontId="9" fillId="0" borderId="0" xfId="0" applyNumberFormat="1" applyFont="1" applyFill="1"/>
    <xf numFmtId="18" fontId="9" fillId="0" borderId="0" xfId="0" applyNumberFormat="1" applyFont="1" applyFill="1"/>
    <xf numFmtId="0" fontId="13" fillId="0" borderId="0" xfId="21935" applyFont="1" applyAlignment="1">
      <alignment horizontal="right"/>
    </xf>
    <xf numFmtId="3" fontId="148" fillId="0" borderId="0" xfId="21935" applyNumberFormat="1" applyFont="1" applyAlignment="1">
      <alignment horizontal="center"/>
    </xf>
    <xf numFmtId="180" fontId="148" fillId="0" borderId="0" xfId="21935" applyNumberFormat="1" applyFont="1" applyAlignment="1">
      <alignment horizontal="center"/>
    </xf>
    <xf numFmtId="3" fontId="157" fillId="0" borderId="0" xfId="21935" applyNumberFormat="1" applyFont="1" applyAlignment="1">
      <alignment horizontal="center"/>
    </xf>
    <xf numFmtId="182" fontId="42" fillId="0" borderId="0" xfId="21935" applyNumberFormat="1" applyFont="1"/>
    <xf numFmtId="3" fontId="42" fillId="0" borderId="1" xfId="53" applyNumberFormat="1" applyFont="1" applyFill="1" applyBorder="1"/>
    <xf numFmtId="3" fontId="42" fillId="0" borderId="0" xfId="21935" applyNumberFormat="1" applyFont="1"/>
    <xf numFmtId="0" fontId="148" fillId="0" borderId="0" xfId="21935" applyFont="1" applyAlignment="1">
      <alignment horizontal="center"/>
    </xf>
    <xf numFmtId="0" fontId="148" fillId="0" borderId="0" xfId="0" applyFont="1" applyAlignment="1">
      <alignment horizontal="center"/>
    </xf>
    <xf numFmtId="3" fontId="148" fillId="0" borderId="0" xfId="0" applyNumberFormat="1" applyFont="1" applyAlignment="1">
      <alignment horizontal="center"/>
    </xf>
    <xf numFmtId="180" fontId="148" fillId="0" borderId="0" xfId="0" applyNumberFormat="1" applyFont="1" applyAlignment="1">
      <alignment horizontal="center"/>
    </xf>
    <xf numFmtId="3" fontId="157" fillId="0" borderId="0" xfId="0" applyNumberFormat="1" applyFont="1" applyAlignment="1">
      <alignment horizontal="center"/>
    </xf>
    <xf numFmtId="182" fontId="147" fillId="0" borderId="0" xfId="0" applyNumberFormat="1" applyFont="1"/>
    <xf numFmtId="182" fontId="147" fillId="0" borderId="0" xfId="0" applyNumberFormat="1" applyFont="1" applyFill="1"/>
    <xf numFmtId="43" fontId="147" fillId="0" borderId="0" xfId="0" applyNumberFormat="1" applyFont="1"/>
    <xf numFmtId="3" fontId="147" fillId="0" borderId="0" xfId="0" applyNumberFormat="1" applyFont="1"/>
    <xf numFmtId="0" fontId="151" fillId="76" borderId="34" xfId="0" applyFont="1" applyFill="1" applyBorder="1" applyAlignment="1">
      <alignment horizontal="left" vertical="top"/>
    </xf>
    <xf numFmtId="0" fontId="152" fillId="77" borderId="36" xfId="0" applyFont="1" applyFill="1" applyBorder="1" applyAlignment="1">
      <alignment horizontal="left" vertical="top"/>
    </xf>
    <xf numFmtId="164" fontId="0" fillId="80" borderId="44" xfId="1" applyNumberFormat="1" applyFont="1" applyFill="1" applyBorder="1"/>
    <xf numFmtId="0" fontId="37" fillId="0" borderId="0" xfId="12" applyFont="1" applyAlignment="1">
      <alignment horizontal="left"/>
    </xf>
    <xf numFmtId="0" fontId="37" fillId="0" borderId="0" xfId="12" quotePrefix="1" applyFont="1" applyAlignment="1">
      <alignment horizontal="left"/>
    </xf>
    <xf numFmtId="164" fontId="37" fillId="0" borderId="0" xfId="18" applyNumberFormat="1" applyFont="1" applyBorder="1"/>
    <xf numFmtId="164" fontId="37" fillId="0" borderId="45" xfId="18" applyNumberFormat="1" applyFont="1" applyBorder="1"/>
    <xf numFmtId="164" fontId="37" fillId="0" borderId="45" xfId="18" applyNumberFormat="1" applyFont="1" applyFill="1" applyBorder="1"/>
    <xf numFmtId="164" fontId="37" fillId="0" borderId="0" xfId="18" applyNumberFormat="1" applyFont="1" applyFill="1" applyBorder="1"/>
    <xf numFmtId="164" fontId="39" fillId="0" borderId="0" xfId="18" applyNumberFormat="1" applyFont="1" applyFill="1" applyBorder="1"/>
    <xf numFmtId="164" fontId="39" fillId="0" borderId="45" xfId="18" applyNumberFormat="1" applyFont="1" applyFill="1" applyBorder="1"/>
    <xf numFmtId="0" fontId="37" fillId="0" borderId="0" xfId="12" applyFont="1" applyFill="1" applyAlignment="1">
      <alignment horizontal="left"/>
    </xf>
    <xf numFmtId="0" fontId="37" fillId="0" borderId="0" xfId="12" quotePrefix="1" applyFont="1" applyFill="1" applyAlignment="1">
      <alignment horizontal="left"/>
    </xf>
    <xf numFmtId="164" fontId="37" fillId="39" borderId="0" xfId="18" applyNumberFormat="1" applyFont="1" applyFill="1" applyBorder="1"/>
    <xf numFmtId="164" fontId="37" fillId="39" borderId="45" xfId="18" applyNumberFormat="1" applyFont="1" applyFill="1" applyBorder="1"/>
    <xf numFmtId="164" fontId="37" fillId="39" borderId="0" xfId="1804" applyNumberFormat="1" applyFont="1" applyFill="1" applyBorder="1"/>
    <xf numFmtId="164" fontId="37" fillId="39" borderId="45" xfId="1804" applyNumberFormat="1" applyFont="1" applyFill="1" applyBorder="1"/>
    <xf numFmtId="164" fontId="158" fillId="0" borderId="1" xfId="1" applyNumberFormat="1" applyFont="1" applyBorder="1"/>
    <xf numFmtId="164" fontId="37" fillId="0" borderId="0" xfId="1804" applyNumberFormat="1" applyFont="1" applyFill="1" applyBorder="1"/>
    <xf numFmtId="164" fontId="13" fillId="0" borderId="1" xfId="18" applyNumberFormat="1" applyFont="1" applyFill="1" applyBorder="1"/>
    <xf numFmtId="164" fontId="13" fillId="0" borderId="46" xfId="53" applyNumberFormat="1" applyFont="1" applyFill="1" applyBorder="1"/>
    <xf numFmtId="0" fontId="0" fillId="0" borderId="47" xfId="0" applyBorder="1"/>
    <xf numFmtId="164" fontId="13" fillId="0" borderId="47" xfId="53" applyNumberFormat="1" applyBorder="1"/>
    <xf numFmtId="164" fontId="158" fillId="0" borderId="48" xfId="1" applyNumberFormat="1" applyFont="1" applyBorder="1"/>
    <xf numFmtId="164" fontId="13" fillId="0" borderId="46" xfId="18" applyNumberFormat="1" applyBorder="1"/>
    <xf numFmtId="164" fontId="13" fillId="75" borderId="0" xfId="53" applyNumberFormat="1" applyFill="1"/>
    <xf numFmtId="164" fontId="0" fillId="75" borderId="0" xfId="0" applyNumberFormat="1" applyFill="1"/>
    <xf numFmtId="164" fontId="34" fillId="4" borderId="0" xfId="18" applyNumberFormat="1" applyFont="1" applyFill="1" applyBorder="1"/>
    <xf numFmtId="0" fontId="13" fillId="0" borderId="0" xfId="12869" applyFont="1"/>
    <xf numFmtId="0" fontId="37" fillId="0" borderId="0" xfId="21935" applyFont="1" applyAlignment="1">
      <alignment horizontal="center"/>
    </xf>
    <xf numFmtId="3" fontId="39" fillId="81" borderId="0" xfId="3182" applyNumberFormat="1" applyFont="1" applyFill="1"/>
    <xf numFmtId="164" fontId="39" fillId="0" borderId="0" xfId="2686" applyNumberFormat="1" applyFont="1" applyFill="1"/>
    <xf numFmtId="0" fontId="13" fillId="0" borderId="0" xfId="21935" applyFont="1" applyFill="1" applyAlignment="1">
      <alignment horizontal="left" indent="1"/>
    </xf>
    <xf numFmtId="164" fontId="13" fillId="0" borderId="0" xfId="21935" applyNumberFormat="1" applyFill="1" applyBorder="1" applyAlignment="1">
      <alignment vertical="justify"/>
    </xf>
    <xf numFmtId="0" fontId="37" fillId="0" borderId="0" xfId="21935" applyFont="1"/>
    <xf numFmtId="3" fontId="19" fillId="81" borderId="0" xfId="3184" applyNumberFormat="1" applyFont="1" applyFill="1"/>
    <xf numFmtId="164" fontId="35" fillId="0" borderId="0" xfId="1" applyNumberFormat="1" applyFont="1" applyFill="1"/>
    <xf numFmtId="3" fontId="37" fillId="0" borderId="0" xfId="7" applyNumberFormat="1" applyFont="1" applyFill="1" applyBorder="1"/>
    <xf numFmtId="0" fontId="34" fillId="0" borderId="0" xfId="0" applyFont="1"/>
    <xf numFmtId="0" fontId="13" fillId="0" borderId="0" xfId="0" applyFont="1" applyFill="1"/>
    <xf numFmtId="0" fontId="7" fillId="0" borderId="0" xfId="9" quotePrefix="1" applyFont="1" applyAlignment="1">
      <alignment horizontal="center" vertical="center"/>
    </xf>
    <xf numFmtId="3" fontId="9" fillId="0" borderId="2" xfId="11" applyNumberFormat="1" applyFont="1" applyBorder="1" applyAlignment="1">
      <alignment horizontal="right" vertical="center"/>
    </xf>
    <xf numFmtId="3" fontId="9" fillId="0" borderId="2" xfId="9" applyNumberFormat="1" applyFont="1" applyBorder="1" applyAlignment="1">
      <alignment vertical="center"/>
    </xf>
    <xf numFmtId="3" fontId="9" fillId="0" borderId="3" xfId="11" applyNumberFormat="1" applyFont="1" applyBorder="1" applyAlignment="1">
      <alignment horizontal="right" vertical="center"/>
    </xf>
    <xf numFmtId="3" fontId="9" fillId="0" borderId="3" xfId="9" applyNumberFormat="1" applyFont="1" applyBorder="1" applyAlignment="1">
      <alignment vertical="center"/>
    </xf>
    <xf numFmtId="166" fontId="9" fillId="0" borderId="3" xfId="9" applyNumberFormat="1" applyFont="1" applyBorder="1" applyAlignment="1">
      <alignment horizontal="right" vertical="center"/>
    </xf>
    <xf numFmtId="166" fontId="9" fillId="73" borderId="3" xfId="9" applyNumberFormat="1" applyFont="1" applyFill="1" applyBorder="1" applyAlignment="1">
      <alignment vertical="center"/>
    </xf>
    <xf numFmtId="0" fontId="9" fillId="73" borderId="3" xfId="9" applyFont="1" applyFill="1" applyBorder="1" applyAlignment="1">
      <alignment horizontal="center" vertical="center"/>
    </xf>
    <xf numFmtId="168" fontId="9" fillId="73" borderId="3" xfId="9" applyNumberFormat="1" applyFont="1" applyFill="1" applyBorder="1" applyAlignment="1">
      <alignment horizontal="right" vertical="center"/>
    </xf>
    <xf numFmtId="166" fontId="9" fillId="73" borderId="2" xfId="9" applyNumberFormat="1" applyFont="1" applyFill="1" applyBorder="1" applyAlignment="1">
      <alignment vertical="center"/>
    </xf>
    <xf numFmtId="166" fontId="9" fillId="73" borderId="2" xfId="2" applyNumberFormat="1" applyFont="1" applyFill="1" applyBorder="1" applyAlignment="1">
      <alignment vertical="center"/>
    </xf>
    <xf numFmtId="3" fontId="9" fillId="73" borderId="3" xfId="11" applyNumberFormat="1" applyFont="1" applyFill="1" applyBorder="1" applyAlignment="1">
      <alignment horizontal="right" vertical="center"/>
    </xf>
    <xf numFmtId="3" fontId="9" fillId="73" borderId="3" xfId="9" applyNumberFormat="1" applyFont="1" applyFill="1" applyBorder="1" applyAlignment="1">
      <alignment vertical="center"/>
    </xf>
    <xf numFmtId="0" fontId="9" fillId="73" borderId="0" xfId="9" applyFont="1" applyFill="1" applyAlignment="1">
      <alignment vertical="center"/>
    </xf>
    <xf numFmtId="0" fontId="37" fillId="0" borderId="0" xfId="8" applyFont="1"/>
    <xf numFmtId="14" fontId="37" fillId="0" borderId="0" xfId="0" quotePrefix="1" applyNumberFormat="1" applyFont="1" applyAlignment="1" applyProtection="1">
      <alignment horizontal="center"/>
      <protection locked="0"/>
    </xf>
    <xf numFmtId="14" fontId="37" fillId="0" borderId="0" xfId="0" applyNumberFormat="1" applyFont="1" applyAlignment="1" applyProtection="1">
      <alignment horizontal="center"/>
      <protection locked="0"/>
    </xf>
    <xf numFmtId="20" fontId="37" fillId="0" borderId="0" xfId="0" applyNumberFormat="1" applyFont="1" applyAlignment="1" applyProtection="1">
      <alignment horizontal="center"/>
      <protection locked="0"/>
    </xf>
    <xf numFmtId="164" fontId="37" fillId="0" borderId="0" xfId="1358" applyNumberFormat="1" applyFont="1"/>
    <xf numFmtId="0" fontId="35" fillId="0" borderId="0" xfId="0" applyNumberFormat="1" applyFont="1" applyFill="1"/>
    <xf numFmtId="0" fontId="46" fillId="0" borderId="0" xfId="0" applyFont="1" applyFill="1"/>
    <xf numFmtId="0" fontId="147" fillId="0" borderId="0" xfId="0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3" fontId="35" fillId="0" borderId="0" xfId="21849" applyNumberFormat="1" applyFont="1" applyFill="1"/>
    <xf numFmtId="164" fontId="35" fillId="0" borderId="0" xfId="21861" applyNumberFormat="1" applyFont="1" applyFill="1"/>
    <xf numFmtId="164" fontId="35" fillId="0" borderId="0" xfId="21882" applyNumberFormat="1" applyFont="1" applyFill="1"/>
    <xf numFmtId="164" fontId="35" fillId="0" borderId="0" xfId="21884" applyNumberFormat="1" applyFont="1" applyFill="1"/>
    <xf numFmtId="3" fontId="35" fillId="0" borderId="0" xfId="21886" applyNumberFormat="1" applyFont="1" applyFill="1"/>
    <xf numFmtId="0" fontId="35" fillId="0" borderId="0" xfId="21849" applyFont="1" applyFill="1"/>
    <xf numFmtId="0" fontId="13" fillId="0" borderId="0" xfId="21936" applyFont="1"/>
    <xf numFmtId="0" fontId="160" fillId="0" borderId="0" xfId="21936"/>
    <xf numFmtId="0" fontId="3" fillId="0" borderId="0" xfId="21937"/>
    <xf numFmtId="0" fontId="13" fillId="0" borderId="0" xfId="21936" applyFont="1" applyAlignment="1">
      <alignment horizontal="center"/>
    </xf>
    <xf numFmtId="0" fontId="160" fillId="0" borderId="0" xfId="21936" applyAlignment="1">
      <alignment horizontal="center"/>
    </xf>
    <xf numFmtId="0" fontId="67" fillId="0" borderId="0" xfId="21937" applyFont="1"/>
    <xf numFmtId="164" fontId="160" fillId="0" borderId="0" xfId="21936" applyNumberFormat="1"/>
    <xf numFmtId="164" fontId="160" fillId="0" borderId="1" xfId="21936" applyNumberFormat="1" applyBorder="1"/>
    <xf numFmtId="10" fontId="0" fillId="0" borderId="0" xfId="17775" applyNumberFormat="1" applyFont="1"/>
    <xf numFmtId="165" fontId="0" fillId="0" borderId="0" xfId="17775" applyNumberFormat="1" applyFont="1"/>
    <xf numFmtId="0" fontId="3" fillId="0" borderId="0" xfId="21937" applyAlignment="1">
      <alignment horizontal="center"/>
    </xf>
    <xf numFmtId="165" fontId="3" fillId="0" borderId="0" xfId="10" applyNumberFormat="1" applyFont="1"/>
    <xf numFmtId="164" fontId="3" fillId="0" borderId="0" xfId="1" applyNumberFormat="1" applyFont="1"/>
    <xf numFmtId="164" fontId="3" fillId="0" borderId="1" xfId="21937" applyNumberFormat="1" applyBorder="1"/>
    <xf numFmtId="164" fontId="37" fillId="0" borderId="0" xfId="21936" applyNumberFormat="1" applyFont="1" applyFill="1"/>
    <xf numFmtId="0" fontId="2" fillId="0" borderId="0" xfId="21937" applyFont="1"/>
    <xf numFmtId="164" fontId="3" fillId="0" borderId="0" xfId="21937" applyNumberFormat="1"/>
    <xf numFmtId="164" fontId="2" fillId="0" borderId="0" xfId="1" applyNumberFormat="1" applyFont="1"/>
    <xf numFmtId="0" fontId="160" fillId="0" borderId="0" xfId="21936" applyFill="1"/>
    <xf numFmtId="43" fontId="13" fillId="0" borderId="0" xfId="1" applyFont="1"/>
    <xf numFmtId="164" fontId="13" fillId="4" borderId="0" xfId="53" applyNumberFormat="1" applyFont="1" applyFill="1" applyBorder="1"/>
    <xf numFmtId="164" fontId="1" fillId="0" borderId="0" xfId="1" applyNumberFormat="1" applyFont="1"/>
    <xf numFmtId="0" fontId="1" fillId="0" borderId="0" xfId="21937" applyFont="1" applyAlignment="1">
      <alignment horizontal="center"/>
    </xf>
    <xf numFmtId="0" fontId="42" fillId="0" borderId="0" xfId="0" applyFont="1"/>
    <xf numFmtId="182" fontId="147" fillId="0" borderId="0" xfId="0" applyNumberFormat="1" applyFont="1" applyBorder="1"/>
    <xf numFmtId="3" fontId="42" fillId="0" borderId="0" xfId="53" applyNumberFormat="1" applyFont="1" applyFill="1" applyBorder="1"/>
    <xf numFmtId="0" fontId="42" fillId="0" borderId="0" xfId="21935" applyFont="1" applyAlignment="1">
      <alignment horizontal="center"/>
    </xf>
    <xf numFmtId="3" fontId="13" fillId="0" borderId="0" xfId="21935" applyNumberFormat="1" applyFont="1" applyAlignment="1"/>
    <xf numFmtId="14" fontId="0" fillId="0" borderId="0" xfId="0" applyNumberFormat="1"/>
    <xf numFmtId="18" fontId="0" fillId="0" borderId="0" xfId="0" applyNumberFormat="1"/>
    <xf numFmtId="3" fontId="7" fillId="0" borderId="0" xfId="0" applyNumberFormat="1" applyFont="1"/>
    <xf numFmtId="0" fontId="51" fillId="0" borderId="0" xfId="9" applyFont="1" applyAlignment="1">
      <alignment horizontal="center" vertical="center"/>
    </xf>
    <xf numFmtId="174" fontId="13" fillId="0" borderId="0" xfId="4" applyNumberFormat="1" applyAlignment="1">
      <alignment horizontal="center"/>
    </xf>
    <xf numFmtId="0" fontId="24" fillId="0" borderId="0" xfId="4" applyFont="1" applyAlignment="1">
      <alignment horizontal="right"/>
    </xf>
    <xf numFmtId="0" fontId="151" fillId="76" borderId="34" xfId="0" applyFont="1" applyFill="1" applyBorder="1" applyAlignment="1">
      <alignment horizontal="left" vertical="top"/>
    </xf>
    <xf numFmtId="0" fontId="0" fillId="76" borderId="35" xfId="0" applyFill="1" applyBorder="1"/>
    <xf numFmtId="0" fontId="0" fillId="76" borderId="34" xfId="0" applyFill="1" applyBorder="1"/>
    <xf numFmtId="0" fontId="152" fillId="77" borderId="36" xfId="0" applyFont="1" applyFill="1" applyBorder="1" applyAlignment="1">
      <alignment horizontal="left" vertical="top"/>
    </xf>
    <xf numFmtId="0" fontId="0" fillId="77" borderId="37" xfId="0" applyFill="1" applyBorder="1"/>
    <xf numFmtId="0" fontId="154" fillId="0" borderId="40" xfId="0" applyFont="1" applyBorder="1" applyAlignment="1">
      <alignment horizontal="center" vertical="top"/>
    </xf>
    <xf numFmtId="0" fontId="154" fillId="0" borderId="41" xfId="0" applyFont="1" applyBorder="1" applyAlignment="1">
      <alignment horizontal="center" vertical="top"/>
    </xf>
  </cellXfs>
  <cellStyles count="21938">
    <cellStyle name="20% - Accent1" xfId="21907" builtinId="30" customBuiltin="1"/>
    <cellStyle name="20% - Accent1 10" xfId="56" xr:uid="{00000000-0005-0000-0000-000001000000}"/>
    <cellStyle name="20% - Accent1 11" xfId="57" xr:uid="{00000000-0005-0000-0000-000002000000}"/>
    <cellStyle name="20% - Accent1 12" xfId="58" xr:uid="{00000000-0005-0000-0000-000003000000}"/>
    <cellStyle name="20% - Accent1 13" xfId="59" xr:uid="{00000000-0005-0000-0000-000004000000}"/>
    <cellStyle name="20% - Accent1 14" xfId="60" xr:uid="{00000000-0005-0000-0000-000005000000}"/>
    <cellStyle name="20% - Accent1 15" xfId="61" xr:uid="{00000000-0005-0000-0000-000006000000}"/>
    <cellStyle name="20% - Accent1 2" xfId="62" xr:uid="{00000000-0005-0000-0000-000007000000}"/>
    <cellStyle name="20% - Accent1 2 2" xfId="63" xr:uid="{00000000-0005-0000-0000-000008000000}"/>
    <cellStyle name="20% - Accent1 2 2 2" xfId="64" xr:uid="{00000000-0005-0000-0000-000009000000}"/>
    <cellStyle name="20% - Accent1 2 2 2 2" xfId="65" xr:uid="{00000000-0005-0000-0000-00000A000000}"/>
    <cellStyle name="20% - Accent1 2 2 2 2 2" xfId="66" xr:uid="{00000000-0005-0000-0000-00000B000000}"/>
    <cellStyle name="20% - Accent1 2 2 2 2 3" xfId="67" xr:uid="{00000000-0005-0000-0000-00000C000000}"/>
    <cellStyle name="20% - Accent1 2 2 2 3" xfId="68" xr:uid="{00000000-0005-0000-0000-00000D000000}"/>
    <cellStyle name="20% - Accent1 2 2 2 4" xfId="69" xr:uid="{00000000-0005-0000-0000-00000E000000}"/>
    <cellStyle name="20% - Accent1 2 2 3" xfId="70" xr:uid="{00000000-0005-0000-0000-00000F000000}"/>
    <cellStyle name="20% - Accent1 2 2 3 2" xfId="71" xr:uid="{00000000-0005-0000-0000-000010000000}"/>
    <cellStyle name="20% - Accent1 2 2 3 3" xfId="72" xr:uid="{00000000-0005-0000-0000-000011000000}"/>
    <cellStyle name="20% - Accent1 2 2 4" xfId="73" xr:uid="{00000000-0005-0000-0000-000012000000}"/>
    <cellStyle name="20% - Accent1 2 2 5" xfId="74" xr:uid="{00000000-0005-0000-0000-000013000000}"/>
    <cellStyle name="20% - Accent1 2 3" xfId="75" xr:uid="{00000000-0005-0000-0000-000014000000}"/>
    <cellStyle name="20% - Accent1 2 3 2" xfId="76" xr:uid="{00000000-0005-0000-0000-000015000000}"/>
    <cellStyle name="20% - Accent1 2 3 2 2" xfId="77" xr:uid="{00000000-0005-0000-0000-000016000000}"/>
    <cellStyle name="20% - Accent1 2 3 2 3" xfId="78" xr:uid="{00000000-0005-0000-0000-000017000000}"/>
    <cellStyle name="20% - Accent1 2 3 3" xfId="79" xr:uid="{00000000-0005-0000-0000-000018000000}"/>
    <cellStyle name="20% - Accent1 2 3 4" xfId="80" xr:uid="{00000000-0005-0000-0000-000019000000}"/>
    <cellStyle name="20% - Accent1 2 4" xfId="81" xr:uid="{00000000-0005-0000-0000-00001A000000}"/>
    <cellStyle name="20% - Accent1 2 4 2" xfId="82" xr:uid="{00000000-0005-0000-0000-00001B000000}"/>
    <cellStyle name="20% - Accent1 2 4 3" xfId="83" xr:uid="{00000000-0005-0000-0000-00001C000000}"/>
    <cellStyle name="20% - Accent1 2 5" xfId="84" xr:uid="{00000000-0005-0000-0000-00001D000000}"/>
    <cellStyle name="20% - Accent1 2 6" xfId="85" xr:uid="{00000000-0005-0000-0000-00001E000000}"/>
    <cellStyle name="20% - Accent1 3" xfId="86" xr:uid="{00000000-0005-0000-0000-00001F000000}"/>
    <cellStyle name="20% - Accent1 3 2" xfId="87" xr:uid="{00000000-0005-0000-0000-000020000000}"/>
    <cellStyle name="20% - Accent1 3 2 2" xfId="88" xr:uid="{00000000-0005-0000-0000-000021000000}"/>
    <cellStyle name="20% - Accent1 3 2 2 2" xfId="89" xr:uid="{00000000-0005-0000-0000-000022000000}"/>
    <cellStyle name="20% - Accent1 3 2 2 2 2" xfId="90" xr:uid="{00000000-0005-0000-0000-000023000000}"/>
    <cellStyle name="20% - Accent1 3 2 2 2 3" xfId="91" xr:uid="{00000000-0005-0000-0000-000024000000}"/>
    <cellStyle name="20% - Accent1 3 2 2 3" xfId="92" xr:uid="{00000000-0005-0000-0000-000025000000}"/>
    <cellStyle name="20% - Accent1 3 2 2 4" xfId="93" xr:uid="{00000000-0005-0000-0000-000026000000}"/>
    <cellStyle name="20% - Accent1 3 2 3" xfId="94" xr:uid="{00000000-0005-0000-0000-000027000000}"/>
    <cellStyle name="20% - Accent1 3 2 3 2" xfId="95" xr:uid="{00000000-0005-0000-0000-000028000000}"/>
    <cellStyle name="20% - Accent1 3 2 3 3" xfId="96" xr:uid="{00000000-0005-0000-0000-000029000000}"/>
    <cellStyle name="20% - Accent1 3 2 4" xfId="97" xr:uid="{00000000-0005-0000-0000-00002A000000}"/>
    <cellStyle name="20% - Accent1 3 2 5" xfId="98" xr:uid="{00000000-0005-0000-0000-00002B000000}"/>
    <cellStyle name="20% - Accent1 3 3" xfId="99" xr:uid="{00000000-0005-0000-0000-00002C000000}"/>
    <cellStyle name="20% - Accent1 3 3 2" xfId="100" xr:uid="{00000000-0005-0000-0000-00002D000000}"/>
    <cellStyle name="20% - Accent1 3 3 2 2" xfId="101" xr:uid="{00000000-0005-0000-0000-00002E000000}"/>
    <cellStyle name="20% - Accent1 3 3 2 3" xfId="102" xr:uid="{00000000-0005-0000-0000-00002F000000}"/>
    <cellStyle name="20% - Accent1 3 3 3" xfId="103" xr:uid="{00000000-0005-0000-0000-000030000000}"/>
    <cellStyle name="20% - Accent1 3 3 4" xfId="104" xr:uid="{00000000-0005-0000-0000-000031000000}"/>
    <cellStyle name="20% - Accent1 3 4" xfId="105" xr:uid="{00000000-0005-0000-0000-000032000000}"/>
    <cellStyle name="20% - Accent1 3 4 2" xfId="106" xr:uid="{00000000-0005-0000-0000-000033000000}"/>
    <cellStyle name="20% - Accent1 3 4 3" xfId="107" xr:uid="{00000000-0005-0000-0000-000034000000}"/>
    <cellStyle name="20% - Accent1 3 5" xfId="108" xr:uid="{00000000-0005-0000-0000-000035000000}"/>
    <cellStyle name="20% - Accent1 3 6" xfId="109" xr:uid="{00000000-0005-0000-0000-000036000000}"/>
    <cellStyle name="20% - Accent1 4" xfId="110" xr:uid="{00000000-0005-0000-0000-000037000000}"/>
    <cellStyle name="20% - Accent1 4 2" xfId="111" xr:uid="{00000000-0005-0000-0000-000038000000}"/>
    <cellStyle name="20% - Accent1 4 2 2" xfId="112" xr:uid="{00000000-0005-0000-0000-000039000000}"/>
    <cellStyle name="20% - Accent1 4 2 2 2" xfId="113" xr:uid="{00000000-0005-0000-0000-00003A000000}"/>
    <cellStyle name="20% - Accent1 4 2 2 2 2" xfId="114" xr:uid="{00000000-0005-0000-0000-00003B000000}"/>
    <cellStyle name="20% - Accent1 4 2 2 2 3" xfId="115" xr:uid="{00000000-0005-0000-0000-00003C000000}"/>
    <cellStyle name="20% - Accent1 4 2 2 3" xfId="116" xr:uid="{00000000-0005-0000-0000-00003D000000}"/>
    <cellStyle name="20% - Accent1 4 2 2 4" xfId="117" xr:uid="{00000000-0005-0000-0000-00003E000000}"/>
    <cellStyle name="20% - Accent1 4 2 3" xfId="118" xr:uid="{00000000-0005-0000-0000-00003F000000}"/>
    <cellStyle name="20% - Accent1 4 2 3 2" xfId="119" xr:uid="{00000000-0005-0000-0000-000040000000}"/>
    <cellStyle name="20% - Accent1 4 2 3 3" xfId="120" xr:uid="{00000000-0005-0000-0000-000041000000}"/>
    <cellStyle name="20% - Accent1 4 2 4" xfId="121" xr:uid="{00000000-0005-0000-0000-000042000000}"/>
    <cellStyle name="20% - Accent1 4 2 5" xfId="122" xr:uid="{00000000-0005-0000-0000-000043000000}"/>
    <cellStyle name="20% - Accent1 4 3" xfId="123" xr:uid="{00000000-0005-0000-0000-000044000000}"/>
    <cellStyle name="20% - Accent1 4 3 2" xfId="124" xr:uid="{00000000-0005-0000-0000-000045000000}"/>
    <cellStyle name="20% - Accent1 4 3 2 2" xfId="125" xr:uid="{00000000-0005-0000-0000-000046000000}"/>
    <cellStyle name="20% - Accent1 4 3 2 3" xfId="126" xr:uid="{00000000-0005-0000-0000-000047000000}"/>
    <cellStyle name="20% - Accent1 4 3 3" xfId="127" xr:uid="{00000000-0005-0000-0000-000048000000}"/>
    <cellStyle name="20% - Accent1 4 3 4" xfId="128" xr:uid="{00000000-0005-0000-0000-000049000000}"/>
    <cellStyle name="20% - Accent1 4 4" xfId="129" xr:uid="{00000000-0005-0000-0000-00004A000000}"/>
    <cellStyle name="20% - Accent1 4 4 2" xfId="130" xr:uid="{00000000-0005-0000-0000-00004B000000}"/>
    <cellStyle name="20% - Accent1 4 4 3" xfId="131" xr:uid="{00000000-0005-0000-0000-00004C000000}"/>
    <cellStyle name="20% - Accent1 4 5" xfId="132" xr:uid="{00000000-0005-0000-0000-00004D000000}"/>
    <cellStyle name="20% - Accent1 4 6" xfId="133" xr:uid="{00000000-0005-0000-0000-00004E000000}"/>
    <cellStyle name="20% - Accent1 5" xfId="134" xr:uid="{00000000-0005-0000-0000-00004F000000}"/>
    <cellStyle name="20% - Accent1 5 2" xfId="135" xr:uid="{00000000-0005-0000-0000-000050000000}"/>
    <cellStyle name="20% - Accent1 5 2 2" xfId="136" xr:uid="{00000000-0005-0000-0000-000051000000}"/>
    <cellStyle name="20% - Accent1 5 2 2 2" xfId="137" xr:uid="{00000000-0005-0000-0000-000052000000}"/>
    <cellStyle name="20% - Accent1 5 2 2 2 2" xfId="138" xr:uid="{00000000-0005-0000-0000-000053000000}"/>
    <cellStyle name="20% - Accent1 5 2 2 2 3" xfId="139" xr:uid="{00000000-0005-0000-0000-000054000000}"/>
    <cellStyle name="20% - Accent1 5 2 2 3" xfId="140" xr:uid="{00000000-0005-0000-0000-000055000000}"/>
    <cellStyle name="20% - Accent1 5 2 2 4" xfId="141" xr:uid="{00000000-0005-0000-0000-000056000000}"/>
    <cellStyle name="20% - Accent1 5 2 3" xfId="142" xr:uid="{00000000-0005-0000-0000-000057000000}"/>
    <cellStyle name="20% - Accent1 5 2 3 2" xfId="143" xr:uid="{00000000-0005-0000-0000-000058000000}"/>
    <cellStyle name="20% - Accent1 5 2 3 3" xfId="144" xr:uid="{00000000-0005-0000-0000-000059000000}"/>
    <cellStyle name="20% - Accent1 5 2 4" xfId="145" xr:uid="{00000000-0005-0000-0000-00005A000000}"/>
    <cellStyle name="20% - Accent1 5 2 5" xfId="146" xr:uid="{00000000-0005-0000-0000-00005B000000}"/>
    <cellStyle name="20% - Accent1 5 3" xfId="147" xr:uid="{00000000-0005-0000-0000-00005C000000}"/>
    <cellStyle name="20% - Accent1 5 3 2" xfId="148" xr:uid="{00000000-0005-0000-0000-00005D000000}"/>
    <cellStyle name="20% - Accent1 5 3 2 2" xfId="149" xr:uid="{00000000-0005-0000-0000-00005E000000}"/>
    <cellStyle name="20% - Accent1 5 3 2 3" xfId="150" xr:uid="{00000000-0005-0000-0000-00005F000000}"/>
    <cellStyle name="20% - Accent1 5 3 3" xfId="151" xr:uid="{00000000-0005-0000-0000-000060000000}"/>
    <cellStyle name="20% - Accent1 5 3 4" xfId="152" xr:uid="{00000000-0005-0000-0000-000061000000}"/>
    <cellStyle name="20% - Accent1 5 4" xfId="153" xr:uid="{00000000-0005-0000-0000-000062000000}"/>
    <cellStyle name="20% - Accent1 5 4 2" xfId="154" xr:uid="{00000000-0005-0000-0000-000063000000}"/>
    <cellStyle name="20% - Accent1 5 4 3" xfId="155" xr:uid="{00000000-0005-0000-0000-000064000000}"/>
    <cellStyle name="20% - Accent1 5 5" xfId="156" xr:uid="{00000000-0005-0000-0000-000065000000}"/>
    <cellStyle name="20% - Accent1 5 6" xfId="157" xr:uid="{00000000-0005-0000-0000-000066000000}"/>
    <cellStyle name="20% - Accent1 6" xfId="158" xr:uid="{00000000-0005-0000-0000-000067000000}"/>
    <cellStyle name="20% - Accent1 7" xfId="159" xr:uid="{00000000-0005-0000-0000-000068000000}"/>
    <cellStyle name="20% - Accent1 8" xfId="160" xr:uid="{00000000-0005-0000-0000-000069000000}"/>
    <cellStyle name="20% - Accent1 9" xfId="161" xr:uid="{00000000-0005-0000-0000-00006A000000}"/>
    <cellStyle name="20% - Accent2" xfId="21911" builtinId="34" customBuiltin="1"/>
    <cellStyle name="20% - Accent2 10" xfId="162" xr:uid="{00000000-0005-0000-0000-00006C000000}"/>
    <cellStyle name="20% - Accent2 11" xfId="163" xr:uid="{00000000-0005-0000-0000-00006D000000}"/>
    <cellStyle name="20% - Accent2 12" xfId="164" xr:uid="{00000000-0005-0000-0000-00006E000000}"/>
    <cellStyle name="20% - Accent2 13" xfId="165" xr:uid="{00000000-0005-0000-0000-00006F000000}"/>
    <cellStyle name="20% - Accent2 14" xfId="166" xr:uid="{00000000-0005-0000-0000-000070000000}"/>
    <cellStyle name="20% - Accent2 15" xfId="167" xr:uid="{00000000-0005-0000-0000-000071000000}"/>
    <cellStyle name="20% - Accent2 2" xfId="168" xr:uid="{00000000-0005-0000-0000-000072000000}"/>
    <cellStyle name="20% - Accent2 2 2" xfId="169" xr:uid="{00000000-0005-0000-0000-000073000000}"/>
    <cellStyle name="20% - Accent2 2 2 2" xfId="170" xr:uid="{00000000-0005-0000-0000-000074000000}"/>
    <cellStyle name="20% - Accent2 2 2 2 2" xfId="171" xr:uid="{00000000-0005-0000-0000-000075000000}"/>
    <cellStyle name="20% - Accent2 2 2 2 2 2" xfId="172" xr:uid="{00000000-0005-0000-0000-000076000000}"/>
    <cellStyle name="20% - Accent2 2 2 2 2 3" xfId="173" xr:uid="{00000000-0005-0000-0000-000077000000}"/>
    <cellStyle name="20% - Accent2 2 2 2 3" xfId="174" xr:uid="{00000000-0005-0000-0000-000078000000}"/>
    <cellStyle name="20% - Accent2 2 2 2 4" xfId="175" xr:uid="{00000000-0005-0000-0000-000079000000}"/>
    <cellStyle name="20% - Accent2 2 2 3" xfId="176" xr:uid="{00000000-0005-0000-0000-00007A000000}"/>
    <cellStyle name="20% - Accent2 2 2 3 2" xfId="177" xr:uid="{00000000-0005-0000-0000-00007B000000}"/>
    <cellStyle name="20% - Accent2 2 2 3 3" xfId="178" xr:uid="{00000000-0005-0000-0000-00007C000000}"/>
    <cellStyle name="20% - Accent2 2 2 4" xfId="179" xr:uid="{00000000-0005-0000-0000-00007D000000}"/>
    <cellStyle name="20% - Accent2 2 2 5" xfId="180" xr:uid="{00000000-0005-0000-0000-00007E000000}"/>
    <cellStyle name="20% - Accent2 2 3" xfId="181" xr:uid="{00000000-0005-0000-0000-00007F000000}"/>
    <cellStyle name="20% - Accent2 2 3 2" xfId="182" xr:uid="{00000000-0005-0000-0000-000080000000}"/>
    <cellStyle name="20% - Accent2 2 3 2 2" xfId="183" xr:uid="{00000000-0005-0000-0000-000081000000}"/>
    <cellStyle name="20% - Accent2 2 3 2 3" xfId="184" xr:uid="{00000000-0005-0000-0000-000082000000}"/>
    <cellStyle name="20% - Accent2 2 3 3" xfId="185" xr:uid="{00000000-0005-0000-0000-000083000000}"/>
    <cellStyle name="20% - Accent2 2 3 4" xfId="186" xr:uid="{00000000-0005-0000-0000-000084000000}"/>
    <cellStyle name="20% - Accent2 2 4" xfId="187" xr:uid="{00000000-0005-0000-0000-000085000000}"/>
    <cellStyle name="20% - Accent2 2 4 2" xfId="188" xr:uid="{00000000-0005-0000-0000-000086000000}"/>
    <cellStyle name="20% - Accent2 2 4 3" xfId="189" xr:uid="{00000000-0005-0000-0000-000087000000}"/>
    <cellStyle name="20% - Accent2 2 5" xfId="190" xr:uid="{00000000-0005-0000-0000-000088000000}"/>
    <cellStyle name="20% - Accent2 2 6" xfId="191" xr:uid="{00000000-0005-0000-0000-000089000000}"/>
    <cellStyle name="20% - Accent2 3" xfId="192" xr:uid="{00000000-0005-0000-0000-00008A000000}"/>
    <cellStyle name="20% - Accent2 3 2" xfId="193" xr:uid="{00000000-0005-0000-0000-00008B000000}"/>
    <cellStyle name="20% - Accent2 3 2 2" xfId="194" xr:uid="{00000000-0005-0000-0000-00008C000000}"/>
    <cellStyle name="20% - Accent2 3 2 2 2" xfId="195" xr:uid="{00000000-0005-0000-0000-00008D000000}"/>
    <cellStyle name="20% - Accent2 3 2 2 2 2" xfId="196" xr:uid="{00000000-0005-0000-0000-00008E000000}"/>
    <cellStyle name="20% - Accent2 3 2 2 2 3" xfId="197" xr:uid="{00000000-0005-0000-0000-00008F000000}"/>
    <cellStyle name="20% - Accent2 3 2 2 3" xfId="198" xr:uid="{00000000-0005-0000-0000-000090000000}"/>
    <cellStyle name="20% - Accent2 3 2 2 4" xfId="199" xr:uid="{00000000-0005-0000-0000-000091000000}"/>
    <cellStyle name="20% - Accent2 3 2 3" xfId="200" xr:uid="{00000000-0005-0000-0000-000092000000}"/>
    <cellStyle name="20% - Accent2 3 2 3 2" xfId="201" xr:uid="{00000000-0005-0000-0000-000093000000}"/>
    <cellStyle name="20% - Accent2 3 2 3 3" xfId="202" xr:uid="{00000000-0005-0000-0000-000094000000}"/>
    <cellStyle name="20% - Accent2 3 2 4" xfId="203" xr:uid="{00000000-0005-0000-0000-000095000000}"/>
    <cellStyle name="20% - Accent2 3 2 5" xfId="204" xr:uid="{00000000-0005-0000-0000-000096000000}"/>
    <cellStyle name="20% - Accent2 3 3" xfId="205" xr:uid="{00000000-0005-0000-0000-000097000000}"/>
    <cellStyle name="20% - Accent2 3 3 2" xfId="206" xr:uid="{00000000-0005-0000-0000-000098000000}"/>
    <cellStyle name="20% - Accent2 3 3 2 2" xfId="207" xr:uid="{00000000-0005-0000-0000-000099000000}"/>
    <cellStyle name="20% - Accent2 3 3 2 3" xfId="208" xr:uid="{00000000-0005-0000-0000-00009A000000}"/>
    <cellStyle name="20% - Accent2 3 3 3" xfId="209" xr:uid="{00000000-0005-0000-0000-00009B000000}"/>
    <cellStyle name="20% - Accent2 3 3 4" xfId="210" xr:uid="{00000000-0005-0000-0000-00009C000000}"/>
    <cellStyle name="20% - Accent2 3 4" xfId="211" xr:uid="{00000000-0005-0000-0000-00009D000000}"/>
    <cellStyle name="20% - Accent2 3 4 2" xfId="212" xr:uid="{00000000-0005-0000-0000-00009E000000}"/>
    <cellStyle name="20% - Accent2 3 4 3" xfId="213" xr:uid="{00000000-0005-0000-0000-00009F000000}"/>
    <cellStyle name="20% - Accent2 3 5" xfId="214" xr:uid="{00000000-0005-0000-0000-0000A0000000}"/>
    <cellStyle name="20% - Accent2 3 6" xfId="215" xr:uid="{00000000-0005-0000-0000-0000A1000000}"/>
    <cellStyle name="20% - Accent2 4" xfId="216" xr:uid="{00000000-0005-0000-0000-0000A2000000}"/>
    <cellStyle name="20% - Accent2 4 2" xfId="217" xr:uid="{00000000-0005-0000-0000-0000A3000000}"/>
    <cellStyle name="20% - Accent2 4 2 2" xfId="218" xr:uid="{00000000-0005-0000-0000-0000A4000000}"/>
    <cellStyle name="20% - Accent2 4 2 2 2" xfId="219" xr:uid="{00000000-0005-0000-0000-0000A5000000}"/>
    <cellStyle name="20% - Accent2 4 2 2 2 2" xfId="220" xr:uid="{00000000-0005-0000-0000-0000A6000000}"/>
    <cellStyle name="20% - Accent2 4 2 2 2 3" xfId="221" xr:uid="{00000000-0005-0000-0000-0000A7000000}"/>
    <cellStyle name="20% - Accent2 4 2 2 3" xfId="222" xr:uid="{00000000-0005-0000-0000-0000A8000000}"/>
    <cellStyle name="20% - Accent2 4 2 2 4" xfId="223" xr:uid="{00000000-0005-0000-0000-0000A9000000}"/>
    <cellStyle name="20% - Accent2 4 2 3" xfId="224" xr:uid="{00000000-0005-0000-0000-0000AA000000}"/>
    <cellStyle name="20% - Accent2 4 2 3 2" xfId="225" xr:uid="{00000000-0005-0000-0000-0000AB000000}"/>
    <cellStyle name="20% - Accent2 4 2 3 3" xfId="226" xr:uid="{00000000-0005-0000-0000-0000AC000000}"/>
    <cellStyle name="20% - Accent2 4 2 4" xfId="227" xr:uid="{00000000-0005-0000-0000-0000AD000000}"/>
    <cellStyle name="20% - Accent2 4 2 5" xfId="228" xr:uid="{00000000-0005-0000-0000-0000AE000000}"/>
    <cellStyle name="20% - Accent2 4 3" xfId="229" xr:uid="{00000000-0005-0000-0000-0000AF000000}"/>
    <cellStyle name="20% - Accent2 4 3 2" xfId="230" xr:uid="{00000000-0005-0000-0000-0000B0000000}"/>
    <cellStyle name="20% - Accent2 4 3 2 2" xfId="231" xr:uid="{00000000-0005-0000-0000-0000B1000000}"/>
    <cellStyle name="20% - Accent2 4 3 2 3" xfId="232" xr:uid="{00000000-0005-0000-0000-0000B2000000}"/>
    <cellStyle name="20% - Accent2 4 3 3" xfId="233" xr:uid="{00000000-0005-0000-0000-0000B3000000}"/>
    <cellStyle name="20% - Accent2 4 3 4" xfId="234" xr:uid="{00000000-0005-0000-0000-0000B4000000}"/>
    <cellStyle name="20% - Accent2 4 4" xfId="235" xr:uid="{00000000-0005-0000-0000-0000B5000000}"/>
    <cellStyle name="20% - Accent2 4 4 2" xfId="236" xr:uid="{00000000-0005-0000-0000-0000B6000000}"/>
    <cellStyle name="20% - Accent2 4 4 3" xfId="237" xr:uid="{00000000-0005-0000-0000-0000B7000000}"/>
    <cellStyle name="20% - Accent2 4 5" xfId="238" xr:uid="{00000000-0005-0000-0000-0000B8000000}"/>
    <cellStyle name="20% - Accent2 4 6" xfId="239" xr:uid="{00000000-0005-0000-0000-0000B9000000}"/>
    <cellStyle name="20% - Accent2 5" xfId="240" xr:uid="{00000000-0005-0000-0000-0000BA000000}"/>
    <cellStyle name="20% - Accent2 5 2" xfId="241" xr:uid="{00000000-0005-0000-0000-0000BB000000}"/>
    <cellStyle name="20% - Accent2 5 2 2" xfId="242" xr:uid="{00000000-0005-0000-0000-0000BC000000}"/>
    <cellStyle name="20% - Accent2 5 2 2 2" xfId="243" xr:uid="{00000000-0005-0000-0000-0000BD000000}"/>
    <cellStyle name="20% - Accent2 5 2 2 2 2" xfId="244" xr:uid="{00000000-0005-0000-0000-0000BE000000}"/>
    <cellStyle name="20% - Accent2 5 2 2 2 3" xfId="245" xr:uid="{00000000-0005-0000-0000-0000BF000000}"/>
    <cellStyle name="20% - Accent2 5 2 2 3" xfId="246" xr:uid="{00000000-0005-0000-0000-0000C0000000}"/>
    <cellStyle name="20% - Accent2 5 2 2 4" xfId="247" xr:uid="{00000000-0005-0000-0000-0000C1000000}"/>
    <cellStyle name="20% - Accent2 5 2 3" xfId="248" xr:uid="{00000000-0005-0000-0000-0000C2000000}"/>
    <cellStyle name="20% - Accent2 5 2 3 2" xfId="249" xr:uid="{00000000-0005-0000-0000-0000C3000000}"/>
    <cellStyle name="20% - Accent2 5 2 3 3" xfId="250" xr:uid="{00000000-0005-0000-0000-0000C4000000}"/>
    <cellStyle name="20% - Accent2 5 2 4" xfId="251" xr:uid="{00000000-0005-0000-0000-0000C5000000}"/>
    <cellStyle name="20% - Accent2 5 2 5" xfId="252" xr:uid="{00000000-0005-0000-0000-0000C6000000}"/>
    <cellStyle name="20% - Accent2 5 3" xfId="253" xr:uid="{00000000-0005-0000-0000-0000C7000000}"/>
    <cellStyle name="20% - Accent2 5 3 2" xfId="254" xr:uid="{00000000-0005-0000-0000-0000C8000000}"/>
    <cellStyle name="20% - Accent2 5 3 2 2" xfId="255" xr:uid="{00000000-0005-0000-0000-0000C9000000}"/>
    <cellStyle name="20% - Accent2 5 3 2 3" xfId="256" xr:uid="{00000000-0005-0000-0000-0000CA000000}"/>
    <cellStyle name="20% - Accent2 5 3 3" xfId="257" xr:uid="{00000000-0005-0000-0000-0000CB000000}"/>
    <cellStyle name="20% - Accent2 5 3 4" xfId="258" xr:uid="{00000000-0005-0000-0000-0000CC000000}"/>
    <cellStyle name="20% - Accent2 5 4" xfId="259" xr:uid="{00000000-0005-0000-0000-0000CD000000}"/>
    <cellStyle name="20% - Accent2 5 4 2" xfId="260" xr:uid="{00000000-0005-0000-0000-0000CE000000}"/>
    <cellStyle name="20% - Accent2 5 4 3" xfId="261" xr:uid="{00000000-0005-0000-0000-0000CF000000}"/>
    <cellStyle name="20% - Accent2 5 5" xfId="262" xr:uid="{00000000-0005-0000-0000-0000D0000000}"/>
    <cellStyle name="20% - Accent2 5 6" xfId="263" xr:uid="{00000000-0005-0000-0000-0000D1000000}"/>
    <cellStyle name="20% - Accent2 6" xfId="264" xr:uid="{00000000-0005-0000-0000-0000D2000000}"/>
    <cellStyle name="20% - Accent2 7" xfId="265" xr:uid="{00000000-0005-0000-0000-0000D3000000}"/>
    <cellStyle name="20% - Accent2 8" xfId="266" xr:uid="{00000000-0005-0000-0000-0000D4000000}"/>
    <cellStyle name="20% - Accent2 9" xfId="267" xr:uid="{00000000-0005-0000-0000-0000D5000000}"/>
    <cellStyle name="20% - Accent3" xfId="21915" builtinId="38" customBuiltin="1"/>
    <cellStyle name="20% - Accent3 10" xfId="268" xr:uid="{00000000-0005-0000-0000-0000D7000000}"/>
    <cellStyle name="20% - Accent3 11" xfId="269" xr:uid="{00000000-0005-0000-0000-0000D8000000}"/>
    <cellStyle name="20% - Accent3 12" xfId="270" xr:uid="{00000000-0005-0000-0000-0000D9000000}"/>
    <cellStyle name="20% - Accent3 13" xfId="271" xr:uid="{00000000-0005-0000-0000-0000DA000000}"/>
    <cellStyle name="20% - Accent3 14" xfId="272" xr:uid="{00000000-0005-0000-0000-0000DB000000}"/>
    <cellStyle name="20% - Accent3 15" xfId="273" xr:uid="{00000000-0005-0000-0000-0000DC000000}"/>
    <cellStyle name="20% - Accent3 2" xfId="274" xr:uid="{00000000-0005-0000-0000-0000DD000000}"/>
    <cellStyle name="20% - Accent3 2 2" xfId="275" xr:uid="{00000000-0005-0000-0000-0000DE000000}"/>
    <cellStyle name="20% - Accent3 2 2 2" xfId="276" xr:uid="{00000000-0005-0000-0000-0000DF000000}"/>
    <cellStyle name="20% - Accent3 2 2 2 2" xfId="277" xr:uid="{00000000-0005-0000-0000-0000E0000000}"/>
    <cellStyle name="20% - Accent3 2 2 2 2 2" xfId="278" xr:uid="{00000000-0005-0000-0000-0000E1000000}"/>
    <cellStyle name="20% - Accent3 2 2 2 2 3" xfId="279" xr:uid="{00000000-0005-0000-0000-0000E2000000}"/>
    <cellStyle name="20% - Accent3 2 2 2 3" xfId="280" xr:uid="{00000000-0005-0000-0000-0000E3000000}"/>
    <cellStyle name="20% - Accent3 2 2 2 4" xfId="281" xr:uid="{00000000-0005-0000-0000-0000E4000000}"/>
    <cellStyle name="20% - Accent3 2 2 3" xfId="282" xr:uid="{00000000-0005-0000-0000-0000E5000000}"/>
    <cellStyle name="20% - Accent3 2 2 3 2" xfId="283" xr:uid="{00000000-0005-0000-0000-0000E6000000}"/>
    <cellStyle name="20% - Accent3 2 2 3 3" xfId="284" xr:uid="{00000000-0005-0000-0000-0000E7000000}"/>
    <cellStyle name="20% - Accent3 2 2 4" xfId="285" xr:uid="{00000000-0005-0000-0000-0000E8000000}"/>
    <cellStyle name="20% - Accent3 2 2 5" xfId="286" xr:uid="{00000000-0005-0000-0000-0000E9000000}"/>
    <cellStyle name="20% - Accent3 2 3" xfId="287" xr:uid="{00000000-0005-0000-0000-0000EA000000}"/>
    <cellStyle name="20% - Accent3 2 3 2" xfId="288" xr:uid="{00000000-0005-0000-0000-0000EB000000}"/>
    <cellStyle name="20% - Accent3 2 3 2 2" xfId="289" xr:uid="{00000000-0005-0000-0000-0000EC000000}"/>
    <cellStyle name="20% - Accent3 2 3 2 3" xfId="290" xr:uid="{00000000-0005-0000-0000-0000ED000000}"/>
    <cellStyle name="20% - Accent3 2 3 3" xfId="291" xr:uid="{00000000-0005-0000-0000-0000EE000000}"/>
    <cellStyle name="20% - Accent3 2 3 4" xfId="292" xr:uid="{00000000-0005-0000-0000-0000EF000000}"/>
    <cellStyle name="20% - Accent3 2 4" xfId="293" xr:uid="{00000000-0005-0000-0000-0000F0000000}"/>
    <cellStyle name="20% - Accent3 2 4 2" xfId="294" xr:uid="{00000000-0005-0000-0000-0000F1000000}"/>
    <cellStyle name="20% - Accent3 2 4 3" xfId="295" xr:uid="{00000000-0005-0000-0000-0000F2000000}"/>
    <cellStyle name="20% - Accent3 2 5" xfId="296" xr:uid="{00000000-0005-0000-0000-0000F3000000}"/>
    <cellStyle name="20% - Accent3 2 6" xfId="297" xr:uid="{00000000-0005-0000-0000-0000F4000000}"/>
    <cellStyle name="20% - Accent3 3" xfId="298" xr:uid="{00000000-0005-0000-0000-0000F5000000}"/>
    <cellStyle name="20% - Accent3 3 2" xfId="299" xr:uid="{00000000-0005-0000-0000-0000F6000000}"/>
    <cellStyle name="20% - Accent3 3 2 2" xfId="300" xr:uid="{00000000-0005-0000-0000-0000F7000000}"/>
    <cellStyle name="20% - Accent3 3 2 2 2" xfId="301" xr:uid="{00000000-0005-0000-0000-0000F8000000}"/>
    <cellStyle name="20% - Accent3 3 2 2 2 2" xfId="302" xr:uid="{00000000-0005-0000-0000-0000F9000000}"/>
    <cellStyle name="20% - Accent3 3 2 2 2 3" xfId="303" xr:uid="{00000000-0005-0000-0000-0000FA000000}"/>
    <cellStyle name="20% - Accent3 3 2 2 3" xfId="304" xr:uid="{00000000-0005-0000-0000-0000FB000000}"/>
    <cellStyle name="20% - Accent3 3 2 2 4" xfId="305" xr:uid="{00000000-0005-0000-0000-0000FC000000}"/>
    <cellStyle name="20% - Accent3 3 2 3" xfId="306" xr:uid="{00000000-0005-0000-0000-0000FD000000}"/>
    <cellStyle name="20% - Accent3 3 2 3 2" xfId="307" xr:uid="{00000000-0005-0000-0000-0000FE000000}"/>
    <cellStyle name="20% - Accent3 3 2 3 3" xfId="308" xr:uid="{00000000-0005-0000-0000-0000FF000000}"/>
    <cellStyle name="20% - Accent3 3 2 4" xfId="309" xr:uid="{00000000-0005-0000-0000-000000010000}"/>
    <cellStyle name="20% - Accent3 3 2 5" xfId="310" xr:uid="{00000000-0005-0000-0000-000001010000}"/>
    <cellStyle name="20% - Accent3 3 3" xfId="311" xr:uid="{00000000-0005-0000-0000-000002010000}"/>
    <cellStyle name="20% - Accent3 3 3 2" xfId="312" xr:uid="{00000000-0005-0000-0000-000003010000}"/>
    <cellStyle name="20% - Accent3 3 3 2 2" xfId="313" xr:uid="{00000000-0005-0000-0000-000004010000}"/>
    <cellStyle name="20% - Accent3 3 3 2 3" xfId="314" xr:uid="{00000000-0005-0000-0000-000005010000}"/>
    <cellStyle name="20% - Accent3 3 3 3" xfId="315" xr:uid="{00000000-0005-0000-0000-000006010000}"/>
    <cellStyle name="20% - Accent3 3 3 4" xfId="316" xr:uid="{00000000-0005-0000-0000-000007010000}"/>
    <cellStyle name="20% - Accent3 3 4" xfId="317" xr:uid="{00000000-0005-0000-0000-000008010000}"/>
    <cellStyle name="20% - Accent3 3 4 2" xfId="318" xr:uid="{00000000-0005-0000-0000-000009010000}"/>
    <cellStyle name="20% - Accent3 3 4 3" xfId="319" xr:uid="{00000000-0005-0000-0000-00000A010000}"/>
    <cellStyle name="20% - Accent3 3 5" xfId="320" xr:uid="{00000000-0005-0000-0000-00000B010000}"/>
    <cellStyle name="20% - Accent3 3 6" xfId="321" xr:uid="{00000000-0005-0000-0000-00000C010000}"/>
    <cellStyle name="20% - Accent3 4" xfId="322" xr:uid="{00000000-0005-0000-0000-00000D010000}"/>
    <cellStyle name="20% - Accent3 4 2" xfId="323" xr:uid="{00000000-0005-0000-0000-00000E010000}"/>
    <cellStyle name="20% - Accent3 4 2 2" xfId="324" xr:uid="{00000000-0005-0000-0000-00000F010000}"/>
    <cellStyle name="20% - Accent3 4 2 2 2" xfId="325" xr:uid="{00000000-0005-0000-0000-000010010000}"/>
    <cellStyle name="20% - Accent3 4 2 2 2 2" xfId="326" xr:uid="{00000000-0005-0000-0000-000011010000}"/>
    <cellStyle name="20% - Accent3 4 2 2 2 3" xfId="327" xr:uid="{00000000-0005-0000-0000-000012010000}"/>
    <cellStyle name="20% - Accent3 4 2 2 3" xfId="328" xr:uid="{00000000-0005-0000-0000-000013010000}"/>
    <cellStyle name="20% - Accent3 4 2 2 4" xfId="329" xr:uid="{00000000-0005-0000-0000-000014010000}"/>
    <cellStyle name="20% - Accent3 4 2 3" xfId="330" xr:uid="{00000000-0005-0000-0000-000015010000}"/>
    <cellStyle name="20% - Accent3 4 2 3 2" xfId="331" xr:uid="{00000000-0005-0000-0000-000016010000}"/>
    <cellStyle name="20% - Accent3 4 2 3 3" xfId="332" xr:uid="{00000000-0005-0000-0000-000017010000}"/>
    <cellStyle name="20% - Accent3 4 2 4" xfId="333" xr:uid="{00000000-0005-0000-0000-000018010000}"/>
    <cellStyle name="20% - Accent3 4 2 5" xfId="334" xr:uid="{00000000-0005-0000-0000-000019010000}"/>
    <cellStyle name="20% - Accent3 4 3" xfId="335" xr:uid="{00000000-0005-0000-0000-00001A010000}"/>
    <cellStyle name="20% - Accent3 4 3 2" xfId="336" xr:uid="{00000000-0005-0000-0000-00001B010000}"/>
    <cellStyle name="20% - Accent3 4 3 2 2" xfId="337" xr:uid="{00000000-0005-0000-0000-00001C010000}"/>
    <cellStyle name="20% - Accent3 4 3 2 3" xfId="338" xr:uid="{00000000-0005-0000-0000-00001D010000}"/>
    <cellStyle name="20% - Accent3 4 3 3" xfId="339" xr:uid="{00000000-0005-0000-0000-00001E010000}"/>
    <cellStyle name="20% - Accent3 4 3 4" xfId="340" xr:uid="{00000000-0005-0000-0000-00001F010000}"/>
    <cellStyle name="20% - Accent3 4 4" xfId="341" xr:uid="{00000000-0005-0000-0000-000020010000}"/>
    <cellStyle name="20% - Accent3 4 4 2" xfId="342" xr:uid="{00000000-0005-0000-0000-000021010000}"/>
    <cellStyle name="20% - Accent3 4 4 3" xfId="343" xr:uid="{00000000-0005-0000-0000-000022010000}"/>
    <cellStyle name="20% - Accent3 4 5" xfId="344" xr:uid="{00000000-0005-0000-0000-000023010000}"/>
    <cellStyle name="20% - Accent3 4 6" xfId="345" xr:uid="{00000000-0005-0000-0000-000024010000}"/>
    <cellStyle name="20% - Accent3 5" xfId="346" xr:uid="{00000000-0005-0000-0000-000025010000}"/>
    <cellStyle name="20% - Accent3 5 2" xfId="347" xr:uid="{00000000-0005-0000-0000-000026010000}"/>
    <cellStyle name="20% - Accent3 5 2 2" xfId="348" xr:uid="{00000000-0005-0000-0000-000027010000}"/>
    <cellStyle name="20% - Accent3 5 2 2 2" xfId="349" xr:uid="{00000000-0005-0000-0000-000028010000}"/>
    <cellStyle name="20% - Accent3 5 2 2 2 2" xfId="350" xr:uid="{00000000-0005-0000-0000-000029010000}"/>
    <cellStyle name="20% - Accent3 5 2 2 2 3" xfId="351" xr:uid="{00000000-0005-0000-0000-00002A010000}"/>
    <cellStyle name="20% - Accent3 5 2 2 3" xfId="352" xr:uid="{00000000-0005-0000-0000-00002B010000}"/>
    <cellStyle name="20% - Accent3 5 2 2 4" xfId="353" xr:uid="{00000000-0005-0000-0000-00002C010000}"/>
    <cellStyle name="20% - Accent3 5 2 3" xfId="354" xr:uid="{00000000-0005-0000-0000-00002D010000}"/>
    <cellStyle name="20% - Accent3 5 2 3 2" xfId="355" xr:uid="{00000000-0005-0000-0000-00002E010000}"/>
    <cellStyle name="20% - Accent3 5 2 3 3" xfId="356" xr:uid="{00000000-0005-0000-0000-00002F010000}"/>
    <cellStyle name="20% - Accent3 5 2 4" xfId="357" xr:uid="{00000000-0005-0000-0000-000030010000}"/>
    <cellStyle name="20% - Accent3 5 2 5" xfId="358" xr:uid="{00000000-0005-0000-0000-000031010000}"/>
    <cellStyle name="20% - Accent3 5 3" xfId="359" xr:uid="{00000000-0005-0000-0000-000032010000}"/>
    <cellStyle name="20% - Accent3 5 3 2" xfId="360" xr:uid="{00000000-0005-0000-0000-000033010000}"/>
    <cellStyle name="20% - Accent3 5 3 2 2" xfId="361" xr:uid="{00000000-0005-0000-0000-000034010000}"/>
    <cellStyle name="20% - Accent3 5 3 2 3" xfId="362" xr:uid="{00000000-0005-0000-0000-000035010000}"/>
    <cellStyle name="20% - Accent3 5 3 3" xfId="363" xr:uid="{00000000-0005-0000-0000-000036010000}"/>
    <cellStyle name="20% - Accent3 5 3 4" xfId="364" xr:uid="{00000000-0005-0000-0000-000037010000}"/>
    <cellStyle name="20% - Accent3 5 4" xfId="365" xr:uid="{00000000-0005-0000-0000-000038010000}"/>
    <cellStyle name="20% - Accent3 5 4 2" xfId="366" xr:uid="{00000000-0005-0000-0000-000039010000}"/>
    <cellStyle name="20% - Accent3 5 4 3" xfId="367" xr:uid="{00000000-0005-0000-0000-00003A010000}"/>
    <cellStyle name="20% - Accent3 5 5" xfId="368" xr:uid="{00000000-0005-0000-0000-00003B010000}"/>
    <cellStyle name="20% - Accent3 5 6" xfId="369" xr:uid="{00000000-0005-0000-0000-00003C010000}"/>
    <cellStyle name="20% - Accent3 6" xfId="370" xr:uid="{00000000-0005-0000-0000-00003D010000}"/>
    <cellStyle name="20% - Accent3 7" xfId="371" xr:uid="{00000000-0005-0000-0000-00003E010000}"/>
    <cellStyle name="20% - Accent3 8" xfId="372" xr:uid="{00000000-0005-0000-0000-00003F010000}"/>
    <cellStyle name="20% - Accent3 9" xfId="373" xr:uid="{00000000-0005-0000-0000-000040010000}"/>
    <cellStyle name="20% - Accent4" xfId="21919" builtinId="42" customBuiltin="1"/>
    <cellStyle name="20% - Accent4 10" xfId="374" xr:uid="{00000000-0005-0000-0000-000042010000}"/>
    <cellStyle name="20% - Accent4 11" xfId="375" xr:uid="{00000000-0005-0000-0000-000043010000}"/>
    <cellStyle name="20% - Accent4 12" xfId="376" xr:uid="{00000000-0005-0000-0000-000044010000}"/>
    <cellStyle name="20% - Accent4 13" xfId="377" xr:uid="{00000000-0005-0000-0000-000045010000}"/>
    <cellStyle name="20% - Accent4 14" xfId="378" xr:uid="{00000000-0005-0000-0000-000046010000}"/>
    <cellStyle name="20% - Accent4 15" xfId="379" xr:uid="{00000000-0005-0000-0000-000047010000}"/>
    <cellStyle name="20% - Accent4 2" xfId="380" xr:uid="{00000000-0005-0000-0000-000048010000}"/>
    <cellStyle name="20% - Accent4 2 2" xfId="381" xr:uid="{00000000-0005-0000-0000-000049010000}"/>
    <cellStyle name="20% - Accent4 2 2 2" xfId="382" xr:uid="{00000000-0005-0000-0000-00004A010000}"/>
    <cellStyle name="20% - Accent4 2 2 2 2" xfId="383" xr:uid="{00000000-0005-0000-0000-00004B010000}"/>
    <cellStyle name="20% - Accent4 2 2 2 2 2" xfId="384" xr:uid="{00000000-0005-0000-0000-00004C010000}"/>
    <cellStyle name="20% - Accent4 2 2 2 2 3" xfId="385" xr:uid="{00000000-0005-0000-0000-00004D010000}"/>
    <cellStyle name="20% - Accent4 2 2 2 3" xfId="386" xr:uid="{00000000-0005-0000-0000-00004E010000}"/>
    <cellStyle name="20% - Accent4 2 2 2 4" xfId="387" xr:uid="{00000000-0005-0000-0000-00004F010000}"/>
    <cellStyle name="20% - Accent4 2 2 3" xfId="388" xr:uid="{00000000-0005-0000-0000-000050010000}"/>
    <cellStyle name="20% - Accent4 2 2 3 2" xfId="389" xr:uid="{00000000-0005-0000-0000-000051010000}"/>
    <cellStyle name="20% - Accent4 2 2 3 3" xfId="390" xr:uid="{00000000-0005-0000-0000-000052010000}"/>
    <cellStyle name="20% - Accent4 2 2 4" xfId="391" xr:uid="{00000000-0005-0000-0000-000053010000}"/>
    <cellStyle name="20% - Accent4 2 2 5" xfId="392" xr:uid="{00000000-0005-0000-0000-000054010000}"/>
    <cellStyle name="20% - Accent4 2 3" xfId="393" xr:uid="{00000000-0005-0000-0000-000055010000}"/>
    <cellStyle name="20% - Accent4 2 3 2" xfId="394" xr:uid="{00000000-0005-0000-0000-000056010000}"/>
    <cellStyle name="20% - Accent4 2 3 2 2" xfId="395" xr:uid="{00000000-0005-0000-0000-000057010000}"/>
    <cellStyle name="20% - Accent4 2 3 2 3" xfId="396" xr:uid="{00000000-0005-0000-0000-000058010000}"/>
    <cellStyle name="20% - Accent4 2 3 3" xfId="397" xr:uid="{00000000-0005-0000-0000-000059010000}"/>
    <cellStyle name="20% - Accent4 2 3 4" xfId="398" xr:uid="{00000000-0005-0000-0000-00005A010000}"/>
    <cellStyle name="20% - Accent4 2 4" xfId="399" xr:uid="{00000000-0005-0000-0000-00005B010000}"/>
    <cellStyle name="20% - Accent4 2 4 2" xfId="400" xr:uid="{00000000-0005-0000-0000-00005C010000}"/>
    <cellStyle name="20% - Accent4 2 4 3" xfId="401" xr:uid="{00000000-0005-0000-0000-00005D010000}"/>
    <cellStyle name="20% - Accent4 2 5" xfId="402" xr:uid="{00000000-0005-0000-0000-00005E010000}"/>
    <cellStyle name="20% - Accent4 2 6" xfId="403" xr:uid="{00000000-0005-0000-0000-00005F010000}"/>
    <cellStyle name="20% - Accent4 3" xfId="404" xr:uid="{00000000-0005-0000-0000-000060010000}"/>
    <cellStyle name="20% - Accent4 3 2" xfId="405" xr:uid="{00000000-0005-0000-0000-000061010000}"/>
    <cellStyle name="20% - Accent4 3 2 2" xfId="406" xr:uid="{00000000-0005-0000-0000-000062010000}"/>
    <cellStyle name="20% - Accent4 3 2 2 2" xfId="407" xr:uid="{00000000-0005-0000-0000-000063010000}"/>
    <cellStyle name="20% - Accent4 3 2 2 2 2" xfId="408" xr:uid="{00000000-0005-0000-0000-000064010000}"/>
    <cellStyle name="20% - Accent4 3 2 2 2 3" xfId="409" xr:uid="{00000000-0005-0000-0000-000065010000}"/>
    <cellStyle name="20% - Accent4 3 2 2 3" xfId="410" xr:uid="{00000000-0005-0000-0000-000066010000}"/>
    <cellStyle name="20% - Accent4 3 2 2 4" xfId="411" xr:uid="{00000000-0005-0000-0000-000067010000}"/>
    <cellStyle name="20% - Accent4 3 2 3" xfId="412" xr:uid="{00000000-0005-0000-0000-000068010000}"/>
    <cellStyle name="20% - Accent4 3 2 3 2" xfId="413" xr:uid="{00000000-0005-0000-0000-000069010000}"/>
    <cellStyle name="20% - Accent4 3 2 3 3" xfId="414" xr:uid="{00000000-0005-0000-0000-00006A010000}"/>
    <cellStyle name="20% - Accent4 3 2 4" xfId="415" xr:uid="{00000000-0005-0000-0000-00006B010000}"/>
    <cellStyle name="20% - Accent4 3 2 5" xfId="416" xr:uid="{00000000-0005-0000-0000-00006C010000}"/>
    <cellStyle name="20% - Accent4 3 3" xfId="417" xr:uid="{00000000-0005-0000-0000-00006D010000}"/>
    <cellStyle name="20% - Accent4 3 3 2" xfId="418" xr:uid="{00000000-0005-0000-0000-00006E010000}"/>
    <cellStyle name="20% - Accent4 3 3 2 2" xfId="419" xr:uid="{00000000-0005-0000-0000-00006F010000}"/>
    <cellStyle name="20% - Accent4 3 3 2 3" xfId="420" xr:uid="{00000000-0005-0000-0000-000070010000}"/>
    <cellStyle name="20% - Accent4 3 3 3" xfId="421" xr:uid="{00000000-0005-0000-0000-000071010000}"/>
    <cellStyle name="20% - Accent4 3 3 4" xfId="422" xr:uid="{00000000-0005-0000-0000-000072010000}"/>
    <cellStyle name="20% - Accent4 3 4" xfId="423" xr:uid="{00000000-0005-0000-0000-000073010000}"/>
    <cellStyle name="20% - Accent4 3 4 2" xfId="424" xr:uid="{00000000-0005-0000-0000-000074010000}"/>
    <cellStyle name="20% - Accent4 3 4 3" xfId="425" xr:uid="{00000000-0005-0000-0000-000075010000}"/>
    <cellStyle name="20% - Accent4 3 5" xfId="426" xr:uid="{00000000-0005-0000-0000-000076010000}"/>
    <cellStyle name="20% - Accent4 3 6" xfId="427" xr:uid="{00000000-0005-0000-0000-000077010000}"/>
    <cellStyle name="20% - Accent4 4" xfId="428" xr:uid="{00000000-0005-0000-0000-000078010000}"/>
    <cellStyle name="20% - Accent4 4 2" xfId="429" xr:uid="{00000000-0005-0000-0000-000079010000}"/>
    <cellStyle name="20% - Accent4 4 2 2" xfId="430" xr:uid="{00000000-0005-0000-0000-00007A010000}"/>
    <cellStyle name="20% - Accent4 4 2 2 2" xfId="431" xr:uid="{00000000-0005-0000-0000-00007B010000}"/>
    <cellStyle name="20% - Accent4 4 2 2 2 2" xfId="432" xr:uid="{00000000-0005-0000-0000-00007C010000}"/>
    <cellStyle name="20% - Accent4 4 2 2 2 3" xfId="433" xr:uid="{00000000-0005-0000-0000-00007D010000}"/>
    <cellStyle name="20% - Accent4 4 2 2 3" xfId="434" xr:uid="{00000000-0005-0000-0000-00007E010000}"/>
    <cellStyle name="20% - Accent4 4 2 2 4" xfId="435" xr:uid="{00000000-0005-0000-0000-00007F010000}"/>
    <cellStyle name="20% - Accent4 4 2 3" xfId="436" xr:uid="{00000000-0005-0000-0000-000080010000}"/>
    <cellStyle name="20% - Accent4 4 2 3 2" xfId="437" xr:uid="{00000000-0005-0000-0000-000081010000}"/>
    <cellStyle name="20% - Accent4 4 2 3 3" xfId="438" xr:uid="{00000000-0005-0000-0000-000082010000}"/>
    <cellStyle name="20% - Accent4 4 2 4" xfId="439" xr:uid="{00000000-0005-0000-0000-000083010000}"/>
    <cellStyle name="20% - Accent4 4 2 5" xfId="440" xr:uid="{00000000-0005-0000-0000-000084010000}"/>
    <cellStyle name="20% - Accent4 4 3" xfId="441" xr:uid="{00000000-0005-0000-0000-000085010000}"/>
    <cellStyle name="20% - Accent4 4 3 2" xfId="442" xr:uid="{00000000-0005-0000-0000-000086010000}"/>
    <cellStyle name="20% - Accent4 4 3 2 2" xfId="443" xr:uid="{00000000-0005-0000-0000-000087010000}"/>
    <cellStyle name="20% - Accent4 4 3 2 3" xfId="444" xr:uid="{00000000-0005-0000-0000-000088010000}"/>
    <cellStyle name="20% - Accent4 4 3 3" xfId="445" xr:uid="{00000000-0005-0000-0000-000089010000}"/>
    <cellStyle name="20% - Accent4 4 3 4" xfId="446" xr:uid="{00000000-0005-0000-0000-00008A010000}"/>
    <cellStyle name="20% - Accent4 4 4" xfId="447" xr:uid="{00000000-0005-0000-0000-00008B010000}"/>
    <cellStyle name="20% - Accent4 4 4 2" xfId="448" xr:uid="{00000000-0005-0000-0000-00008C010000}"/>
    <cellStyle name="20% - Accent4 4 4 3" xfId="449" xr:uid="{00000000-0005-0000-0000-00008D010000}"/>
    <cellStyle name="20% - Accent4 4 5" xfId="450" xr:uid="{00000000-0005-0000-0000-00008E010000}"/>
    <cellStyle name="20% - Accent4 4 6" xfId="451" xr:uid="{00000000-0005-0000-0000-00008F010000}"/>
    <cellStyle name="20% - Accent4 5" xfId="452" xr:uid="{00000000-0005-0000-0000-000090010000}"/>
    <cellStyle name="20% - Accent4 5 2" xfId="453" xr:uid="{00000000-0005-0000-0000-000091010000}"/>
    <cellStyle name="20% - Accent4 5 2 2" xfId="454" xr:uid="{00000000-0005-0000-0000-000092010000}"/>
    <cellStyle name="20% - Accent4 5 2 2 2" xfId="455" xr:uid="{00000000-0005-0000-0000-000093010000}"/>
    <cellStyle name="20% - Accent4 5 2 2 2 2" xfId="456" xr:uid="{00000000-0005-0000-0000-000094010000}"/>
    <cellStyle name="20% - Accent4 5 2 2 2 3" xfId="457" xr:uid="{00000000-0005-0000-0000-000095010000}"/>
    <cellStyle name="20% - Accent4 5 2 2 3" xfId="458" xr:uid="{00000000-0005-0000-0000-000096010000}"/>
    <cellStyle name="20% - Accent4 5 2 2 4" xfId="459" xr:uid="{00000000-0005-0000-0000-000097010000}"/>
    <cellStyle name="20% - Accent4 5 2 3" xfId="460" xr:uid="{00000000-0005-0000-0000-000098010000}"/>
    <cellStyle name="20% - Accent4 5 2 3 2" xfId="461" xr:uid="{00000000-0005-0000-0000-000099010000}"/>
    <cellStyle name="20% - Accent4 5 2 3 3" xfId="462" xr:uid="{00000000-0005-0000-0000-00009A010000}"/>
    <cellStyle name="20% - Accent4 5 2 4" xfId="463" xr:uid="{00000000-0005-0000-0000-00009B010000}"/>
    <cellStyle name="20% - Accent4 5 2 5" xfId="464" xr:uid="{00000000-0005-0000-0000-00009C010000}"/>
    <cellStyle name="20% - Accent4 5 3" xfId="465" xr:uid="{00000000-0005-0000-0000-00009D010000}"/>
    <cellStyle name="20% - Accent4 5 3 2" xfId="466" xr:uid="{00000000-0005-0000-0000-00009E010000}"/>
    <cellStyle name="20% - Accent4 5 3 2 2" xfId="467" xr:uid="{00000000-0005-0000-0000-00009F010000}"/>
    <cellStyle name="20% - Accent4 5 3 2 3" xfId="468" xr:uid="{00000000-0005-0000-0000-0000A0010000}"/>
    <cellStyle name="20% - Accent4 5 3 3" xfId="469" xr:uid="{00000000-0005-0000-0000-0000A1010000}"/>
    <cellStyle name="20% - Accent4 5 3 4" xfId="470" xr:uid="{00000000-0005-0000-0000-0000A2010000}"/>
    <cellStyle name="20% - Accent4 5 4" xfId="471" xr:uid="{00000000-0005-0000-0000-0000A3010000}"/>
    <cellStyle name="20% - Accent4 5 4 2" xfId="472" xr:uid="{00000000-0005-0000-0000-0000A4010000}"/>
    <cellStyle name="20% - Accent4 5 4 3" xfId="473" xr:uid="{00000000-0005-0000-0000-0000A5010000}"/>
    <cellStyle name="20% - Accent4 5 5" xfId="474" xr:uid="{00000000-0005-0000-0000-0000A6010000}"/>
    <cellStyle name="20% - Accent4 5 6" xfId="475" xr:uid="{00000000-0005-0000-0000-0000A7010000}"/>
    <cellStyle name="20% - Accent4 6" xfId="476" xr:uid="{00000000-0005-0000-0000-0000A8010000}"/>
    <cellStyle name="20% - Accent4 7" xfId="477" xr:uid="{00000000-0005-0000-0000-0000A9010000}"/>
    <cellStyle name="20% - Accent4 8" xfId="478" xr:uid="{00000000-0005-0000-0000-0000AA010000}"/>
    <cellStyle name="20% - Accent4 9" xfId="479" xr:uid="{00000000-0005-0000-0000-0000AB010000}"/>
    <cellStyle name="20% - Accent5" xfId="21923" builtinId="46" customBuiltin="1"/>
    <cellStyle name="20% - Accent5 10" xfId="480" xr:uid="{00000000-0005-0000-0000-0000AD010000}"/>
    <cellStyle name="20% - Accent5 11" xfId="481" xr:uid="{00000000-0005-0000-0000-0000AE010000}"/>
    <cellStyle name="20% - Accent5 12" xfId="482" xr:uid="{00000000-0005-0000-0000-0000AF010000}"/>
    <cellStyle name="20% - Accent5 13" xfId="483" xr:uid="{00000000-0005-0000-0000-0000B0010000}"/>
    <cellStyle name="20% - Accent5 14" xfId="484" xr:uid="{00000000-0005-0000-0000-0000B1010000}"/>
    <cellStyle name="20% - Accent5 15" xfId="485" xr:uid="{00000000-0005-0000-0000-0000B2010000}"/>
    <cellStyle name="20% - Accent5 2" xfId="486" xr:uid="{00000000-0005-0000-0000-0000B3010000}"/>
    <cellStyle name="20% - Accent5 2 2" xfId="487" xr:uid="{00000000-0005-0000-0000-0000B4010000}"/>
    <cellStyle name="20% - Accent5 2 2 2" xfId="488" xr:uid="{00000000-0005-0000-0000-0000B5010000}"/>
    <cellStyle name="20% - Accent5 2 2 2 2" xfId="489" xr:uid="{00000000-0005-0000-0000-0000B6010000}"/>
    <cellStyle name="20% - Accent5 2 2 2 2 2" xfId="490" xr:uid="{00000000-0005-0000-0000-0000B7010000}"/>
    <cellStyle name="20% - Accent5 2 2 2 2 3" xfId="491" xr:uid="{00000000-0005-0000-0000-0000B8010000}"/>
    <cellStyle name="20% - Accent5 2 2 2 3" xfId="492" xr:uid="{00000000-0005-0000-0000-0000B9010000}"/>
    <cellStyle name="20% - Accent5 2 2 2 4" xfId="493" xr:uid="{00000000-0005-0000-0000-0000BA010000}"/>
    <cellStyle name="20% - Accent5 2 2 3" xfId="494" xr:uid="{00000000-0005-0000-0000-0000BB010000}"/>
    <cellStyle name="20% - Accent5 2 2 3 2" xfId="495" xr:uid="{00000000-0005-0000-0000-0000BC010000}"/>
    <cellStyle name="20% - Accent5 2 2 3 3" xfId="496" xr:uid="{00000000-0005-0000-0000-0000BD010000}"/>
    <cellStyle name="20% - Accent5 2 2 4" xfId="497" xr:uid="{00000000-0005-0000-0000-0000BE010000}"/>
    <cellStyle name="20% - Accent5 2 2 5" xfId="498" xr:uid="{00000000-0005-0000-0000-0000BF010000}"/>
    <cellStyle name="20% - Accent5 2 3" xfId="499" xr:uid="{00000000-0005-0000-0000-0000C0010000}"/>
    <cellStyle name="20% - Accent5 2 3 2" xfId="500" xr:uid="{00000000-0005-0000-0000-0000C1010000}"/>
    <cellStyle name="20% - Accent5 2 3 2 2" xfId="501" xr:uid="{00000000-0005-0000-0000-0000C2010000}"/>
    <cellStyle name="20% - Accent5 2 3 2 3" xfId="502" xr:uid="{00000000-0005-0000-0000-0000C3010000}"/>
    <cellStyle name="20% - Accent5 2 3 3" xfId="503" xr:uid="{00000000-0005-0000-0000-0000C4010000}"/>
    <cellStyle name="20% - Accent5 2 3 4" xfId="504" xr:uid="{00000000-0005-0000-0000-0000C5010000}"/>
    <cellStyle name="20% - Accent5 2 4" xfId="505" xr:uid="{00000000-0005-0000-0000-0000C6010000}"/>
    <cellStyle name="20% - Accent5 2 4 2" xfId="506" xr:uid="{00000000-0005-0000-0000-0000C7010000}"/>
    <cellStyle name="20% - Accent5 2 4 3" xfId="507" xr:uid="{00000000-0005-0000-0000-0000C8010000}"/>
    <cellStyle name="20% - Accent5 2 5" xfId="508" xr:uid="{00000000-0005-0000-0000-0000C9010000}"/>
    <cellStyle name="20% - Accent5 2 6" xfId="509" xr:uid="{00000000-0005-0000-0000-0000CA010000}"/>
    <cellStyle name="20% - Accent5 3" xfId="510" xr:uid="{00000000-0005-0000-0000-0000CB010000}"/>
    <cellStyle name="20% - Accent5 3 2" xfId="511" xr:uid="{00000000-0005-0000-0000-0000CC010000}"/>
    <cellStyle name="20% - Accent5 3 2 2" xfId="512" xr:uid="{00000000-0005-0000-0000-0000CD010000}"/>
    <cellStyle name="20% - Accent5 3 2 2 2" xfId="513" xr:uid="{00000000-0005-0000-0000-0000CE010000}"/>
    <cellStyle name="20% - Accent5 3 2 2 2 2" xfId="514" xr:uid="{00000000-0005-0000-0000-0000CF010000}"/>
    <cellStyle name="20% - Accent5 3 2 2 2 3" xfId="515" xr:uid="{00000000-0005-0000-0000-0000D0010000}"/>
    <cellStyle name="20% - Accent5 3 2 2 3" xfId="516" xr:uid="{00000000-0005-0000-0000-0000D1010000}"/>
    <cellStyle name="20% - Accent5 3 2 2 4" xfId="517" xr:uid="{00000000-0005-0000-0000-0000D2010000}"/>
    <cellStyle name="20% - Accent5 3 2 3" xfId="518" xr:uid="{00000000-0005-0000-0000-0000D3010000}"/>
    <cellStyle name="20% - Accent5 3 2 3 2" xfId="519" xr:uid="{00000000-0005-0000-0000-0000D4010000}"/>
    <cellStyle name="20% - Accent5 3 2 3 3" xfId="520" xr:uid="{00000000-0005-0000-0000-0000D5010000}"/>
    <cellStyle name="20% - Accent5 3 2 4" xfId="521" xr:uid="{00000000-0005-0000-0000-0000D6010000}"/>
    <cellStyle name="20% - Accent5 3 2 5" xfId="522" xr:uid="{00000000-0005-0000-0000-0000D7010000}"/>
    <cellStyle name="20% - Accent5 3 3" xfId="523" xr:uid="{00000000-0005-0000-0000-0000D8010000}"/>
    <cellStyle name="20% - Accent5 3 3 2" xfId="524" xr:uid="{00000000-0005-0000-0000-0000D9010000}"/>
    <cellStyle name="20% - Accent5 3 3 2 2" xfId="525" xr:uid="{00000000-0005-0000-0000-0000DA010000}"/>
    <cellStyle name="20% - Accent5 3 3 2 3" xfId="526" xr:uid="{00000000-0005-0000-0000-0000DB010000}"/>
    <cellStyle name="20% - Accent5 3 3 3" xfId="527" xr:uid="{00000000-0005-0000-0000-0000DC010000}"/>
    <cellStyle name="20% - Accent5 3 3 4" xfId="528" xr:uid="{00000000-0005-0000-0000-0000DD010000}"/>
    <cellStyle name="20% - Accent5 3 4" xfId="529" xr:uid="{00000000-0005-0000-0000-0000DE010000}"/>
    <cellStyle name="20% - Accent5 3 4 2" xfId="530" xr:uid="{00000000-0005-0000-0000-0000DF010000}"/>
    <cellStyle name="20% - Accent5 3 4 3" xfId="531" xr:uid="{00000000-0005-0000-0000-0000E0010000}"/>
    <cellStyle name="20% - Accent5 3 5" xfId="532" xr:uid="{00000000-0005-0000-0000-0000E1010000}"/>
    <cellStyle name="20% - Accent5 3 6" xfId="533" xr:uid="{00000000-0005-0000-0000-0000E2010000}"/>
    <cellStyle name="20% - Accent5 4" xfId="534" xr:uid="{00000000-0005-0000-0000-0000E3010000}"/>
    <cellStyle name="20% - Accent5 4 2" xfId="535" xr:uid="{00000000-0005-0000-0000-0000E4010000}"/>
    <cellStyle name="20% - Accent5 4 2 2" xfId="536" xr:uid="{00000000-0005-0000-0000-0000E5010000}"/>
    <cellStyle name="20% - Accent5 4 2 2 2" xfId="537" xr:uid="{00000000-0005-0000-0000-0000E6010000}"/>
    <cellStyle name="20% - Accent5 4 2 2 2 2" xfId="538" xr:uid="{00000000-0005-0000-0000-0000E7010000}"/>
    <cellStyle name="20% - Accent5 4 2 2 2 3" xfId="539" xr:uid="{00000000-0005-0000-0000-0000E8010000}"/>
    <cellStyle name="20% - Accent5 4 2 2 3" xfId="540" xr:uid="{00000000-0005-0000-0000-0000E9010000}"/>
    <cellStyle name="20% - Accent5 4 2 2 4" xfId="541" xr:uid="{00000000-0005-0000-0000-0000EA010000}"/>
    <cellStyle name="20% - Accent5 4 2 3" xfId="542" xr:uid="{00000000-0005-0000-0000-0000EB010000}"/>
    <cellStyle name="20% - Accent5 4 2 3 2" xfId="543" xr:uid="{00000000-0005-0000-0000-0000EC010000}"/>
    <cellStyle name="20% - Accent5 4 2 3 3" xfId="544" xr:uid="{00000000-0005-0000-0000-0000ED010000}"/>
    <cellStyle name="20% - Accent5 4 2 4" xfId="545" xr:uid="{00000000-0005-0000-0000-0000EE010000}"/>
    <cellStyle name="20% - Accent5 4 2 5" xfId="546" xr:uid="{00000000-0005-0000-0000-0000EF010000}"/>
    <cellStyle name="20% - Accent5 4 3" xfId="547" xr:uid="{00000000-0005-0000-0000-0000F0010000}"/>
    <cellStyle name="20% - Accent5 4 3 2" xfId="548" xr:uid="{00000000-0005-0000-0000-0000F1010000}"/>
    <cellStyle name="20% - Accent5 4 3 2 2" xfId="549" xr:uid="{00000000-0005-0000-0000-0000F2010000}"/>
    <cellStyle name="20% - Accent5 4 3 2 3" xfId="550" xr:uid="{00000000-0005-0000-0000-0000F3010000}"/>
    <cellStyle name="20% - Accent5 4 3 3" xfId="551" xr:uid="{00000000-0005-0000-0000-0000F4010000}"/>
    <cellStyle name="20% - Accent5 4 3 4" xfId="552" xr:uid="{00000000-0005-0000-0000-0000F5010000}"/>
    <cellStyle name="20% - Accent5 4 4" xfId="553" xr:uid="{00000000-0005-0000-0000-0000F6010000}"/>
    <cellStyle name="20% - Accent5 4 4 2" xfId="554" xr:uid="{00000000-0005-0000-0000-0000F7010000}"/>
    <cellStyle name="20% - Accent5 4 4 3" xfId="555" xr:uid="{00000000-0005-0000-0000-0000F8010000}"/>
    <cellStyle name="20% - Accent5 4 5" xfId="556" xr:uid="{00000000-0005-0000-0000-0000F9010000}"/>
    <cellStyle name="20% - Accent5 4 6" xfId="557" xr:uid="{00000000-0005-0000-0000-0000FA010000}"/>
    <cellStyle name="20% - Accent5 5" xfId="558" xr:uid="{00000000-0005-0000-0000-0000FB010000}"/>
    <cellStyle name="20% - Accent5 6" xfId="559" xr:uid="{00000000-0005-0000-0000-0000FC010000}"/>
    <cellStyle name="20% - Accent5 7" xfId="560" xr:uid="{00000000-0005-0000-0000-0000FD010000}"/>
    <cellStyle name="20% - Accent5 8" xfId="561" xr:uid="{00000000-0005-0000-0000-0000FE010000}"/>
    <cellStyle name="20% - Accent5 9" xfId="562" xr:uid="{00000000-0005-0000-0000-0000FF010000}"/>
    <cellStyle name="20% - Accent6" xfId="21927" builtinId="50" customBuiltin="1"/>
    <cellStyle name="20% - Accent6 10" xfId="563" xr:uid="{00000000-0005-0000-0000-000001020000}"/>
    <cellStyle name="20% - Accent6 11" xfId="564" xr:uid="{00000000-0005-0000-0000-000002020000}"/>
    <cellStyle name="20% - Accent6 12" xfId="565" xr:uid="{00000000-0005-0000-0000-000003020000}"/>
    <cellStyle name="20% - Accent6 13" xfId="566" xr:uid="{00000000-0005-0000-0000-000004020000}"/>
    <cellStyle name="20% - Accent6 14" xfId="567" xr:uid="{00000000-0005-0000-0000-000005020000}"/>
    <cellStyle name="20% - Accent6 15" xfId="568" xr:uid="{00000000-0005-0000-0000-000006020000}"/>
    <cellStyle name="20% - Accent6 2" xfId="569" xr:uid="{00000000-0005-0000-0000-000007020000}"/>
    <cellStyle name="20% - Accent6 2 2" xfId="570" xr:uid="{00000000-0005-0000-0000-000008020000}"/>
    <cellStyle name="20% - Accent6 2 2 2" xfId="571" xr:uid="{00000000-0005-0000-0000-000009020000}"/>
    <cellStyle name="20% - Accent6 2 2 2 2" xfId="572" xr:uid="{00000000-0005-0000-0000-00000A020000}"/>
    <cellStyle name="20% - Accent6 2 2 2 2 2" xfId="573" xr:uid="{00000000-0005-0000-0000-00000B020000}"/>
    <cellStyle name="20% - Accent6 2 2 2 2 3" xfId="574" xr:uid="{00000000-0005-0000-0000-00000C020000}"/>
    <cellStyle name="20% - Accent6 2 2 2 3" xfId="575" xr:uid="{00000000-0005-0000-0000-00000D020000}"/>
    <cellStyle name="20% - Accent6 2 2 2 4" xfId="576" xr:uid="{00000000-0005-0000-0000-00000E020000}"/>
    <cellStyle name="20% - Accent6 2 2 3" xfId="577" xr:uid="{00000000-0005-0000-0000-00000F020000}"/>
    <cellStyle name="20% - Accent6 2 2 3 2" xfId="578" xr:uid="{00000000-0005-0000-0000-000010020000}"/>
    <cellStyle name="20% - Accent6 2 2 3 3" xfId="579" xr:uid="{00000000-0005-0000-0000-000011020000}"/>
    <cellStyle name="20% - Accent6 2 2 4" xfId="580" xr:uid="{00000000-0005-0000-0000-000012020000}"/>
    <cellStyle name="20% - Accent6 2 2 5" xfId="581" xr:uid="{00000000-0005-0000-0000-000013020000}"/>
    <cellStyle name="20% - Accent6 2 3" xfId="582" xr:uid="{00000000-0005-0000-0000-000014020000}"/>
    <cellStyle name="20% - Accent6 2 3 2" xfId="583" xr:uid="{00000000-0005-0000-0000-000015020000}"/>
    <cellStyle name="20% - Accent6 2 3 2 2" xfId="584" xr:uid="{00000000-0005-0000-0000-000016020000}"/>
    <cellStyle name="20% - Accent6 2 3 2 3" xfId="585" xr:uid="{00000000-0005-0000-0000-000017020000}"/>
    <cellStyle name="20% - Accent6 2 3 3" xfId="586" xr:uid="{00000000-0005-0000-0000-000018020000}"/>
    <cellStyle name="20% - Accent6 2 3 4" xfId="587" xr:uid="{00000000-0005-0000-0000-000019020000}"/>
    <cellStyle name="20% - Accent6 2 4" xfId="588" xr:uid="{00000000-0005-0000-0000-00001A020000}"/>
    <cellStyle name="20% - Accent6 2 4 2" xfId="589" xr:uid="{00000000-0005-0000-0000-00001B020000}"/>
    <cellStyle name="20% - Accent6 2 4 3" xfId="590" xr:uid="{00000000-0005-0000-0000-00001C020000}"/>
    <cellStyle name="20% - Accent6 2 5" xfId="591" xr:uid="{00000000-0005-0000-0000-00001D020000}"/>
    <cellStyle name="20% - Accent6 2 6" xfId="592" xr:uid="{00000000-0005-0000-0000-00001E020000}"/>
    <cellStyle name="20% - Accent6 3" xfId="593" xr:uid="{00000000-0005-0000-0000-00001F020000}"/>
    <cellStyle name="20% - Accent6 3 2" xfId="594" xr:uid="{00000000-0005-0000-0000-000020020000}"/>
    <cellStyle name="20% - Accent6 3 2 2" xfId="595" xr:uid="{00000000-0005-0000-0000-000021020000}"/>
    <cellStyle name="20% - Accent6 3 2 2 2" xfId="596" xr:uid="{00000000-0005-0000-0000-000022020000}"/>
    <cellStyle name="20% - Accent6 3 2 2 2 2" xfId="597" xr:uid="{00000000-0005-0000-0000-000023020000}"/>
    <cellStyle name="20% - Accent6 3 2 2 2 3" xfId="598" xr:uid="{00000000-0005-0000-0000-000024020000}"/>
    <cellStyle name="20% - Accent6 3 2 2 3" xfId="599" xr:uid="{00000000-0005-0000-0000-000025020000}"/>
    <cellStyle name="20% - Accent6 3 2 2 4" xfId="600" xr:uid="{00000000-0005-0000-0000-000026020000}"/>
    <cellStyle name="20% - Accent6 3 2 3" xfId="601" xr:uid="{00000000-0005-0000-0000-000027020000}"/>
    <cellStyle name="20% - Accent6 3 2 3 2" xfId="602" xr:uid="{00000000-0005-0000-0000-000028020000}"/>
    <cellStyle name="20% - Accent6 3 2 3 3" xfId="603" xr:uid="{00000000-0005-0000-0000-000029020000}"/>
    <cellStyle name="20% - Accent6 3 2 4" xfId="604" xr:uid="{00000000-0005-0000-0000-00002A020000}"/>
    <cellStyle name="20% - Accent6 3 2 5" xfId="605" xr:uid="{00000000-0005-0000-0000-00002B020000}"/>
    <cellStyle name="20% - Accent6 3 3" xfId="606" xr:uid="{00000000-0005-0000-0000-00002C020000}"/>
    <cellStyle name="20% - Accent6 3 3 2" xfId="607" xr:uid="{00000000-0005-0000-0000-00002D020000}"/>
    <cellStyle name="20% - Accent6 3 3 2 2" xfId="608" xr:uid="{00000000-0005-0000-0000-00002E020000}"/>
    <cellStyle name="20% - Accent6 3 3 2 3" xfId="609" xr:uid="{00000000-0005-0000-0000-00002F020000}"/>
    <cellStyle name="20% - Accent6 3 3 3" xfId="610" xr:uid="{00000000-0005-0000-0000-000030020000}"/>
    <cellStyle name="20% - Accent6 3 3 4" xfId="611" xr:uid="{00000000-0005-0000-0000-000031020000}"/>
    <cellStyle name="20% - Accent6 3 4" xfId="612" xr:uid="{00000000-0005-0000-0000-000032020000}"/>
    <cellStyle name="20% - Accent6 3 4 2" xfId="613" xr:uid="{00000000-0005-0000-0000-000033020000}"/>
    <cellStyle name="20% - Accent6 3 4 3" xfId="614" xr:uid="{00000000-0005-0000-0000-000034020000}"/>
    <cellStyle name="20% - Accent6 3 5" xfId="615" xr:uid="{00000000-0005-0000-0000-000035020000}"/>
    <cellStyle name="20% - Accent6 3 6" xfId="616" xr:uid="{00000000-0005-0000-0000-000036020000}"/>
    <cellStyle name="20% - Accent6 4" xfId="617" xr:uid="{00000000-0005-0000-0000-000037020000}"/>
    <cellStyle name="20% - Accent6 4 2" xfId="618" xr:uid="{00000000-0005-0000-0000-000038020000}"/>
    <cellStyle name="20% - Accent6 4 2 2" xfId="619" xr:uid="{00000000-0005-0000-0000-000039020000}"/>
    <cellStyle name="20% - Accent6 4 2 2 2" xfId="620" xr:uid="{00000000-0005-0000-0000-00003A020000}"/>
    <cellStyle name="20% - Accent6 4 2 2 2 2" xfId="621" xr:uid="{00000000-0005-0000-0000-00003B020000}"/>
    <cellStyle name="20% - Accent6 4 2 2 2 3" xfId="622" xr:uid="{00000000-0005-0000-0000-00003C020000}"/>
    <cellStyle name="20% - Accent6 4 2 2 3" xfId="623" xr:uid="{00000000-0005-0000-0000-00003D020000}"/>
    <cellStyle name="20% - Accent6 4 2 2 4" xfId="624" xr:uid="{00000000-0005-0000-0000-00003E020000}"/>
    <cellStyle name="20% - Accent6 4 2 3" xfId="625" xr:uid="{00000000-0005-0000-0000-00003F020000}"/>
    <cellStyle name="20% - Accent6 4 2 3 2" xfId="626" xr:uid="{00000000-0005-0000-0000-000040020000}"/>
    <cellStyle name="20% - Accent6 4 2 3 3" xfId="627" xr:uid="{00000000-0005-0000-0000-000041020000}"/>
    <cellStyle name="20% - Accent6 4 2 4" xfId="628" xr:uid="{00000000-0005-0000-0000-000042020000}"/>
    <cellStyle name="20% - Accent6 4 2 5" xfId="629" xr:uid="{00000000-0005-0000-0000-000043020000}"/>
    <cellStyle name="20% - Accent6 4 3" xfId="630" xr:uid="{00000000-0005-0000-0000-000044020000}"/>
    <cellStyle name="20% - Accent6 4 3 2" xfId="631" xr:uid="{00000000-0005-0000-0000-000045020000}"/>
    <cellStyle name="20% - Accent6 4 3 2 2" xfId="632" xr:uid="{00000000-0005-0000-0000-000046020000}"/>
    <cellStyle name="20% - Accent6 4 3 2 3" xfId="633" xr:uid="{00000000-0005-0000-0000-000047020000}"/>
    <cellStyle name="20% - Accent6 4 3 3" xfId="634" xr:uid="{00000000-0005-0000-0000-000048020000}"/>
    <cellStyle name="20% - Accent6 4 3 4" xfId="635" xr:uid="{00000000-0005-0000-0000-000049020000}"/>
    <cellStyle name="20% - Accent6 4 4" xfId="636" xr:uid="{00000000-0005-0000-0000-00004A020000}"/>
    <cellStyle name="20% - Accent6 4 4 2" xfId="637" xr:uid="{00000000-0005-0000-0000-00004B020000}"/>
    <cellStyle name="20% - Accent6 4 4 3" xfId="638" xr:uid="{00000000-0005-0000-0000-00004C020000}"/>
    <cellStyle name="20% - Accent6 4 5" xfId="639" xr:uid="{00000000-0005-0000-0000-00004D020000}"/>
    <cellStyle name="20% - Accent6 4 6" xfId="640" xr:uid="{00000000-0005-0000-0000-00004E020000}"/>
    <cellStyle name="20% - Accent6 5" xfId="641" xr:uid="{00000000-0005-0000-0000-00004F020000}"/>
    <cellStyle name="20% - Accent6 6" xfId="642" xr:uid="{00000000-0005-0000-0000-000050020000}"/>
    <cellStyle name="20% - Accent6 7" xfId="643" xr:uid="{00000000-0005-0000-0000-000051020000}"/>
    <cellStyle name="20% - Accent6 8" xfId="644" xr:uid="{00000000-0005-0000-0000-000052020000}"/>
    <cellStyle name="20% - Accent6 9" xfId="645" xr:uid="{00000000-0005-0000-0000-000053020000}"/>
    <cellStyle name="40% - Accent1" xfId="21908" builtinId="31" customBuiltin="1"/>
    <cellStyle name="40% - Accent1 10" xfId="646" xr:uid="{00000000-0005-0000-0000-000055020000}"/>
    <cellStyle name="40% - Accent1 11" xfId="647" xr:uid="{00000000-0005-0000-0000-000056020000}"/>
    <cellStyle name="40% - Accent1 12" xfId="648" xr:uid="{00000000-0005-0000-0000-000057020000}"/>
    <cellStyle name="40% - Accent1 13" xfId="649" xr:uid="{00000000-0005-0000-0000-000058020000}"/>
    <cellStyle name="40% - Accent1 14" xfId="650" xr:uid="{00000000-0005-0000-0000-000059020000}"/>
    <cellStyle name="40% - Accent1 15" xfId="651" xr:uid="{00000000-0005-0000-0000-00005A020000}"/>
    <cellStyle name="40% - Accent1 2" xfId="652" xr:uid="{00000000-0005-0000-0000-00005B020000}"/>
    <cellStyle name="40% - Accent1 2 2" xfId="653" xr:uid="{00000000-0005-0000-0000-00005C020000}"/>
    <cellStyle name="40% - Accent1 2 2 2" xfId="654" xr:uid="{00000000-0005-0000-0000-00005D020000}"/>
    <cellStyle name="40% - Accent1 2 2 2 2" xfId="655" xr:uid="{00000000-0005-0000-0000-00005E020000}"/>
    <cellStyle name="40% - Accent1 2 2 2 2 2" xfId="656" xr:uid="{00000000-0005-0000-0000-00005F020000}"/>
    <cellStyle name="40% - Accent1 2 2 2 2 3" xfId="657" xr:uid="{00000000-0005-0000-0000-000060020000}"/>
    <cellStyle name="40% - Accent1 2 2 2 3" xfId="658" xr:uid="{00000000-0005-0000-0000-000061020000}"/>
    <cellStyle name="40% - Accent1 2 2 2 4" xfId="659" xr:uid="{00000000-0005-0000-0000-000062020000}"/>
    <cellStyle name="40% - Accent1 2 2 3" xfId="660" xr:uid="{00000000-0005-0000-0000-000063020000}"/>
    <cellStyle name="40% - Accent1 2 2 3 2" xfId="661" xr:uid="{00000000-0005-0000-0000-000064020000}"/>
    <cellStyle name="40% - Accent1 2 2 3 3" xfId="662" xr:uid="{00000000-0005-0000-0000-000065020000}"/>
    <cellStyle name="40% - Accent1 2 2 4" xfId="663" xr:uid="{00000000-0005-0000-0000-000066020000}"/>
    <cellStyle name="40% - Accent1 2 2 5" xfId="664" xr:uid="{00000000-0005-0000-0000-000067020000}"/>
    <cellStyle name="40% - Accent1 2 3" xfId="665" xr:uid="{00000000-0005-0000-0000-000068020000}"/>
    <cellStyle name="40% - Accent1 2 3 2" xfId="666" xr:uid="{00000000-0005-0000-0000-000069020000}"/>
    <cellStyle name="40% - Accent1 2 3 2 2" xfId="667" xr:uid="{00000000-0005-0000-0000-00006A020000}"/>
    <cellStyle name="40% - Accent1 2 3 2 3" xfId="668" xr:uid="{00000000-0005-0000-0000-00006B020000}"/>
    <cellStyle name="40% - Accent1 2 3 3" xfId="669" xr:uid="{00000000-0005-0000-0000-00006C020000}"/>
    <cellStyle name="40% - Accent1 2 3 4" xfId="670" xr:uid="{00000000-0005-0000-0000-00006D020000}"/>
    <cellStyle name="40% - Accent1 2 4" xfId="671" xr:uid="{00000000-0005-0000-0000-00006E020000}"/>
    <cellStyle name="40% - Accent1 2 4 2" xfId="672" xr:uid="{00000000-0005-0000-0000-00006F020000}"/>
    <cellStyle name="40% - Accent1 2 4 3" xfId="673" xr:uid="{00000000-0005-0000-0000-000070020000}"/>
    <cellStyle name="40% - Accent1 2 5" xfId="674" xr:uid="{00000000-0005-0000-0000-000071020000}"/>
    <cellStyle name="40% - Accent1 2 6" xfId="675" xr:uid="{00000000-0005-0000-0000-000072020000}"/>
    <cellStyle name="40% - Accent1 3" xfId="676" xr:uid="{00000000-0005-0000-0000-000073020000}"/>
    <cellStyle name="40% - Accent1 3 2" xfId="677" xr:uid="{00000000-0005-0000-0000-000074020000}"/>
    <cellStyle name="40% - Accent1 3 2 2" xfId="678" xr:uid="{00000000-0005-0000-0000-000075020000}"/>
    <cellStyle name="40% - Accent1 3 2 2 2" xfId="679" xr:uid="{00000000-0005-0000-0000-000076020000}"/>
    <cellStyle name="40% - Accent1 3 2 2 2 2" xfId="680" xr:uid="{00000000-0005-0000-0000-000077020000}"/>
    <cellStyle name="40% - Accent1 3 2 2 2 3" xfId="681" xr:uid="{00000000-0005-0000-0000-000078020000}"/>
    <cellStyle name="40% - Accent1 3 2 2 3" xfId="682" xr:uid="{00000000-0005-0000-0000-000079020000}"/>
    <cellStyle name="40% - Accent1 3 2 2 4" xfId="683" xr:uid="{00000000-0005-0000-0000-00007A020000}"/>
    <cellStyle name="40% - Accent1 3 2 3" xfId="684" xr:uid="{00000000-0005-0000-0000-00007B020000}"/>
    <cellStyle name="40% - Accent1 3 2 3 2" xfId="685" xr:uid="{00000000-0005-0000-0000-00007C020000}"/>
    <cellStyle name="40% - Accent1 3 2 3 3" xfId="686" xr:uid="{00000000-0005-0000-0000-00007D020000}"/>
    <cellStyle name="40% - Accent1 3 2 4" xfId="687" xr:uid="{00000000-0005-0000-0000-00007E020000}"/>
    <cellStyle name="40% - Accent1 3 2 5" xfId="688" xr:uid="{00000000-0005-0000-0000-00007F020000}"/>
    <cellStyle name="40% - Accent1 3 3" xfId="689" xr:uid="{00000000-0005-0000-0000-000080020000}"/>
    <cellStyle name="40% - Accent1 3 3 2" xfId="690" xr:uid="{00000000-0005-0000-0000-000081020000}"/>
    <cellStyle name="40% - Accent1 3 3 2 2" xfId="691" xr:uid="{00000000-0005-0000-0000-000082020000}"/>
    <cellStyle name="40% - Accent1 3 3 2 3" xfId="692" xr:uid="{00000000-0005-0000-0000-000083020000}"/>
    <cellStyle name="40% - Accent1 3 3 3" xfId="693" xr:uid="{00000000-0005-0000-0000-000084020000}"/>
    <cellStyle name="40% - Accent1 3 3 4" xfId="694" xr:uid="{00000000-0005-0000-0000-000085020000}"/>
    <cellStyle name="40% - Accent1 3 4" xfId="695" xr:uid="{00000000-0005-0000-0000-000086020000}"/>
    <cellStyle name="40% - Accent1 3 4 2" xfId="696" xr:uid="{00000000-0005-0000-0000-000087020000}"/>
    <cellStyle name="40% - Accent1 3 4 3" xfId="697" xr:uid="{00000000-0005-0000-0000-000088020000}"/>
    <cellStyle name="40% - Accent1 3 5" xfId="698" xr:uid="{00000000-0005-0000-0000-000089020000}"/>
    <cellStyle name="40% - Accent1 3 6" xfId="699" xr:uid="{00000000-0005-0000-0000-00008A020000}"/>
    <cellStyle name="40% - Accent1 4" xfId="700" xr:uid="{00000000-0005-0000-0000-00008B020000}"/>
    <cellStyle name="40% - Accent1 4 2" xfId="701" xr:uid="{00000000-0005-0000-0000-00008C020000}"/>
    <cellStyle name="40% - Accent1 4 2 2" xfId="702" xr:uid="{00000000-0005-0000-0000-00008D020000}"/>
    <cellStyle name="40% - Accent1 4 2 2 2" xfId="703" xr:uid="{00000000-0005-0000-0000-00008E020000}"/>
    <cellStyle name="40% - Accent1 4 2 2 2 2" xfId="704" xr:uid="{00000000-0005-0000-0000-00008F020000}"/>
    <cellStyle name="40% - Accent1 4 2 2 2 3" xfId="705" xr:uid="{00000000-0005-0000-0000-000090020000}"/>
    <cellStyle name="40% - Accent1 4 2 2 3" xfId="706" xr:uid="{00000000-0005-0000-0000-000091020000}"/>
    <cellStyle name="40% - Accent1 4 2 2 4" xfId="707" xr:uid="{00000000-0005-0000-0000-000092020000}"/>
    <cellStyle name="40% - Accent1 4 2 3" xfId="708" xr:uid="{00000000-0005-0000-0000-000093020000}"/>
    <cellStyle name="40% - Accent1 4 2 3 2" xfId="709" xr:uid="{00000000-0005-0000-0000-000094020000}"/>
    <cellStyle name="40% - Accent1 4 2 3 3" xfId="710" xr:uid="{00000000-0005-0000-0000-000095020000}"/>
    <cellStyle name="40% - Accent1 4 2 4" xfId="711" xr:uid="{00000000-0005-0000-0000-000096020000}"/>
    <cellStyle name="40% - Accent1 4 2 5" xfId="712" xr:uid="{00000000-0005-0000-0000-000097020000}"/>
    <cellStyle name="40% - Accent1 4 3" xfId="713" xr:uid="{00000000-0005-0000-0000-000098020000}"/>
    <cellStyle name="40% - Accent1 4 3 2" xfId="714" xr:uid="{00000000-0005-0000-0000-000099020000}"/>
    <cellStyle name="40% - Accent1 4 3 2 2" xfId="715" xr:uid="{00000000-0005-0000-0000-00009A020000}"/>
    <cellStyle name="40% - Accent1 4 3 2 3" xfId="716" xr:uid="{00000000-0005-0000-0000-00009B020000}"/>
    <cellStyle name="40% - Accent1 4 3 3" xfId="717" xr:uid="{00000000-0005-0000-0000-00009C020000}"/>
    <cellStyle name="40% - Accent1 4 3 4" xfId="718" xr:uid="{00000000-0005-0000-0000-00009D020000}"/>
    <cellStyle name="40% - Accent1 4 4" xfId="719" xr:uid="{00000000-0005-0000-0000-00009E020000}"/>
    <cellStyle name="40% - Accent1 4 4 2" xfId="720" xr:uid="{00000000-0005-0000-0000-00009F020000}"/>
    <cellStyle name="40% - Accent1 4 4 3" xfId="721" xr:uid="{00000000-0005-0000-0000-0000A0020000}"/>
    <cellStyle name="40% - Accent1 4 5" xfId="722" xr:uid="{00000000-0005-0000-0000-0000A1020000}"/>
    <cellStyle name="40% - Accent1 4 6" xfId="723" xr:uid="{00000000-0005-0000-0000-0000A2020000}"/>
    <cellStyle name="40% - Accent1 5" xfId="724" xr:uid="{00000000-0005-0000-0000-0000A3020000}"/>
    <cellStyle name="40% - Accent1 5 2" xfId="725" xr:uid="{00000000-0005-0000-0000-0000A4020000}"/>
    <cellStyle name="40% - Accent1 5 2 2" xfId="726" xr:uid="{00000000-0005-0000-0000-0000A5020000}"/>
    <cellStyle name="40% - Accent1 5 2 2 2" xfId="727" xr:uid="{00000000-0005-0000-0000-0000A6020000}"/>
    <cellStyle name="40% - Accent1 5 2 2 2 2" xfId="728" xr:uid="{00000000-0005-0000-0000-0000A7020000}"/>
    <cellStyle name="40% - Accent1 5 2 2 2 3" xfId="729" xr:uid="{00000000-0005-0000-0000-0000A8020000}"/>
    <cellStyle name="40% - Accent1 5 2 2 3" xfId="730" xr:uid="{00000000-0005-0000-0000-0000A9020000}"/>
    <cellStyle name="40% - Accent1 5 2 2 4" xfId="731" xr:uid="{00000000-0005-0000-0000-0000AA020000}"/>
    <cellStyle name="40% - Accent1 5 2 3" xfId="732" xr:uid="{00000000-0005-0000-0000-0000AB020000}"/>
    <cellStyle name="40% - Accent1 5 2 3 2" xfId="733" xr:uid="{00000000-0005-0000-0000-0000AC020000}"/>
    <cellStyle name="40% - Accent1 5 2 3 3" xfId="734" xr:uid="{00000000-0005-0000-0000-0000AD020000}"/>
    <cellStyle name="40% - Accent1 5 2 4" xfId="735" xr:uid="{00000000-0005-0000-0000-0000AE020000}"/>
    <cellStyle name="40% - Accent1 5 2 5" xfId="736" xr:uid="{00000000-0005-0000-0000-0000AF020000}"/>
    <cellStyle name="40% - Accent1 5 3" xfId="737" xr:uid="{00000000-0005-0000-0000-0000B0020000}"/>
    <cellStyle name="40% - Accent1 5 3 2" xfId="738" xr:uid="{00000000-0005-0000-0000-0000B1020000}"/>
    <cellStyle name="40% - Accent1 5 3 2 2" xfId="739" xr:uid="{00000000-0005-0000-0000-0000B2020000}"/>
    <cellStyle name="40% - Accent1 5 3 2 3" xfId="740" xr:uid="{00000000-0005-0000-0000-0000B3020000}"/>
    <cellStyle name="40% - Accent1 5 3 3" xfId="741" xr:uid="{00000000-0005-0000-0000-0000B4020000}"/>
    <cellStyle name="40% - Accent1 5 3 4" xfId="742" xr:uid="{00000000-0005-0000-0000-0000B5020000}"/>
    <cellStyle name="40% - Accent1 5 4" xfId="743" xr:uid="{00000000-0005-0000-0000-0000B6020000}"/>
    <cellStyle name="40% - Accent1 5 4 2" xfId="744" xr:uid="{00000000-0005-0000-0000-0000B7020000}"/>
    <cellStyle name="40% - Accent1 5 4 3" xfId="745" xr:uid="{00000000-0005-0000-0000-0000B8020000}"/>
    <cellStyle name="40% - Accent1 5 5" xfId="746" xr:uid="{00000000-0005-0000-0000-0000B9020000}"/>
    <cellStyle name="40% - Accent1 5 6" xfId="747" xr:uid="{00000000-0005-0000-0000-0000BA020000}"/>
    <cellStyle name="40% - Accent1 6" xfId="748" xr:uid="{00000000-0005-0000-0000-0000BB020000}"/>
    <cellStyle name="40% - Accent1 7" xfId="749" xr:uid="{00000000-0005-0000-0000-0000BC020000}"/>
    <cellStyle name="40% - Accent1 8" xfId="750" xr:uid="{00000000-0005-0000-0000-0000BD020000}"/>
    <cellStyle name="40% - Accent1 9" xfId="751" xr:uid="{00000000-0005-0000-0000-0000BE020000}"/>
    <cellStyle name="40% - Accent2" xfId="21912" builtinId="35" customBuiltin="1"/>
    <cellStyle name="40% - Accent2 10" xfId="752" xr:uid="{00000000-0005-0000-0000-0000C0020000}"/>
    <cellStyle name="40% - Accent2 11" xfId="753" xr:uid="{00000000-0005-0000-0000-0000C1020000}"/>
    <cellStyle name="40% - Accent2 12" xfId="754" xr:uid="{00000000-0005-0000-0000-0000C2020000}"/>
    <cellStyle name="40% - Accent2 13" xfId="755" xr:uid="{00000000-0005-0000-0000-0000C3020000}"/>
    <cellStyle name="40% - Accent2 14" xfId="756" xr:uid="{00000000-0005-0000-0000-0000C4020000}"/>
    <cellStyle name="40% - Accent2 15" xfId="757" xr:uid="{00000000-0005-0000-0000-0000C5020000}"/>
    <cellStyle name="40% - Accent2 2" xfId="758" xr:uid="{00000000-0005-0000-0000-0000C6020000}"/>
    <cellStyle name="40% - Accent2 2 2" xfId="759" xr:uid="{00000000-0005-0000-0000-0000C7020000}"/>
    <cellStyle name="40% - Accent2 2 2 2" xfId="760" xr:uid="{00000000-0005-0000-0000-0000C8020000}"/>
    <cellStyle name="40% - Accent2 2 2 2 2" xfId="761" xr:uid="{00000000-0005-0000-0000-0000C9020000}"/>
    <cellStyle name="40% - Accent2 2 2 2 2 2" xfId="762" xr:uid="{00000000-0005-0000-0000-0000CA020000}"/>
    <cellStyle name="40% - Accent2 2 2 2 2 3" xfId="763" xr:uid="{00000000-0005-0000-0000-0000CB020000}"/>
    <cellStyle name="40% - Accent2 2 2 2 3" xfId="764" xr:uid="{00000000-0005-0000-0000-0000CC020000}"/>
    <cellStyle name="40% - Accent2 2 2 2 4" xfId="765" xr:uid="{00000000-0005-0000-0000-0000CD020000}"/>
    <cellStyle name="40% - Accent2 2 2 3" xfId="766" xr:uid="{00000000-0005-0000-0000-0000CE020000}"/>
    <cellStyle name="40% - Accent2 2 2 3 2" xfId="767" xr:uid="{00000000-0005-0000-0000-0000CF020000}"/>
    <cellStyle name="40% - Accent2 2 2 3 3" xfId="768" xr:uid="{00000000-0005-0000-0000-0000D0020000}"/>
    <cellStyle name="40% - Accent2 2 2 4" xfId="769" xr:uid="{00000000-0005-0000-0000-0000D1020000}"/>
    <cellStyle name="40% - Accent2 2 2 5" xfId="770" xr:uid="{00000000-0005-0000-0000-0000D2020000}"/>
    <cellStyle name="40% - Accent2 2 3" xfId="771" xr:uid="{00000000-0005-0000-0000-0000D3020000}"/>
    <cellStyle name="40% - Accent2 2 3 2" xfId="772" xr:uid="{00000000-0005-0000-0000-0000D4020000}"/>
    <cellStyle name="40% - Accent2 2 3 2 2" xfId="773" xr:uid="{00000000-0005-0000-0000-0000D5020000}"/>
    <cellStyle name="40% - Accent2 2 3 2 3" xfId="774" xr:uid="{00000000-0005-0000-0000-0000D6020000}"/>
    <cellStyle name="40% - Accent2 2 3 3" xfId="775" xr:uid="{00000000-0005-0000-0000-0000D7020000}"/>
    <cellStyle name="40% - Accent2 2 3 4" xfId="776" xr:uid="{00000000-0005-0000-0000-0000D8020000}"/>
    <cellStyle name="40% - Accent2 2 4" xfId="777" xr:uid="{00000000-0005-0000-0000-0000D9020000}"/>
    <cellStyle name="40% - Accent2 2 4 2" xfId="778" xr:uid="{00000000-0005-0000-0000-0000DA020000}"/>
    <cellStyle name="40% - Accent2 2 4 3" xfId="779" xr:uid="{00000000-0005-0000-0000-0000DB020000}"/>
    <cellStyle name="40% - Accent2 2 5" xfId="780" xr:uid="{00000000-0005-0000-0000-0000DC020000}"/>
    <cellStyle name="40% - Accent2 2 6" xfId="781" xr:uid="{00000000-0005-0000-0000-0000DD020000}"/>
    <cellStyle name="40% - Accent2 3" xfId="782" xr:uid="{00000000-0005-0000-0000-0000DE020000}"/>
    <cellStyle name="40% - Accent2 3 2" xfId="783" xr:uid="{00000000-0005-0000-0000-0000DF020000}"/>
    <cellStyle name="40% - Accent2 3 2 2" xfId="784" xr:uid="{00000000-0005-0000-0000-0000E0020000}"/>
    <cellStyle name="40% - Accent2 3 2 2 2" xfId="785" xr:uid="{00000000-0005-0000-0000-0000E1020000}"/>
    <cellStyle name="40% - Accent2 3 2 2 2 2" xfId="786" xr:uid="{00000000-0005-0000-0000-0000E2020000}"/>
    <cellStyle name="40% - Accent2 3 2 2 2 3" xfId="787" xr:uid="{00000000-0005-0000-0000-0000E3020000}"/>
    <cellStyle name="40% - Accent2 3 2 2 3" xfId="788" xr:uid="{00000000-0005-0000-0000-0000E4020000}"/>
    <cellStyle name="40% - Accent2 3 2 2 4" xfId="789" xr:uid="{00000000-0005-0000-0000-0000E5020000}"/>
    <cellStyle name="40% - Accent2 3 2 3" xfId="790" xr:uid="{00000000-0005-0000-0000-0000E6020000}"/>
    <cellStyle name="40% - Accent2 3 2 3 2" xfId="791" xr:uid="{00000000-0005-0000-0000-0000E7020000}"/>
    <cellStyle name="40% - Accent2 3 2 3 3" xfId="792" xr:uid="{00000000-0005-0000-0000-0000E8020000}"/>
    <cellStyle name="40% - Accent2 3 2 4" xfId="793" xr:uid="{00000000-0005-0000-0000-0000E9020000}"/>
    <cellStyle name="40% - Accent2 3 2 5" xfId="794" xr:uid="{00000000-0005-0000-0000-0000EA020000}"/>
    <cellStyle name="40% - Accent2 3 3" xfId="795" xr:uid="{00000000-0005-0000-0000-0000EB020000}"/>
    <cellStyle name="40% - Accent2 3 3 2" xfId="796" xr:uid="{00000000-0005-0000-0000-0000EC020000}"/>
    <cellStyle name="40% - Accent2 3 3 2 2" xfId="797" xr:uid="{00000000-0005-0000-0000-0000ED020000}"/>
    <cellStyle name="40% - Accent2 3 3 2 3" xfId="798" xr:uid="{00000000-0005-0000-0000-0000EE020000}"/>
    <cellStyle name="40% - Accent2 3 3 3" xfId="799" xr:uid="{00000000-0005-0000-0000-0000EF020000}"/>
    <cellStyle name="40% - Accent2 3 3 4" xfId="800" xr:uid="{00000000-0005-0000-0000-0000F0020000}"/>
    <cellStyle name="40% - Accent2 3 4" xfId="801" xr:uid="{00000000-0005-0000-0000-0000F1020000}"/>
    <cellStyle name="40% - Accent2 3 4 2" xfId="802" xr:uid="{00000000-0005-0000-0000-0000F2020000}"/>
    <cellStyle name="40% - Accent2 3 4 3" xfId="803" xr:uid="{00000000-0005-0000-0000-0000F3020000}"/>
    <cellStyle name="40% - Accent2 3 5" xfId="804" xr:uid="{00000000-0005-0000-0000-0000F4020000}"/>
    <cellStyle name="40% - Accent2 3 6" xfId="805" xr:uid="{00000000-0005-0000-0000-0000F5020000}"/>
    <cellStyle name="40% - Accent2 4" xfId="806" xr:uid="{00000000-0005-0000-0000-0000F6020000}"/>
    <cellStyle name="40% - Accent2 4 2" xfId="807" xr:uid="{00000000-0005-0000-0000-0000F7020000}"/>
    <cellStyle name="40% - Accent2 4 2 2" xfId="808" xr:uid="{00000000-0005-0000-0000-0000F8020000}"/>
    <cellStyle name="40% - Accent2 4 2 2 2" xfId="809" xr:uid="{00000000-0005-0000-0000-0000F9020000}"/>
    <cellStyle name="40% - Accent2 4 2 2 2 2" xfId="810" xr:uid="{00000000-0005-0000-0000-0000FA020000}"/>
    <cellStyle name="40% - Accent2 4 2 2 2 3" xfId="811" xr:uid="{00000000-0005-0000-0000-0000FB020000}"/>
    <cellStyle name="40% - Accent2 4 2 2 3" xfId="812" xr:uid="{00000000-0005-0000-0000-0000FC020000}"/>
    <cellStyle name="40% - Accent2 4 2 2 4" xfId="813" xr:uid="{00000000-0005-0000-0000-0000FD020000}"/>
    <cellStyle name="40% - Accent2 4 2 3" xfId="814" xr:uid="{00000000-0005-0000-0000-0000FE020000}"/>
    <cellStyle name="40% - Accent2 4 2 3 2" xfId="815" xr:uid="{00000000-0005-0000-0000-0000FF020000}"/>
    <cellStyle name="40% - Accent2 4 2 3 3" xfId="816" xr:uid="{00000000-0005-0000-0000-000000030000}"/>
    <cellStyle name="40% - Accent2 4 2 4" xfId="817" xr:uid="{00000000-0005-0000-0000-000001030000}"/>
    <cellStyle name="40% - Accent2 4 2 5" xfId="818" xr:uid="{00000000-0005-0000-0000-000002030000}"/>
    <cellStyle name="40% - Accent2 4 3" xfId="819" xr:uid="{00000000-0005-0000-0000-000003030000}"/>
    <cellStyle name="40% - Accent2 4 3 2" xfId="820" xr:uid="{00000000-0005-0000-0000-000004030000}"/>
    <cellStyle name="40% - Accent2 4 3 2 2" xfId="821" xr:uid="{00000000-0005-0000-0000-000005030000}"/>
    <cellStyle name="40% - Accent2 4 3 2 3" xfId="822" xr:uid="{00000000-0005-0000-0000-000006030000}"/>
    <cellStyle name="40% - Accent2 4 3 3" xfId="823" xr:uid="{00000000-0005-0000-0000-000007030000}"/>
    <cellStyle name="40% - Accent2 4 3 4" xfId="824" xr:uid="{00000000-0005-0000-0000-000008030000}"/>
    <cellStyle name="40% - Accent2 4 4" xfId="825" xr:uid="{00000000-0005-0000-0000-000009030000}"/>
    <cellStyle name="40% - Accent2 4 4 2" xfId="826" xr:uid="{00000000-0005-0000-0000-00000A030000}"/>
    <cellStyle name="40% - Accent2 4 4 3" xfId="827" xr:uid="{00000000-0005-0000-0000-00000B030000}"/>
    <cellStyle name="40% - Accent2 4 5" xfId="828" xr:uid="{00000000-0005-0000-0000-00000C030000}"/>
    <cellStyle name="40% - Accent2 4 6" xfId="829" xr:uid="{00000000-0005-0000-0000-00000D030000}"/>
    <cellStyle name="40% - Accent2 5" xfId="830" xr:uid="{00000000-0005-0000-0000-00000E030000}"/>
    <cellStyle name="40% - Accent2 6" xfId="831" xr:uid="{00000000-0005-0000-0000-00000F030000}"/>
    <cellStyle name="40% - Accent2 7" xfId="832" xr:uid="{00000000-0005-0000-0000-000010030000}"/>
    <cellStyle name="40% - Accent2 8" xfId="833" xr:uid="{00000000-0005-0000-0000-000011030000}"/>
    <cellStyle name="40% - Accent2 9" xfId="834" xr:uid="{00000000-0005-0000-0000-000012030000}"/>
    <cellStyle name="40% - Accent3" xfId="21916" builtinId="39" customBuiltin="1"/>
    <cellStyle name="40% - Accent3 10" xfId="835" xr:uid="{00000000-0005-0000-0000-000014030000}"/>
    <cellStyle name="40% - Accent3 11" xfId="836" xr:uid="{00000000-0005-0000-0000-000015030000}"/>
    <cellStyle name="40% - Accent3 12" xfId="837" xr:uid="{00000000-0005-0000-0000-000016030000}"/>
    <cellStyle name="40% - Accent3 13" xfId="838" xr:uid="{00000000-0005-0000-0000-000017030000}"/>
    <cellStyle name="40% - Accent3 14" xfId="839" xr:uid="{00000000-0005-0000-0000-000018030000}"/>
    <cellStyle name="40% - Accent3 15" xfId="840" xr:uid="{00000000-0005-0000-0000-000019030000}"/>
    <cellStyle name="40% - Accent3 2" xfId="841" xr:uid="{00000000-0005-0000-0000-00001A030000}"/>
    <cellStyle name="40% - Accent3 2 2" xfId="842" xr:uid="{00000000-0005-0000-0000-00001B030000}"/>
    <cellStyle name="40% - Accent3 2 2 2" xfId="843" xr:uid="{00000000-0005-0000-0000-00001C030000}"/>
    <cellStyle name="40% - Accent3 2 2 2 2" xfId="844" xr:uid="{00000000-0005-0000-0000-00001D030000}"/>
    <cellStyle name="40% - Accent3 2 2 2 2 2" xfId="845" xr:uid="{00000000-0005-0000-0000-00001E030000}"/>
    <cellStyle name="40% - Accent3 2 2 2 2 3" xfId="846" xr:uid="{00000000-0005-0000-0000-00001F030000}"/>
    <cellStyle name="40% - Accent3 2 2 2 3" xfId="847" xr:uid="{00000000-0005-0000-0000-000020030000}"/>
    <cellStyle name="40% - Accent3 2 2 2 4" xfId="848" xr:uid="{00000000-0005-0000-0000-000021030000}"/>
    <cellStyle name="40% - Accent3 2 2 3" xfId="849" xr:uid="{00000000-0005-0000-0000-000022030000}"/>
    <cellStyle name="40% - Accent3 2 2 3 2" xfId="850" xr:uid="{00000000-0005-0000-0000-000023030000}"/>
    <cellStyle name="40% - Accent3 2 2 3 3" xfId="851" xr:uid="{00000000-0005-0000-0000-000024030000}"/>
    <cellStyle name="40% - Accent3 2 2 4" xfId="852" xr:uid="{00000000-0005-0000-0000-000025030000}"/>
    <cellStyle name="40% - Accent3 2 2 5" xfId="853" xr:uid="{00000000-0005-0000-0000-000026030000}"/>
    <cellStyle name="40% - Accent3 2 3" xfId="854" xr:uid="{00000000-0005-0000-0000-000027030000}"/>
    <cellStyle name="40% - Accent3 2 3 2" xfId="855" xr:uid="{00000000-0005-0000-0000-000028030000}"/>
    <cellStyle name="40% - Accent3 2 3 2 2" xfId="856" xr:uid="{00000000-0005-0000-0000-000029030000}"/>
    <cellStyle name="40% - Accent3 2 3 2 3" xfId="857" xr:uid="{00000000-0005-0000-0000-00002A030000}"/>
    <cellStyle name="40% - Accent3 2 3 3" xfId="858" xr:uid="{00000000-0005-0000-0000-00002B030000}"/>
    <cellStyle name="40% - Accent3 2 3 4" xfId="859" xr:uid="{00000000-0005-0000-0000-00002C030000}"/>
    <cellStyle name="40% - Accent3 2 4" xfId="860" xr:uid="{00000000-0005-0000-0000-00002D030000}"/>
    <cellStyle name="40% - Accent3 2 4 2" xfId="861" xr:uid="{00000000-0005-0000-0000-00002E030000}"/>
    <cellStyle name="40% - Accent3 2 4 3" xfId="862" xr:uid="{00000000-0005-0000-0000-00002F030000}"/>
    <cellStyle name="40% - Accent3 2 5" xfId="863" xr:uid="{00000000-0005-0000-0000-000030030000}"/>
    <cellStyle name="40% - Accent3 2 6" xfId="864" xr:uid="{00000000-0005-0000-0000-000031030000}"/>
    <cellStyle name="40% - Accent3 3" xfId="865" xr:uid="{00000000-0005-0000-0000-000032030000}"/>
    <cellStyle name="40% - Accent3 3 2" xfId="866" xr:uid="{00000000-0005-0000-0000-000033030000}"/>
    <cellStyle name="40% - Accent3 3 2 2" xfId="867" xr:uid="{00000000-0005-0000-0000-000034030000}"/>
    <cellStyle name="40% - Accent3 3 2 2 2" xfId="868" xr:uid="{00000000-0005-0000-0000-000035030000}"/>
    <cellStyle name="40% - Accent3 3 2 2 2 2" xfId="869" xr:uid="{00000000-0005-0000-0000-000036030000}"/>
    <cellStyle name="40% - Accent3 3 2 2 2 3" xfId="870" xr:uid="{00000000-0005-0000-0000-000037030000}"/>
    <cellStyle name="40% - Accent3 3 2 2 3" xfId="871" xr:uid="{00000000-0005-0000-0000-000038030000}"/>
    <cellStyle name="40% - Accent3 3 2 2 4" xfId="872" xr:uid="{00000000-0005-0000-0000-000039030000}"/>
    <cellStyle name="40% - Accent3 3 2 3" xfId="873" xr:uid="{00000000-0005-0000-0000-00003A030000}"/>
    <cellStyle name="40% - Accent3 3 2 3 2" xfId="874" xr:uid="{00000000-0005-0000-0000-00003B030000}"/>
    <cellStyle name="40% - Accent3 3 2 3 3" xfId="875" xr:uid="{00000000-0005-0000-0000-00003C030000}"/>
    <cellStyle name="40% - Accent3 3 2 4" xfId="876" xr:uid="{00000000-0005-0000-0000-00003D030000}"/>
    <cellStyle name="40% - Accent3 3 2 5" xfId="877" xr:uid="{00000000-0005-0000-0000-00003E030000}"/>
    <cellStyle name="40% - Accent3 3 3" xfId="878" xr:uid="{00000000-0005-0000-0000-00003F030000}"/>
    <cellStyle name="40% - Accent3 3 3 2" xfId="879" xr:uid="{00000000-0005-0000-0000-000040030000}"/>
    <cellStyle name="40% - Accent3 3 3 2 2" xfId="880" xr:uid="{00000000-0005-0000-0000-000041030000}"/>
    <cellStyle name="40% - Accent3 3 3 2 3" xfId="881" xr:uid="{00000000-0005-0000-0000-000042030000}"/>
    <cellStyle name="40% - Accent3 3 3 3" xfId="882" xr:uid="{00000000-0005-0000-0000-000043030000}"/>
    <cellStyle name="40% - Accent3 3 3 4" xfId="883" xr:uid="{00000000-0005-0000-0000-000044030000}"/>
    <cellStyle name="40% - Accent3 3 4" xfId="884" xr:uid="{00000000-0005-0000-0000-000045030000}"/>
    <cellStyle name="40% - Accent3 3 4 2" xfId="885" xr:uid="{00000000-0005-0000-0000-000046030000}"/>
    <cellStyle name="40% - Accent3 3 4 3" xfId="886" xr:uid="{00000000-0005-0000-0000-000047030000}"/>
    <cellStyle name="40% - Accent3 3 5" xfId="887" xr:uid="{00000000-0005-0000-0000-000048030000}"/>
    <cellStyle name="40% - Accent3 3 6" xfId="888" xr:uid="{00000000-0005-0000-0000-000049030000}"/>
    <cellStyle name="40% - Accent3 4" xfId="889" xr:uid="{00000000-0005-0000-0000-00004A030000}"/>
    <cellStyle name="40% - Accent3 4 2" xfId="890" xr:uid="{00000000-0005-0000-0000-00004B030000}"/>
    <cellStyle name="40% - Accent3 4 2 2" xfId="891" xr:uid="{00000000-0005-0000-0000-00004C030000}"/>
    <cellStyle name="40% - Accent3 4 2 2 2" xfId="892" xr:uid="{00000000-0005-0000-0000-00004D030000}"/>
    <cellStyle name="40% - Accent3 4 2 2 2 2" xfId="893" xr:uid="{00000000-0005-0000-0000-00004E030000}"/>
    <cellStyle name="40% - Accent3 4 2 2 2 3" xfId="894" xr:uid="{00000000-0005-0000-0000-00004F030000}"/>
    <cellStyle name="40% - Accent3 4 2 2 3" xfId="895" xr:uid="{00000000-0005-0000-0000-000050030000}"/>
    <cellStyle name="40% - Accent3 4 2 2 4" xfId="896" xr:uid="{00000000-0005-0000-0000-000051030000}"/>
    <cellStyle name="40% - Accent3 4 2 3" xfId="897" xr:uid="{00000000-0005-0000-0000-000052030000}"/>
    <cellStyle name="40% - Accent3 4 2 3 2" xfId="898" xr:uid="{00000000-0005-0000-0000-000053030000}"/>
    <cellStyle name="40% - Accent3 4 2 3 3" xfId="899" xr:uid="{00000000-0005-0000-0000-000054030000}"/>
    <cellStyle name="40% - Accent3 4 2 4" xfId="900" xr:uid="{00000000-0005-0000-0000-000055030000}"/>
    <cellStyle name="40% - Accent3 4 2 5" xfId="901" xr:uid="{00000000-0005-0000-0000-000056030000}"/>
    <cellStyle name="40% - Accent3 4 3" xfId="902" xr:uid="{00000000-0005-0000-0000-000057030000}"/>
    <cellStyle name="40% - Accent3 4 3 2" xfId="903" xr:uid="{00000000-0005-0000-0000-000058030000}"/>
    <cellStyle name="40% - Accent3 4 3 2 2" xfId="904" xr:uid="{00000000-0005-0000-0000-000059030000}"/>
    <cellStyle name="40% - Accent3 4 3 2 3" xfId="905" xr:uid="{00000000-0005-0000-0000-00005A030000}"/>
    <cellStyle name="40% - Accent3 4 3 3" xfId="906" xr:uid="{00000000-0005-0000-0000-00005B030000}"/>
    <cellStyle name="40% - Accent3 4 3 4" xfId="907" xr:uid="{00000000-0005-0000-0000-00005C030000}"/>
    <cellStyle name="40% - Accent3 4 4" xfId="908" xr:uid="{00000000-0005-0000-0000-00005D030000}"/>
    <cellStyle name="40% - Accent3 4 4 2" xfId="909" xr:uid="{00000000-0005-0000-0000-00005E030000}"/>
    <cellStyle name="40% - Accent3 4 4 3" xfId="910" xr:uid="{00000000-0005-0000-0000-00005F030000}"/>
    <cellStyle name="40% - Accent3 4 5" xfId="911" xr:uid="{00000000-0005-0000-0000-000060030000}"/>
    <cellStyle name="40% - Accent3 4 6" xfId="912" xr:uid="{00000000-0005-0000-0000-000061030000}"/>
    <cellStyle name="40% - Accent3 5" xfId="913" xr:uid="{00000000-0005-0000-0000-000062030000}"/>
    <cellStyle name="40% - Accent3 5 2" xfId="914" xr:uid="{00000000-0005-0000-0000-000063030000}"/>
    <cellStyle name="40% - Accent3 5 2 2" xfId="915" xr:uid="{00000000-0005-0000-0000-000064030000}"/>
    <cellStyle name="40% - Accent3 5 2 2 2" xfId="916" xr:uid="{00000000-0005-0000-0000-000065030000}"/>
    <cellStyle name="40% - Accent3 5 2 2 2 2" xfId="917" xr:uid="{00000000-0005-0000-0000-000066030000}"/>
    <cellStyle name="40% - Accent3 5 2 2 2 3" xfId="918" xr:uid="{00000000-0005-0000-0000-000067030000}"/>
    <cellStyle name="40% - Accent3 5 2 2 3" xfId="919" xr:uid="{00000000-0005-0000-0000-000068030000}"/>
    <cellStyle name="40% - Accent3 5 2 2 4" xfId="920" xr:uid="{00000000-0005-0000-0000-000069030000}"/>
    <cellStyle name="40% - Accent3 5 2 3" xfId="921" xr:uid="{00000000-0005-0000-0000-00006A030000}"/>
    <cellStyle name="40% - Accent3 5 2 3 2" xfId="922" xr:uid="{00000000-0005-0000-0000-00006B030000}"/>
    <cellStyle name="40% - Accent3 5 2 3 3" xfId="923" xr:uid="{00000000-0005-0000-0000-00006C030000}"/>
    <cellStyle name="40% - Accent3 5 2 4" xfId="924" xr:uid="{00000000-0005-0000-0000-00006D030000}"/>
    <cellStyle name="40% - Accent3 5 2 5" xfId="925" xr:uid="{00000000-0005-0000-0000-00006E030000}"/>
    <cellStyle name="40% - Accent3 5 3" xfId="926" xr:uid="{00000000-0005-0000-0000-00006F030000}"/>
    <cellStyle name="40% - Accent3 5 3 2" xfId="927" xr:uid="{00000000-0005-0000-0000-000070030000}"/>
    <cellStyle name="40% - Accent3 5 3 2 2" xfId="928" xr:uid="{00000000-0005-0000-0000-000071030000}"/>
    <cellStyle name="40% - Accent3 5 3 2 3" xfId="929" xr:uid="{00000000-0005-0000-0000-000072030000}"/>
    <cellStyle name="40% - Accent3 5 3 3" xfId="930" xr:uid="{00000000-0005-0000-0000-000073030000}"/>
    <cellStyle name="40% - Accent3 5 3 4" xfId="931" xr:uid="{00000000-0005-0000-0000-000074030000}"/>
    <cellStyle name="40% - Accent3 5 4" xfId="932" xr:uid="{00000000-0005-0000-0000-000075030000}"/>
    <cellStyle name="40% - Accent3 5 4 2" xfId="933" xr:uid="{00000000-0005-0000-0000-000076030000}"/>
    <cellStyle name="40% - Accent3 5 4 3" xfId="934" xr:uid="{00000000-0005-0000-0000-000077030000}"/>
    <cellStyle name="40% - Accent3 5 5" xfId="935" xr:uid="{00000000-0005-0000-0000-000078030000}"/>
    <cellStyle name="40% - Accent3 5 6" xfId="936" xr:uid="{00000000-0005-0000-0000-000079030000}"/>
    <cellStyle name="40% - Accent3 6" xfId="937" xr:uid="{00000000-0005-0000-0000-00007A030000}"/>
    <cellStyle name="40% - Accent3 7" xfId="938" xr:uid="{00000000-0005-0000-0000-00007B030000}"/>
    <cellStyle name="40% - Accent3 8" xfId="939" xr:uid="{00000000-0005-0000-0000-00007C030000}"/>
    <cellStyle name="40% - Accent3 9" xfId="940" xr:uid="{00000000-0005-0000-0000-00007D030000}"/>
    <cellStyle name="40% - Accent4" xfId="21920" builtinId="43" customBuiltin="1"/>
    <cellStyle name="40% - Accent4 10" xfId="941" xr:uid="{00000000-0005-0000-0000-00007F030000}"/>
    <cellStyle name="40% - Accent4 11" xfId="942" xr:uid="{00000000-0005-0000-0000-000080030000}"/>
    <cellStyle name="40% - Accent4 12" xfId="943" xr:uid="{00000000-0005-0000-0000-000081030000}"/>
    <cellStyle name="40% - Accent4 13" xfId="944" xr:uid="{00000000-0005-0000-0000-000082030000}"/>
    <cellStyle name="40% - Accent4 14" xfId="945" xr:uid="{00000000-0005-0000-0000-000083030000}"/>
    <cellStyle name="40% - Accent4 15" xfId="946" xr:uid="{00000000-0005-0000-0000-000084030000}"/>
    <cellStyle name="40% - Accent4 2" xfId="947" xr:uid="{00000000-0005-0000-0000-000085030000}"/>
    <cellStyle name="40% - Accent4 2 2" xfId="948" xr:uid="{00000000-0005-0000-0000-000086030000}"/>
    <cellStyle name="40% - Accent4 2 2 2" xfId="949" xr:uid="{00000000-0005-0000-0000-000087030000}"/>
    <cellStyle name="40% - Accent4 2 2 2 2" xfId="950" xr:uid="{00000000-0005-0000-0000-000088030000}"/>
    <cellStyle name="40% - Accent4 2 2 2 2 2" xfId="951" xr:uid="{00000000-0005-0000-0000-000089030000}"/>
    <cellStyle name="40% - Accent4 2 2 2 2 3" xfId="952" xr:uid="{00000000-0005-0000-0000-00008A030000}"/>
    <cellStyle name="40% - Accent4 2 2 2 3" xfId="953" xr:uid="{00000000-0005-0000-0000-00008B030000}"/>
    <cellStyle name="40% - Accent4 2 2 2 4" xfId="954" xr:uid="{00000000-0005-0000-0000-00008C030000}"/>
    <cellStyle name="40% - Accent4 2 2 3" xfId="955" xr:uid="{00000000-0005-0000-0000-00008D030000}"/>
    <cellStyle name="40% - Accent4 2 2 3 2" xfId="956" xr:uid="{00000000-0005-0000-0000-00008E030000}"/>
    <cellStyle name="40% - Accent4 2 2 3 3" xfId="957" xr:uid="{00000000-0005-0000-0000-00008F030000}"/>
    <cellStyle name="40% - Accent4 2 2 4" xfId="958" xr:uid="{00000000-0005-0000-0000-000090030000}"/>
    <cellStyle name="40% - Accent4 2 2 5" xfId="959" xr:uid="{00000000-0005-0000-0000-000091030000}"/>
    <cellStyle name="40% - Accent4 2 3" xfId="960" xr:uid="{00000000-0005-0000-0000-000092030000}"/>
    <cellStyle name="40% - Accent4 2 3 2" xfId="961" xr:uid="{00000000-0005-0000-0000-000093030000}"/>
    <cellStyle name="40% - Accent4 2 3 2 2" xfId="962" xr:uid="{00000000-0005-0000-0000-000094030000}"/>
    <cellStyle name="40% - Accent4 2 3 2 3" xfId="963" xr:uid="{00000000-0005-0000-0000-000095030000}"/>
    <cellStyle name="40% - Accent4 2 3 3" xfId="964" xr:uid="{00000000-0005-0000-0000-000096030000}"/>
    <cellStyle name="40% - Accent4 2 3 4" xfId="965" xr:uid="{00000000-0005-0000-0000-000097030000}"/>
    <cellStyle name="40% - Accent4 2 4" xfId="966" xr:uid="{00000000-0005-0000-0000-000098030000}"/>
    <cellStyle name="40% - Accent4 2 4 2" xfId="967" xr:uid="{00000000-0005-0000-0000-000099030000}"/>
    <cellStyle name="40% - Accent4 2 4 3" xfId="968" xr:uid="{00000000-0005-0000-0000-00009A030000}"/>
    <cellStyle name="40% - Accent4 2 5" xfId="969" xr:uid="{00000000-0005-0000-0000-00009B030000}"/>
    <cellStyle name="40% - Accent4 2 6" xfId="970" xr:uid="{00000000-0005-0000-0000-00009C030000}"/>
    <cellStyle name="40% - Accent4 3" xfId="971" xr:uid="{00000000-0005-0000-0000-00009D030000}"/>
    <cellStyle name="40% - Accent4 3 2" xfId="972" xr:uid="{00000000-0005-0000-0000-00009E030000}"/>
    <cellStyle name="40% - Accent4 3 2 2" xfId="973" xr:uid="{00000000-0005-0000-0000-00009F030000}"/>
    <cellStyle name="40% - Accent4 3 2 2 2" xfId="974" xr:uid="{00000000-0005-0000-0000-0000A0030000}"/>
    <cellStyle name="40% - Accent4 3 2 2 2 2" xfId="975" xr:uid="{00000000-0005-0000-0000-0000A1030000}"/>
    <cellStyle name="40% - Accent4 3 2 2 2 3" xfId="976" xr:uid="{00000000-0005-0000-0000-0000A2030000}"/>
    <cellStyle name="40% - Accent4 3 2 2 3" xfId="977" xr:uid="{00000000-0005-0000-0000-0000A3030000}"/>
    <cellStyle name="40% - Accent4 3 2 2 4" xfId="978" xr:uid="{00000000-0005-0000-0000-0000A4030000}"/>
    <cellStyle name="40% - Accent4 3 2 3" xfId="979" xr:uid="{00000000-0005-0000-0000-0000A5030000}"/>
    <cellStyle name="40% - Accent4 3 2 3 2" xfId="980" xr:uid="{00000000-0005-0000-0000-0000A6030000}"/>
    <cellStyle name="40% - Accent4 3 2 3 3" xfId="981" xr:uid="{00000000-0005-0000-0000-0000A7030000}"/>
    <cellStyle name="40% - Accent4 3 2 4" xfId="982" xr:uid="{00000000-0005-0000-0000-0000A8030000}"/>
    <cellStyle name="40% - Accent4 3 2 5" xfId="983" xr:uid="{00000000-0005-0000-0000-0000A9030000}"/>
    <cellStyle name="40% - Accent4 3 3" xfId="984" xr:uid="{00000000-0005-0000-0000-0000AA030000}"/>
    <cellStyle name="40% - Accent4 3 3 2" xfId="985" xr:uid="{00000000-0005-0000-0000-0000AB030000}"/>
    <cellStyle name="40% - Accent4 3 3 2 2" xfId="986" xr:uid="{00000000-0005-0000-0000-0000AC030000}"/>
    <cellStyle name="40% - Accent4 3 3 2 3" xfId="987" xr:uid="{00000000-0005-0000-0000-0000AD030000}"/>
    <cellStyle name="40% - Accent4 3 3 3" xfId="988" xr:uid="{00000000-0005-0000-0000-0000AE030000}"/>
    <cellStyle name="40% - Accent4 3 3 4" xfId="989" xr:uid="{00000000-0005-0000-0000-0000AF030000}"/>
    <cellStyle name="40% - Accent4 3 4" xfId="990" xr:uid="{00000000-0005-0000-0000-0000B0030000}"/>
    <cellStyle name="40% - Accent4 3 4 2" xfId="991" xr:uid="{00000000-0005-0000-0000-0000B1030000}"/>
    <cellStyle name="40% - Accent4 3 4 3" xfId="992" xr:uid="{00000000-0005-0000-0000-0000B2030000}"/>
    <cellStyle name="40% - Accent4 3 5" xfId="993" xr:uid="{00000000-0005-0000-0000-0000B3030000}"/>
    <cellStyle name="40% - Accent4 3 6" xfId="994" xr:uid="{00000000-0005-0000-0000-0000B4030000}"/>
    <cellStyle name="40% - Accent4 4" xfId="995" xr:uid="{00000000-0005-0000-0000-0000B5030000}"/>
    <cellStyle name="40% - Accent4 4 2" xfId="996" xr:uid="{00000000-0005-0000-0000-0000B6030000}"/>
    <cellStyle name="40% - Accent4 4 2 2" xfId="997" xr:uid="{00000000-0005-0000-0000-0000B7030000}"/>
    <cellStyle name="40% - Accent4 4 2 2 2" xfId="998" xr:uid="{00000000-0005-0000-0000-0000B8030000}"/>
    <cellStyle name="40% - Accent4 4 2 2 2 2" xfId="999" xr:uid="{00000000-0005-0000-0000-0000B9030000}"/>
    <cellStyle name="40% - Accent4 4 2 2 2 3" xfId="1000" xr:uid="{00000000-0005-0000-0000-0000BA030000}"/>
    <cellStyle name="40% - Accent4 4 2 2 3" xfId="1001" xr:uid="{00000000-0005-0000-0000-0000BB030000}"/>
    <cellStyle name="40% - Accent4 4 2 2 4" xfId="1002" xr:uid="{00000000-0005-0000-0000-0000BC030000}"/>
    <cellStyle name="40% - Accent4 4 2 3" xfId="1003" xr:uid="{00000000-0005-0000-0000-0000BD030000}"/>
    <cellStyle name="40% - Accent4 4 2 3 2" xfId="1004" xr:uid="{00000000-0005-0000-0000-0000BE030000}"/>
    <cellStyle name="40% - Accent4 4 2 3 3" xfId="1005" xr:uid="{00000000-0005-0000-0000-0000BF030000}"/>
    <cellStyle name="40% - Accent4 4 2 4" xfId="1006" xr:uid="{00000000-0005-0000-0000-0000C0030000}"/>
    <cellStyle name="40% - Accent4 4 2 5" xfId="1007" xr:uid="{00000000-0005-0000-0000-0000C1030000}"/>
    <cellStyle name="40% - Accent4 4 3" xfId="1008" xr:uid="{00000000-0005-0000-0000-0000C2030000}"/>
    <cellStyle name="40% - Accent4 4 3 2" xfId="1009" xr:uid="{00000000-0005-0000-0000-0000C3030000}"/>
    <cellStyle name="40% - Accent4 4 3 2 2" xfId="1010" xr:uid="{00000000-0005-0000-0000-0000C4030000}"/>
    <cellStyle name="40% - Accent4 4 3 2 3" xfId="1011" xr:uid="{00000000-0005-0000-0000-0000C5030000}"/>
    <cellStyle name="40% - Accent4 4 3 3" xfId="1012" xr:uid="{00000000-0005-0000-0000-0000C6030000}"/>
    <cellStyle name="40% - Accent4 4 3 4" xfId="1013" xr:uid="{00000000-0005-0000-0000-0000C7030000}"/>
    <cellStyle name="40% - Accent4 4 4" xfId="1014" xr:uid="{00000000-0005-0000-0000-0000C8030000}"/>
    <cellStyle name="40% - Accent4 4 4 2" xfId="1015" xr:uid="{00000000-0005-0000-0000-0000C9030000}"/>
    <cellStyle name="40% - Accent4 4 4 3" xfId="1016" xr:uid="{00000000-0005-0000-0000-0000CA030000}"/>
    <cellStyle name="40% - Accent4 4 5" xfId="1017" xr:uid="{00000000-0005-0000-0000-0000CB030000}"/>
    <cellStyle name="40% - Accent4 4 6" xfId="1018" xr:uid="{00000000-0005-0000-0000-0000CC030000}"/>
    <cellStyle name="40% - Accent4 5" xfId="1019" xr:uid="{00000000-0005-0000-0000-0000CD030000}"/>
    <cellStyle name="40% - Accent4 5 2" xfId="1020" xr:uid="{00000000-0005-0000-0000-0000CE030000}"/>
    <cellStyle name="40% - Accent4 5 2 2" xfId="1021" xr:uid="{00000000-0005-0000-0000-0000CF030000}"/>
    <cellStyle name="40% - Accent4 5 2 2 2" xfId="1022" xr:uid="{00000000-0005-0000-0000-0000D0030000}"/>
    <cellStyle name="40% - Accent4 5 2 2 2 2" xfId="1023" xr:uid="{00000000-0005-0000-0000-0000D1030000}"/>
    <cellStyle name="40% - Accent4 5 2 2 2 3" xfId="1024" xr:uid="{00000000-0005-0000-0000-0000D2030000}"/>
    <cellStyle name="40% - Accent4 5 2 2 3" xfId="1025" xr:uid="{00000000-0005-0000-0000-0000D3030000}"/>
    <cellStyle name="40% - Accent4 5 2 2 4" xfId="1026" xr:uid="{00000000-0005-0000-0000-0000D4030000}"/>
    <cellStyle name="40% - Accent4 5 2 3" xfId="1027" xr:uid="{00000000-0005-0000-0000-0000D5030000}"/>
    <cellStyle name="40% - Accent4 5 2 3 2" xfId="1028" xr:uid="{00000000-0005-0000-0000-0000D6030000}"/>
    <cellStyle name="40% - Accent4 5 2 3 3" xfId="1029" xr:uid="{00000000-0005-0000-0000-0000D7030000}"/>
    <cellStyle name="40% - Accent4 5 2 4" xfId="1030" xr:uid="{00000000-0005-0000-0000-0000D8030000}"/>
    <cellStyle name="40% - Accent4 5 2 5" xfId="1031" xr:uid="{00000000-0005-0000-0000-0000D9030000}"/>
    <cellStyle name="40% - Accent4 5 3" xfId="1032" xr:uid="{00000000-0005-0000-0000-0000DA030000}"/>
    <cellStyle name="40% - Accent4 5 3 2" xfId="1033" xr:uid="{00000000-0005-0000-0000-0000DB030000}"/>
    <cellStyle name="40% - Accent4 5 3 2 2" xfId="1034" xr:uid="{00000000-0005-0000-0000-0000DC030000}"/>
    <cellStyle name="40% - Accent4 5 3 2 3" xfId="1035" xr:uid="{00000000-0005-0000-0000-0000DD030000}"/>
    <cellStyle name="40% - Accent4 5 3 3" xfId="1036" xr:uid="{00000000-0005-0000-0000-0000DE030000}"/>
    <cellStyle name="40% - Accent4 5 3 4" xfId="1037" xr:uid="{00000000-0005-0000-0000-0000DF030000}"/>
    <cellStyle name="40% - Accent4 5 4" xfId="1038" xr:uid="{00000000-0005-0000-0000-0000E0030000}"/>
    <cellStyle name="40% - Accent4 5 4 2" xfId="1039" xr:uid="{00000000-0005-0000-0000-0000E1030000}"/>
    <cellStyle name="40% - Accent4 5 4 3" xfId="1040" xr:uid="{00000000-0005-0000-0000-0000E2030000}"/>
    <cellStyle name="40% - Accent4 5 5" xfId="1041" xr:uid="{00000000-0005-0000-0000-0000E3030000}"/>
    <cellStyle name="40% - Accent4 5 6" xfId="1042" xr:uid="{00000000-0005-0000-0000-0000E4030000}"/>
    <cellStyle name="40% - Accent4 6" xfId="1043" xr:uid="{00000000-0005-0000-0000-0000E5030000}"/>
    <cellStyle name="40% - Accent4 7" xfId="1044" xr:uid="{00000000-0005-0000-0000-0000E6030000}"/>
    <cellStyle name="40% - Accent4 8" xfId="1045" xr:uid="{00000000-0005-0000-0000-0000E7030000}"/>
    <cellStyle name="40% - Accent4 9" xfId="1046" xr:uid="{00000000-0005-0000-0000-0000E8030000}"/>
    <cellStyle name="40% - Accent5" xfId="21924" builtinId="47" customBuiltin="1"/>
    <cellStyle name="40% - Accent5 10" xfId="1047" xr:uid="{00000000-0005-0000-0000-0000EA030000}"/>
    <cellStyle name="40% - Accent5 11" xfId="1048" xr:uid="{00000000-0005-0000-0000-0000EB030000}"/>
    <cellStyle name="40% - Accent5 12" xfId="1049" xr:uid="{00000000-0005-0000-0000-0000EC030000}"/>
    <cellStyle name="40% - Accent5 13" xfId="1050" xr:uid="{00000000-0005-0000-0000-0000ED030000}"/>
    <cellStyle name="40% - Accent5 14" xfId="1051" xr:uid="{00000000-0005-0000-0000-0000EE030000}"/>
    <cellStyle name="40% - Accent5 15" xfId="1052" xr:uid="{00000000-0005-0000-0000-0000EF030000}"/>
    <cellStyle name="40% - Accent5 2" xfId="1053" xr:uid="{00000000-0005-0000-0000-0000F0030000}"/>
    <cellStyle name="40% - Accent5 2 2" xfId="1054" xr:uid="{00000000-0005-0000-0000-0000F1030000}"/>
    <cellStyle name="40% - Accent5 2 2 2" xfId="1055" xr:uid="{00000000-0005-0000-0000-0000F2030000}"/>
    <cellStyle name="40% - Accent5 2 2 2 2" xfId="1056" xr:uid="{00000000-0005-0000-0000-0000F3030000}"/>
    <cellStyle name="40% - Accent5 2 2 2 2 2" xfId="1057" xr:uid="{00000000-0005-0000-0000-0000F4030000}"/>
    <cellStyle name="40% - Accent5 2 2 2 2 3" xfId="1058" xr:uid="{00000000-0005-0000-0000-0000F5030000}"/>
    <cellStyle name="40% - Accent5 2 2 2 3" xfId="1059" xr:uid="{00000000-0005-0000-0000-0000F6030000}"/>
    <cellStyle name="40% - Accent5 2 2 2 4" xfId="1060" xr:uid="{00000000-0005-0000-0000-0000F7030000}"/>
    <cellStyle name="40% - Accent5 2 2 3" xfId="1061" xr:uid="{00000000-0005-0000-0000-0000F8030000}"/>
    <cellStyle name="40% - Accent5 2 2 3 2" xfId="1062" xr:uid="{00000000-0005-0000-0000-0000F9030000}"/>
    <cellStyle name="40% - Accent5 2 2 3 3" xfId="1063" xr:uid="{00000000-0005-0000-0000-0000FA030000}"/>
    <cellStyle name="40% - Accent5 2 2 4" xfId="1064" xr:uid="{00000000-0005-0000-0000-0000FB030000}"/>
    <cellStyle name="40% - Accent5 2 2 5" xfId="1065" xr:uid="{00000000-0005-0000-0000-0000FC030000}"/>
    <cellStyle name="40% - Accent5 2 3" xfId="1066" xr:uid="{00000000-0005-0000-0000-0000FD030000}"/>
    <cellStyle name="40% - Accent5 2 3 2" xfId="1067" xr:uid="{00000000-0005-0000-0000-0000FE030000}"/>
    <cellStyle name="40% - Accent5 2 3 2 2" xfId="1068" xr:uid="{00000000-0005-0000-0000-0000FF030000}"/>
    <cellStyle name="40% - Accent5 2 3 2 3" xfId="1069" xr:uid="{00000000-0005-0000-0000-000000040000}"/>
    <cellStyle name="40% - Accent5 2 3 3" xfId="1070" xr:uid="{00000000-0005-0000-0000-000001040000}"/>
    <cellStyle name="40% - Accent5 2 3 4" xfId="1071" xr:uid="{00000000-0005-0000-0000-000002040000}"/>
    <cellStyle name="40% - Accent5 2 4" xfId="1072" xr:uid="{00000000-0005-0000-0000-000003040000}"/>
    <cellStyle name="40% - Accent5 2 4 2" xfId="1073" xr:uid="{00000000-0005-0000-0000-000004040000}"/>
    <cellStyle name="40% - Accent5 2 4 3" xfId="1074" xr:uid="{00000000-0005-0000-0000-000005040000}"/>
    <cellStyle name="40% - Accent5 2 5" xfId="1075" xr:uid="{00000000-0005-0000-0000-000006040000}"/>
    <cellStyle name="40% - Accent5 2 6" xfId="1076" xr:uid="{00000000-0005-0000-0000-000007040000}"/>
    <cellStyle name="40% - Accent5 3" xfId="1077" xr:uid="{00000000-0005-0000-0000-000008040000}"/>
    <cellStyle name="40% - Accent5 3 2" xfId="1078" xr:uid="{00000000-0005-0000-0000-000009040000}"/>
    <cellStyle name="40% - Accent5 3 2 2" xfId="1079" xr:uid="{00000000-0005-0000-0000-00000A040000}"/>
    <cellStyle name="40% - Accent5 3 2 2 2" xfId="1080" xr:uid="{00000000-0005-0000-0000-00000B040000}"/>
    <cellStyle name="40% - Accent5 3 2 2 2 2" xfId="1081" xr:uid="{00000000-0005-0000-0000-00000C040000}"/>
    <cellStyle name="40% - Accent5 3 2 2 2 3" xfId="1082" xr:uid="{00000000-0005-0000-0000-00000D040000}"/>
    <cellStyle name="40% - Accent5 3 2 2 3" xfId="1083" xr:uid="{00000000-0005-0000-0000-00000E040000}"/>
    <cellStyle name="40% - Accent5 3 2 2 4" xfId="1084" xr:uid="{00000000-0005-0000-0000-00000F040000}"/>
    <cellStyle name="40% - Accent5 3 2 3" xfId="1085" xr:uid="{00000000-0005-0000-0000-000010040000}"/>
    <cellStyle name="40% - Accent5 3 2 3 2" xfId="1086" xr:uid="{00000000-0005-0000-0000-000011040000}"/>
    <cellStyle name="40% - Accent5 3 2 3 3" xfId="1087" xr:uid="{00000000-0005-0000-0000-000012040000}"/>
    <cellStyle name="40% - Accent5 3 2 4" xfId="1088" xr:uid="{00000000-0005-0000-0000-000013040000}"/>
    <cellStyle name="40% - Accent5 3 2 5" xfId="1089" xr:uid="{00000000-0005-0000-0000-000014040000}"/>
    <cellStyle name="40% - Accent5 3 3" xfId="1090" xr:uid="{00000000-0005-0000-0000-000015040000}"/>
    <cellStyle name="40% - Accent5 3 3 2" xfId="1091" xr:uid="{00000000-0005-0000-0000-000016040000}"/>
    <cellStyle name="40% - Accent5 3 3 2 2" xfId="1092" xr:uid="{00000000-0005-0000-0000-000017040000}"/>
    <cellStyle name="40% - Accent5 3 3 2 3" xfId="1093" xr:uid="{00000000-0005-0000-0000-000018040000}"/>
    <cellStyle name="40% - Accent5 3 3 3" xfId="1094" xr:uid="{00000000-0005-0000-0000-000019040000}"/>
    <cellStyle name="40% - Accent5 3 3 4" xfId="1095" xr:uid="{00000000-0005-0000-0000-00001A040000}"/>
    <cellStyle name="40% - Accent5 3 4" xfId="1096" xr:uid="{00000000-0005-0000-0000-00001B040000}"/>
    <cellStyle name="40% - Accent5 3 4 2" xfId="1097" xr:uid="{00000000-0005-0000-0000-00001C040000}"/>
    <cellStyle name="40% - Accent5 3 4 3" xfId="1098" xr:uid="{00000000-0005-0000-0000-00001D040000}"/>
    <cellStyle name="40% - Accent5 3 5" xfId="1099" xr:uid="{00000000-0005-0000-0000-00001E040000}"/>
    <cellStyle name="40% - Accent5 3 6" xfId="1100" xr:uid="{00000000-0005-0000-0000-00001F040000}"/>
    <cellStyle name="40% - Accent5 4" xfId="1101" xr:uid="{00000000-0005-0000-0000-000020040000}"/>
    <cellStyle name="40% - Accent5 4 2" xfId="1102" xr:uid="{00000000-0005-0000-0000-000021040000}"/>
    <cellStyle name="40% - Accent5 4 2 2" xfId="1103" xr:uid="{00000000-0005-0000-0000-000022040000}"/>
    <cellStyle name="40% - Accent5 4 2 2 2" xfId="1104" xr:uid="{00000000-0005-0000-0000-000023040000}"/>
    <cellStyle name="40% - Accent5 4 2 2 2 2" xfId="1105" xr:uid="{00000000-0005-0000-0000-000024040000}"/>
    <cellStyle name="40% - Accent5 4 2 2 2 3" xfId="1106" xr:uid="{00000000-0005-0000-0000-000025040000}"/>
    <cellStyle name="40% - Accent5 4 2 2 3" xfId="1107" xr:uid="{00000000-0005-0000-0000-000026040000}"/>
    <cellStyle name="40% - Accent5 4 2 2 4" xfId="1108" xr:uid="{00000000-0005-0000-0000-000027040000}"/>
    <cellStyle name="40% - Accent5 4 2 3" xfId="1109" xr:uid="{00000000-0005-0000-0000-000028040000}"/>
    <cellStyle name="40% - Accent5 4 2 3 2" xfId="1110" xr:uid="{00000000-0005-0000-0000-000029040000}"/>
    <cellStyle name="40% - Accent5 4 2 3 3" xfId="1111" xr:uid="{00000000-0005-0000-0000-00002A040000}"/>
    <cellStyle name="40% - Accent5 4 2 4" xfId="1112" xr:uid="{00000000-0005-0000-0000-00002B040000}"/>
    <cellStyle name="40% - Accent5 4 2 5" xfId="1113" xr:uid="{00000000-0005-0000-0000-00002C040000}"/>
    <cellStyle name="40% - Accent5 4 3" xfId="1114" xr:uid="{00000000-0005-0000-0000-00002D040000}"/>
    <cellStyle name="40% - Accent5 4 3 2" xfId="1115" xr:uid="{00000000-0005-0000-0000-00002E040000}"/>
    <cellStyle name="40% - Accent5 4 3 2 2" xfId="1116" xr:uid="{00000000-0005-0000-0000-00002F040000}"/>
    <cellStyle name="40% - Accent5 4 3 2 3" xfId="1117" xr:uid="{00000000-0005-0000-0000-000030040000}"/>
    <cellStyle name="40% - Accent5 4 3 3" xfId="1118" xr:uid="{00000000-0005-0000-0000-000031040000}"/>
    <cellStyle name="40% - Accent5 4 3 4" xfId="1119" xr:uid="{00000000-0005-0000-0000-000032040000}"/>
    <cellStyle name="40% - Accent5 4 4" xfId="1120" xr:uid="{00000000-0005-0000-0000-000033040000}"/>
    <cellStyle name="40% - Accent5 4 4 2" xfId="1121" xr:uid="{00000000-0005-0000-0000-000034040000}"/>
    <cellStyle name="40% - Accent5 4 4 3" xfId="1122" xr:uid="{00000000-0005-0000-0000-000035040000}"/>
    <cellStyle name="40% - Accent5 4 5" xfId="1123" xr:uid="{00000000-0005-0000-0000-000036040000}"/>
    <cellStyle name="40% - Accent5 4 6" xfId="1124" xr:uid="{00000000-0005-0000-0000-000037040000}"/>
    <cellStyle name="40% - Accent5 5" xfId="1125" xr:uid="{00000000-0005-0000-0000-000038040000}"/>
    <cellStyle name="40% - Accent5 6" xfId="1126" xr:uid="{00000000-0005-0000-0000-000039040000}"/>
    <cellStyle name="40% - Accent5 7" xfId="1127" xr:uid="{00000000-0005-0000-0000-00003A040000}"/>
    <cellStyle name="40% - Accent5 8" xfId="1128" xr:uid="{00000000-0005-0000-0000-00003B040000}"/>
    <cellStyle name="40% - Accent5 9" xfId="1129" xr:uid="{00000000-0005-0000-0000-00003C040000}"/>
    <cellStyle name="40% - Accent6" xfId="21928" builtinId="51" customBuiltin="1"/>
    <cellStyle name="40% - Accent6 10" xfId="1130" xr:uid="{00000000-0005-0000-0000-00003E040000}"/>
    <cellStyle name="40% - Accent6 11" xfId="1131" xr:uid="{00000000-0005-0000-0000-00003F040000}"/>
    <cellStyle name="40% - Accent6 12" xfId="1132" xr:uid="{00000000-0005-0000-0000-000040040000}"/>
    <cellStyle name="40% - Accent6 13" xfId="1133" xr:uid="{00000000-0005-0000-0000-000041040000}"/>
    <cellStyle name="40% - Accent6 14" xfId="1134" xr:uid="{00000000-0005-0000-0000-000042040000}"/>
    <cellStyle name="40% - Accent6 15" xfId="1135" xr:uid="{00000000-0005-0000-0000-000043040000}"/>
    <cellStyle name="40% - Accent6 2" xfId="1136" xr:uid="{00000000-0005-0000-0000-000044040000}"/>
    <cellStyle name="40% - Accent6 2 2" xfId="1137" xr:uid="{00000000-0005-0000-0000-000045040000}"/>
    <cellStyle name="40% - Accent6 2 2 2" xfId="1138" xr:uid="{00000000-0005-0000-0000-000046040000}"/>
    <cellStyle name="40% - Accent6 2 2 2 2" xfId="1139" xr:uid="{00000000-0005-0000-0000-000047040000}"/>
    <cellStyle name="40% - Accent6 2 2 2 2 2" xfId="1140" xr:uid="{00000000-0005-0000-0000-000048040000}"/>
    <cellStyle name="40% - Accent6 2 2 2 2 3" xfId="1141" xr:uid="{00000000-0005-0000-0000-000049040000}"/>
    <cellStyle name="40% - Accent6 2 2 2 3" xfId="1142" xr:uid="{00000000-0005-0000-0000-00004A040000}"/>
    <cellStyle name="40% - Accent6 2 2 2 4" xfId="1143" xr:uid="{00000000-0005-0000-0000-00004B040000}"/>
    <cellStyle name="40% - Accent6 2 2 3" xfId="1144" xr:uid="{00000000-0005-0000-0000-00004C040000}"/>
    <cellStyle name="40% - Accent6 2 2 3 2" xfId="1145" xr:uid="{00000000-0005-0000-0000-00004D040000}"/>
    <cellStyle name="40% - Accent6 2 2 3 3" xfId="1146" xr:uid="{00000000-0005-0000-0000-00004E040000}"/>
    <cellStyle name="40% - Accent6 2 2 4" xfId="1147" xr:uid="{00000000-0005-0000-0000-00004F040000}"/>
    <cellStyle name="40% - Accent6 2 2 5" xfId="1148" xr:uid="{00000000-0005-0000-0000-000050040000}"/>
    <cellStyle name="40% - Accent6 2 3" xfId="1149" xr:uid="{00000000-0005-0000-0000-000051040000}"/>
    <cellStyle name="40% - Accent6 2 3 2" xfId="1150" xr:uid="{00000000-0005-0000-0000-000052040000}"/>
    <cellStyle name="40% - Accent6 2 3 2 2" xfId="1151" xr:uid="{00000000-0005-0000-0000-000053040000}"/>
    <cellStyle name="40% - Accent6 2 3 2 3" xfId="1152" xr:uid="{00000000-0005-0000-0000-000054040000}"/>
    <cellStyle name="40% - Accent6 2 3 3" xfId="1153" xr:uid="{00000000-0005-0000-0000-000055040000}"/>
    <cellStyle name="40% - Accent6 2 3 4" xfId="1154" xr:uid="{00000000-0005-0000-0000-000056040000}"/>
    <cellStyle name="40% - Accent6 2 4" xfId="1155" xr:uid="{00000000-0005-0000-0000-000057040000}"/>
    <cellStyle name="40% - Accent6 2 4 2" xfId="1156" xr:uid="{00000000-0005-0000-0000-000058040000}"/>
    <cellStyle name="40% - Accent6 2 4 3" xfId="1157" xr:uid="{00000000-0005-0000-0000-000059040000}"/>
    <cellStyle name="40% - Accent6 2 5" xfId="1158" xr:uid="{00000000-0005-0000-0000-00005A040000}"/>
    <cellStyle name="40% - Accent6 2 6" xfId="1159" xr:uid="{00000000-0005-0000-0000-00005B040000}"/>
    <cellStyle name="40% - Accent6 3" xfId="1160" xr:uid="{00000000-0005-0000-0000-00005C040000}"/>
    <cellStyle name="40% - Accent6 3 2" xfId="1161" xr:uid="{00000000-0005-0000-0000-00005D040000}"/>
    <cellStyle name="40% - Accent6 3 2 2" xfId="1162" xr:uid="{00000000-0005-0000-0000-00005E040000}"/>
    <cellStyle name="40% - Accent6 3 2 2 2" xfId="1163" xr:uid="{00000000-0005-0000-0000-00005F040000}"/>
    <cellStyle name="40% - Accent6 3 2 2 2 2" xfId="1164" xr:uid="{00000000-0005-0000-0000-000060040000}"/>
    <cellStyle name="40% - Accent6 3 2 2 2 3" xfId="1165" xr:uid="{00000000-0005-0000-0000-000061040000}"/>
    <cellStyle name="40% - Accent6 3 2 2 3" xfId="1166" xr:uid="{00000000-0005-0000-0000-000062040000}"/>
    <cellStyle name="40% - Accent6 3 2 2 4" xfId="1167" xr:uid="{00000000-0005-0000-0000-000063040000}"/>
    <cellStyle name="40% - Accent6 3 2 3" xfId="1168" xr:uid="{00000000-0005-0000-0000-000064040000}"/>
    <cellStyle name="40% - Accent6 3 2 3 2" xfId="1169" xr:uid="{00000000-0005-0000-0000-000065040000}"/>
    <cellStyle name="40% - Accent6 3 2 3 3" xfId="1170" xr:uid="{00000000-0005-0000-0000-000066040000}"/>
    <cellStyle name="40% - Accent6 3 2 4" xfId="1171" xr:uid="{00000000-0005-0000-0000-000067040000}"/>
    <cellStyle name="40% - Accent6 3 2 5" xfId="1172" xr:uid="{00000000-0005-0000-0000-000068040000}"/>
    <cellStyle name="40% - Accent6 3 3" xfId="1173" xr:uid="{00000000-0005-0000-0000-000069040000}"/>
    <cellStyle name="40% - Accent6 3 3 2" xfId="1174" xr:uid="{00000000-0005-0000-0000-00006A040000}"/>
    <cellStyle name="40% - Accent6 3 3 2 2" xfId="1175" xr:uid="{00000000-0005-0000-0000-00006B040000}"/>
    <cellStyle name="40% - Accent6 3 3 2 3" xfId="1176" xr:uid="{00000000-0005-0000-0000-00006C040000}"/>
    <cellStyle name="40% - Accent6 3 3 3" xfId="1177" xr:uid="{00000000-0005-0000-0000-00006D040000}"/>
    <cellStyle name="40% - Accent6 3 3 4" xfId="1178" xr:uid="{00000000-0005-0000-0000-00006E040000}"/>
    <cellStyle name="40% - Accent6 3 4" xfId="1179" xr:uid="{00000000-0005-0000-0000-00006F040000}"/>
    <cellStyle name="40% - Accent6 3 4 2" xfId="1180" xr:uid="{00000000-0005-0000-0000-000070040000}"/>
    <cellStyle name="40% - Accent6 3 4 3" xfId="1181" xr:uid="{00000000-0005-0000-0000-000071040000}"/>
    <cellStyle name="40% - Accent6 3 5" xfId="1182" xr:uid="{00000000-0005-0000-0000-000072040000}"/>
    <cellStyle name="40% - Accent6 3 6" xfId="1183" xr:uid="{00000000-0005-0000-0000-000073040000}"/>
    <cellStyle name="40% - Accent6 4" xfId="1184" xr:uid="{00000000-0005-0000-0000-000074040000}"/>
    <cellStyle name="40% - Accent6 4 2" xfId="1185" xr:uid="{00000000-0005-0000-0000-000075040000}"/>
    <cellStyle name="40% - Accent6 4 2 2" xfId="1186" xr:uid="{00000000-0005-0000-0000-000076040000}"/>
    <cellStyle name="40% - Accent6 4 2 2 2" xfId="1187" xr:uid="{00000000-0005-0000-0000-000077040000}"/>
    <cellStyle name="40% - Accent6 4 2 2 2 2" xfId="1188" xr:uid="{00000000-0005-0000-0000-000078040000}"/>
    <cellStyle name="40% - Accent6 4 2 2 2 3" xfId="1189" xr:uid="{00000000-0005-0000-0000-000079040000}"/>
    <cellStyle name="40% - Accent6 4 2 2 3" xfId="1190" xr:uid="{00000000-0005-0000-0000-00007A040000}"/>
    <cellStyle name="40% - Accent6 4 2 2 4" xfId="1191" xr:uid="{00000000-0005-0000-0000-00007B040000}"/>
    <cellStyle name="40% - Accent6 4 2 3" xfId="1192" xr:uid="{00000000-0005-0000-0000-00007C040000}"/>
    <cellStyle name="40% - Accent6 4 2 3 2" xfId="1193" xr:uid="{00000000-0005-0000-0000-00007D040000}"/>
    <cellStyle name="40% - Accent6 4 2 3 3" xfId="1194" xr:uid="{00000000-0005-0000-0000-00007E040000}"/>
    <cellStyle name="40% - Accent6 4 2 4" xfId="1195" xr:uid="{00000000-0005-0000-0000-00007F040000}"/>
    <cellStyle name="40% - Accent6 4 2 5" xfId="1196" xr:uid="{00000000-0005-0000-0000-000080040000}"/>
    <cellStyle name="40% - Accent6 4 3" xfId="1197" xr:uid="{00000000-0005-0000-0000-000081040000}"/>
    <cellStyle name="40% - Accent6 4 3 2" xfId="1198" xr:uid="{00000000-0005-0000-0000-000082040000}"/>
    <cellStyle name="40% - Accent6 4 3 2 2" xfId="1199" xr:uid="{00000000-0005-0000-0000-000083040000}"/>
    <cellStyle name="40% - Accent6 4 3 2 3" xfId="1200" xr:uid="{00000000-0005-0000-0000-000084040000}"/>
    <cellStyle name="40% - Accent6 4 3 3" xfId="1201" xr:uid="{00000000-0005-0000-0000-000085040000}"/>
    <cellStyle name="40% - Accent6 4 3 4" xfId="1202" xr:uid="{00000000-0005-0000-0000-000086040000}"/>
    <cellStyle name="40% - Accent6 4 4" xfId="1203" xr:uid="{00000000-0005-0000-0000-000087040000}"/>
    <cellStyle name="40% - Accent6 4 4 2" xfId="1204" xr:uid="{00000000-0005-0000-0000-000088040000}"/>
    <cellStyle name="40% - Accent6 4 4 3" xfId="1205" xr:uid="{00000000-0005-0000-0000-000089040000}"/>
    <cellStyle name="40% - Accent6 4 5" xfId="1206" xr:uid="{00000000-0005-0000-0000-00008A040000}"/>
    <cellStyle name="40% - Accent6 4 6" xfId="1207" xr:uid="{00000000-0005-0000-0000-00008B040000}"/>
    <cellStyle name="40% - Accent6 5" xfId="1208" xr:uid="{00000000-0005-0000-0000-00008C040000}"/>
    <cellStyle name="40% - Accent6 5 2" xfId="1209" xr:uid="{00000000-0005-0000-0000-00008D040000}"/>
    <cellStyle name="40% - Accent6 5 2 2" xfId="1210" xr:uid="{00000000-0005-0000-0000-00008E040000}"/>
    <cellStyle name="40% - Accent6 5 2 2 2" xfId="1211" xr:uid="{00000000-0005-0000-0000-00008F040000}"/>
    <cellStyle name="40% - Accent6 5 2 2 2 2" xfId="1212" xr:uid="{00000000-0005-0000-0000-000090040000}"/>
    <cellStyle name="40% - Accent6 5 2 2 2 3" xfId="1213" xr:uid="{00000000-0005-0000-0000-000091040000}"/>
    <cellStyle name="40% - Accent6 5 2 2 3" xfId="1214" xr:uid="{00000000-0005-0000-0000-000092040000}"/>
    <cellStyle name="40% - Accent6 5 2 2 4" xfId="1215" xr:uid="{00000000-0005-0000-0000-000093040000}"/>
    <cellStyle name="40% - Accent6 5 2 3" xfId="1216" xr:uid="{00000000-0005-0000-0000-000094040000}"/>
    <cellStyle name="40% - Accent6 5 2 3 2" xfId="1217" xr:uid="{00000000-0005-0000-0000-000095040000}"/>
    <cellStyle name="40% - Accent6 5 2 3 3" xfId="1218" xr:uid="{00000000-0005-0000-0000-000096040000}"/>
    <cellStyle name="40% - Accent6 5 2 4" xfId="1219" xr:uid="{00000000-0005-0000-0000-000097040000}"/>
    <cellStyle name="40% - Accent6 5 2 5" xfId="1220" xr:uid="{00000000-0005-0000-0000-000098040000}"/>
    <cellStyle name="40% - Accent6 5 3" xfId="1221" xr:uid="{00000000-0005-0000-0000-000099040000}"/>
    <cellStyle name="40% - Accent6 5 3 2" xfId="1222" xr:uid="{00000000-0005-0000-0000-00009A040000}"/>
    <cellStyle name="40% - Accent6 5 3 2 2" xfId="1223" xr:uid="{00000000-0005-0000-0000-00009B040000}"/>
    <cellStyle name="40% - Accent6 5 3 2 3" xfId="1224" xr:uid="{00000000-0005-0000-0000-00009C040000}"/>
    <cellStyle name="40% - Accent6 5 3 3" xfId="1225" xr:uid="{00000000-0005-0000-0000-00009D040000}"/>
    <cellStyle name="40% - Accent6 5 3 4" xfId="1226" xr:uid="{00000000-0005-0000-0000-00009E040000}"/>
    <cellStyle name="40% - Accent6 5 4" xfId="1227" xr:uid="{00000000-0005-0000-0000-00009F040000}"/>
    <cellStyle name="40% - Accent6 5 4 2" xfId="1228" xr:uid="{00000000-0005-0000-0000-0000A0040000}"/>
    <cellStyle name="40% - Accent6 5 4 3" xfId="1229" xr:uid="{00000000-0005-0000-0000-0000A1040000}"/>
    <cellStyle name="40% - Accent6 5 5" xfId="1230" xr:uid="{00000000-0005-0000-0000-0000A2040000}"/>
    <cellStyle name="40% - Accent6 5 6" xfId="1231" xr:uid="{00000000-0005-0000-0000-0000A3040000}"/>
    <cellStyle name="40% - Accent6 6" xfId="1232" xr:uid="{00000000-0005-0000-0000-0000A4040000}"/>
    <cellStyle name="40% - Accent6 7" xfId="1233" xr:uid="{00000000-0005-0000-0000-0000A5040000}"/>
    <cellStyle name="40% - Accent6 8" xfId="1234" xr:uid="{00000000-0005-0000-0000-0000A6040000}"/>
    <cellStyle name="40% - Accent6 9" xfId="1235" xr:uid="{00000000-0005-0000-0000-0000A7040000}"/>
    <cellStyle name="60% - Accent1" xfId="21909" builtinId="32" customBuiltin="1"/>
    <cellStyle name="60% - Accent1 2" xfId="1236" xr:uid="{00000000-0005-0000-0000-0000A9040000}"/>
    <cellStyle name="60% - Accent1 3" xfId="1237" xr:uid="{00000000-0005-0000-0000-0000AA040000}"/>
    <cellStyle name="60% - Accent1 4" xfId="1238" xr:uid="{00000000-0005-0000-0000-0000AB040000}"/>
    <cellStyle name="60% - Accent1 5" xfId="1239" xr:uid="{00000000-0005-0000-0000-0000AC040000}"/>
    <cellStyle name="60% - Accent1 6" xfId="1240" xr:uid="{00000000-0005-0000-0000-0000AD040000}"/>
    <cellStyle name="60% - Accent2" xfId="21913" builtinId="36" customBuiltin="1"/>
    <cellStyle name="60% - Accent2 2" xfId="1241" xr:uid="{00000000-0005-0000-0000-0000AF040000}"/>
    <cellStyle name="60% - Accent2 3" xfId="1242" xr:uid="{00000000-0005-0000-0000-0000B0040000}"/>
    <cellStyle name="60% - Accent2 4" xfId="1243" xr:uid="{00000000-0005-0000-0000-0000B1040000}"/>
    <cellStyle name="60% - Accent2 5" xfId="1244" xr:uid="{00000000-0005-0000-0000-0000B2040000}"/>
    <cellStyle name="60% - Accent3" xfId="21917" builtinId="40" customBuiltin="1"/>
    <cellStyle name="60% - Accent3 2" xfId="1245" xr:uid="{00000000-0005-0000-0000-0000B4040000}"/>
    <cellStyle name="60% - Accent3 3" xfId="1246" xr:uid="{00000000-0005-0000-0000-0000B5040000}"/>
    <cellStyle name="60% - Accent3 4" xfId="1247" xr:uid="{00000000-0005-0000-0000-0000B6040000}"/>
    <cellStyle name="60% - Accent3 5" xfId="1248" xr:uid="{00000000-0005-0000-0000-0000B7040000}"/>
    <cellStyle name="60% - Accent3 6" xfId="1249" xr:uid="{00000000-0005-0000-0000-0000B8040000}"/>
    <cellStyle name="60% - Accent4" xfId="21921" builtinId="44" customBuiltin="1"/>
    <cellStyle name="60% - Accent4 2" xfId="1250" xr:uid="{00000000-0005-0000-0000-0000BA040000}"/>
    <cellStyle name="60% - Accent4 3" xfId="1251" xr:uid="{00000000-0005-0000-0000-0000BB040000}"/>
    <cellStyle name="60% - Accent4 4" xfId="1252" xr:uid="{00000000-0005-0000-0000-0000BC040000}"/>
    <cellStyle name="60% - Accent4 5" xfId="1253" xr:uid="{00000000-0005-0000-0000-0000BD040000}"/>
    <cellStyle name="60% - Accent4 6" xfId="1254" xr:uid="{00000000-0005-0000-0000-0000BE040000}"/>
    <cellStyle name="60% - Accent5" xfId="21925" builtinId="48" customBuiltin="1"/>
    <cellStyle name="60% - Accent5 2" xfId="1255" xr:uid="{00000000-0005-0000-0000-0000C0040000}"/>
    <cellStyle name="60% - Accent5 3" xfId="1256" xr:uid="{00000000-0005-0000-0000-0000C1040000}"/>
    <cellStyle name="60% - Accent5 4" xfId="1257" xr:uid="{00000000-0005-0000-0000-0000C2040000}"/>
    <cellStyle name="60% - Accent5 5" xfId="1258" xr:uid="{00000000-0005-0000-0000-0000C3040000}"/>
    <cellStyle name="60% - Accent6" xfId="21929" builtinId="52" customBuiltin="1"/>
    <cellStyle name="60% - Accent6 2" xfId="1259" xr:uid="{00000000-0005-0000-0000-0000C5040000}"/>
    <cellStyle name="60% - Accent6 3" xfId="1260" xr:uid="{00000000-0005-0000-0000-0000C6040000}"/>
    <cellStyle name="60% - Accent6 4" xfId="1261" xr:uid="{00000000-0005-0000-0000-0000C7040000}"/>
    <cellStyle name="60% - Accent6 5" xfId="1262" xr:uid="{00000000-0005-0000-0000-0000C8040000}"/>
    <cellStyle name="60% - Accent6 6" xfId="1263" xr:uid="{00000000-0005-0000-0000-0000C9040000}"/>
    <cellStyle name="Accent1" xfId="21906" builtinId="29" customBuiltin="1"/>
    <cellStyle name="Accent1 2" xfId="1264" xr:uid="{00000000-0005-0000-0000-0000CB040000}"/>
    <cellStyle name="Accent1 3" xfId="1265" xr:uid="{00000000-0005-0000-0000-0000CC040000}"/>
    <cellStyle name="Accent1 4" xfId="1266" xr:uid="{00000000-0005-0000-0000-0000CD040000}"/>
    <cellStyle name="Accent1 5" xfId="1267" xr:uid="{00000000-0005-0000-0000-0000CE040000}"/>
    <cellStyle name="Accent1 6" xfId="1268" xr:uid="{00000000-0005-0000-0000-0000CF040000}"/>
    <cellStyle name="Accent2" xfId="21910" builtinId="33" customBuiltin="1"/>
    <cellStyle name="Accent2 2" xfId="1269" xr:uid="{00000000-0005-0000-0000-0000D1040000}"/>
    <cellStyle name="Accent2 3" xfId="1270" xr:uid="{00000000-0005-0000-0000-0000D2040000}"/>
    <cellStyle name="Accent2 4" xfId="1271" xr:uid="{00000000-0005-0000-0000-0000D3040000}"/>
    <cellStyle name="Accent2 5" xfId="1272" xr:uid="{00000000-0005-0000-0000-0000D4040000}"/>
    <cellStyle name="Accent2 6" xfId="1273" xr:uid="{00000000-0005-0000-0000-0000D5040000}"/>
    <cellStyle name="Accent3" xfId="21914" builtinId="37" customBuiltin="1"/>
    <cellStyle name="Accent3 2" xfId="1274" xr:uid="{00000000-0005-0000-0000-0000D7040000}"/>
    <cellStyle name="Accent3 3" xfId="1275" xr:uid="{00000000-0005-0000-0000-0000D8040000}"/>
    <cellStyle name="Accent3 4" xfId="1276" xr:uid="{00000000-0005-0000-0000-0000D9040000}"/>
    <cellStyle name="Accent3 5" xfId="1277" xr:uid="{00000000-0005-0000-0000-0000DA040000}"/>
    <cellStyle name="Accent3 6" xfId="1278" xr:uid="{00000000-0005-0000-0000-0000DB040000}"/>
    <cellStyle name="Accent4" xfId="21918" builtinId="41" customBuiltin="1"/>
    <cellStyle name="Accent4 2" xfId="1279" xr:uid="{00000000-0005-0000-0000-0000DD040000}"/>
    <cellStyle name="Accent4 3" xfId="1280" xr:uid="{00000000-0005-0000-0000-0000DE040000}"/>
    <cellStyle name="Accent4 4" xfId="1281" xr:uid="{00000000-0005-0000-0000-0000DF040000}"/>
    <cellStyle name="Accent4 5" xfId="1282" xr:uid="{00000000-0005-0000-0000-0000E0040000}"/>
    <cellStyle name="Accent4 6" xfId="1283" xr:uid="{00000000-0005-0000-0000-0000E1040000}"/>
    <cellStyle name="Accent5" xfId="21922" builtinId="45" customBuiltin="1"/>
    <cellStyle name="Accent5 2" xfId="1284" xr:uid="{00000000-0005-0000-0000-0000E3040000}"/>
    <cellStyle name="Accent5 3" xfId="1285" xr:uid="{00000000-0005-0000-0000-0000E4040000}"/>
    <cellStyle name="Accent5 4" xfId="1286" xr:uid="{00000000-0005-0000-0000-0000E5040000}"/>
    <cellStyle name="Accent5 5" xfId="1287" xr:uid="{00000000-0005-0000-0000-0000E6040000}"/>
    <cellStyle name="Accent6" xfId="21926" builtinId="49" customBuiltin="1"/>
    <cellStyle name="Accent6 2" xfId="1288" xr:uid="{00000000-0005-0000-0000-0000E8040000}"/>
    <cellStyle name="Accent6 3" xfId="1289" xr:uid="{00000000-0005-0000-0000-0000E9040000}"/>
    <cellStyle name="Accent6 4" xfId="1290" xr:uid="{00000000-0005-0000-0000-0000EA040000}"/>
    <cellStyle name="Accent6 5" xfId="1291" xr:uid="{00000000-0005-0000-0000-0000EB040000}"/>
    <cellStyle name="alarm" xfId="1292" xr:uid="{00000000-0005-0000-0000-0000EC040000}"/>
    <cellStyle name="assumption" xfId="1293" xr:uid="{00000000-0005-0000-0000-0000ED040000}"/>
    <cellStyle name="assumption 2" xfId="1294" xr:uid="{00000000-0005-0000-0000-0000EE040000}"/>
    <cellStyle name="Bad" xfId="21896" builtinId="27" customBuiltin="1"/>
    <cellStyle name="Bad 2" xfId="1295" xr:uid="{00000000-0005-0000-0000-0000F0040000}"/>
    <cellStyle name="Bad 3" xfId="1296" xr:uid="{00000000-0005-0000-0000-0000F1040000}"/>
    <cellStyle name="Bad 4" xfId="1297" xr:uid="{00000000-0005-0000-0000-0000F2040000}"/>
    <cellStyle name="Bad 5" xfId="1298" xr:uid="{00000000-0005-0000-0000-0000F3040000}"/>
    <cellStyle name="Bad 6" xfId="1299" xr:uid="{00000000-0005-0000-0000-0000F4040000}"/>
    <cellStyle name="Blank" xfId="1300" xr:uid="{00000000-0005-0000-0000-0000F5040000}"/>
    <cellStyle name="Calculation" xfId="21900" builtinId="22" customBuiltin="1"/>
    <cellStyle name="Calculation 2" xfId="1301" xr:uid="{00000000-0005-0000-0000-0000F7040000}"/>
    <cellStyle name="Calculation 3" xfId="1302" xr:uid="{00000000-0005-0000-0000-0000F8040000}"/>
    <cellStyle name="Calculation 4" xfId="1303" xr:uid="{00000000-0005-0000-0000-0000F9040000}"/>
    <cellStyle name="Calculation 5" xfId="1304" xr:uid="{00000000-0005-0000-0000-0000FA040000}"/>
    <cellStyle name="Calculation 6" xfId="1305" xr:uid="{00000000-0005-0000-0000-0000FB040000}"/>
    <cellStyle name="Calculation 6 2" xfId="1306" xr:uid="{00000000-0005-0000-0000-0000FC040000}"/>
    <cellStyle name="Calculation 6 2 2" xfId="1307" xr:uid="{00000000-0005-0000-0000-0000FD040000}"/>
    <cellStyle name="Calculation 6 3" xfId="1308" xr:uid="{00000000-0005-0000-0000-0000FE040000}"/>
    <cellStyle name="Calculation 6 3 2" xfId="1309" xr:uid="{00000000-0005-0000-0000-0000FF040000}"/>
    <cellStyle name="Calculation 6 4" xfId="1310" xr:uid="{00000000-0005-0000-0000-000000050000}"/>
    <cellStyle name="Calculation 6 4 2" xfId="1311" xr:uid="{00000000-0005-0000-0000-000001050000}"/>
    <cellStyle name="Calculation 6 5" xfId="1312" xr:uid="{00000000-0005-0000-0000-000002050000}"/>
    <cellStyle name="Calculation 6 5 2" xfId="1313" xr:uid="{00000000-0005-0000-0000-000003050000}"/>
    <cellStyle name="Calculation 6 6" xfId="1314" xr:uid="{00000000-0005-0000-0000-000004050000}"/>
    <cellStyle name="Centered Heading" xfId="1315" xr:uid="{00000000-0005-0000-0000-000005050000}"/>
    <cellStyle name="Centered Heading 2" xfId="1316" xr:uid="{00000000-0005-0000-0000-000006050000}"/>
    <cellStyle name="Centered Heading 3" xfId="1317" xr:uid="{00000000-0005-0000-0000-000007050000}"/>
    <cellStyle name="Check Cell" xfId="21902" builtinId="23" customBuiltin="1"/>
    <cellStyle name="Check Cell 2" xfId="1318" xr:uid="{00000000-0005-0000-0000-000009050000}"/>
    <cellStyle name="Check Cell 3" xfId="1319" xr:uid="{00000000-0005-0000-0000-00000A050000}"/>
    <cellStyle name="Check Cell 4" xfId="1320" xr:uid="{00000000-0005-0000-0000-00000B050000}"/>
    <cellStyle name="Check Cell 5" xfId="1321" xr:uid="{00000000-0005-0000-0000-00000C050000}"/>
    <cellStyle name="Column Header" xfId="1322" xr:uid="{00000000-0005-0000-0000-00000D050000}"/>
    <cellStyle name="ColumnAttributeAbovePrompt" xfId="1323" xr:uid="{00000000-0005-0000-0000-00000E050000}"/>
    <cellStyle name="ColumnAttributePrompt" xfId="1324" xr:uid="{00000000-0005-0000-0000-00000F050000}"/>
    <cellStyle name="ColumnAttributeValue" xfId="1325" xr:uid="{00000000-0005-0000-0000-000010050000}"/>
    <cellStyle name="ColumnHeadingPrompt" xfId="1326" xr:uid="{00000000-0005-0000-0000-000011050000}"/>
    <cellStyle name="ColumnHeadingValue" xfId="1327" xr:uid="{00000000-0005-0000-0000-000012050000}"/>
    <cellStyle name="Comma" xfId="1" builtinId="3"/>
    <cellStyle name="Comma [0] 2" xfId="17" xr:uid="{00000000-0005-0000-0000-000014050000}"/>
    <cellStyle name="Comma [0] 2 2" xfId="1328" xr:uid="{00000000-0005-0000-0000-000015050000}"/>
    <cellStyle name="Comma [0] 2 3" xfId="1329" xr:uid="{00000000-0005-0000-0000-000016050000}"/>
    <cellStyle name="Comma [0] 3" xfId="1330" xr:uid="{00000000-0005-0000-0000-000017050000}"/>
    <cellStyle name="Comma [0] 4" xfId="1331" xr:uid="{00000000-0005-0000-0000-000018050000}"/>
    <cellStyle name="Comma [0] 5" xfId="1332" xr:uid="{00000000-0005-0000-0000-000019050000}"/>
    <cellStyle name="Comma [0] 6" xfId="1333" xr:uid="{00000000-0005-0000-0000-00001A050000}"/>
    <cellStyle name="Comma [0] 7" xfId="1334" xr:uid="{00000000-0005-0000-0000-00001B050000}"/>
    <cellStyle name="Comma [0] 8" xfId="1335" xr:uid="{00000000-0005-0000-0000-00001C050000}"/>
    <cellStyle name="Comma [0] 9" xfId="1336" xr:uid="{00000000-0005-0000-0000-00001D050000}"/>
    <cellStyle name="Comma 0" xfId="1337" xr:uid="{00000000-0005-0000-0000-00001E050000}"/>
    <cellStyle name="Comma 0.0" xfId="1338" xr:uid="{00000000-0005-0000-0000-00001F050000}"/>
    <cellStyle name="Comma 0.00" xfId="1339" xr:uid="{00000000-0005-0000-0000-000020050000}"/>
    <cellStyle name="Comma 0.000" xfId="1340" xr:uid="{00000000-0005-0000-0000-000021050000}"/>
    <cellStyle name="Comma 10" xfId="1341" xr:uid="{00000000-0005-0000-0000-000022050000}"/>
    <cellStyle name="Comma 10 2" xfId="53" xr:uid="{00000000-0005-0000-0000-000023050000}"/>
    <cellStyle name="Comma 10 2 2" xfId="1342" xr:uid="{00000000-0005-0000-0000-000024050000}"/>
    <cellStyle name="Comma 10 2 3" xfId="1343" xr:uid="{00000000-0005-0000-0000-000025050000}"/>
    <cellStyle name="Comma 10 3" xfId="1344" xr:uid="{00000000-0005-0000-0000-000026050000}"/>
    <cellStyle name="Comma 10 4" xfId="1345" xr:uid="{00000000-0005-0000-0000-000027050000}"/>
    <cellStyle name="Comma 10 5" xfId="1346" xr:uid="{00000000-0005-0000-0000-000028050000}"/>
    <cellStyle name="Comma 100" xfId="1347" xr:uid="{00000000-0005-0000-0000-000029050000}"/>
    <cellStyle name="Comma 101" xfId="1348" xr:uid="{00000000-0005-0000-0000-00002A050000}"/>
    <cellStyle name="Comma 102" xfId="1349" xr:uid="{00000000-0005-0000-0000-00002B050000}"/>
    <cellStyle name="Comma 103" xfId="1350" xr:uid="{00000000-0005-0000-0000-00002C050000}"/>
    <cellStyle name="Comma 104" xfId="1351" xr:uid="{00000000-0005-0000-0000-00002D050000}"/>
    <cellStyle name="Comma 105" xfId="1352" xr:uid="{00000000-0005-0000-0000-00002E050000}"/>
    <cellStyle name="Comma 106" xfId="1353" xr:uid="{00000000-0005-0000-0000-00002F050000}"/>
    <cellStyle name="Comma 107" xfId="1354" xr:uid="{00000000-0005-0000-0000-000030050000}"/>
    <cellStyle name="Comma 108" xfId="1355" xr:uid="{00000000-0005-0000-0000-000031050000}"/>
    <cellStyle name="Comma 109" xfId="1356" xr:uid="{00000000-0005-0000-0000-000032050000}"/>
    <cellStyle name="Comma 11" xfId="1357" xr:uid="{00000000-0005-0000-0000-000033050000}"/>
    <cellStyle name="Comma 11 2" xfId="1358" xr:uid="{00000000-0005-0000-0000-000034050000}"/>
    <cellStyle name="Comma 11 3" xfId="1359" xr:uid="{00000000-0005-0000-0000-000035050000}"/>
    <cellStyle name="Comma 11 3 2" xfId="1360" xr:uid="{00000000-0005-0000-0000-000036050000}"/>
    <cellStyle name="Comma 11 3 3" xfId="1361" xr:uid="{00000000-0005-0000-0000-000037050000}"/>
    <cellStyle name="Comma 11 4" xfId="1362" xr:uid="{00000000-0005-0000-0000-000038050000}"/>
    <cellStyle name="Comma 11 5" xfId="1363" xr:uid="{00000000-0005-0000-0000-000039050000}"/>
    <cellStyle name="Comma 11 6" xfId="1364" xr:uid="{00000000-0005-0000-0000-00003A050000}"/>
    <cellStyle name="Comma 110" xfId="1365" xr:uid="{00000000-0005-0000-0000-00003B050000}"/>
    <cellStyle name="Comma 111" xfId="1366" xr:uid="{00000000-0005-0000-0000-00003C050000}"/>
    <cellStyle name="Comma 112" xfId="1367" xr:uid="{00000000-0005-0000-0000-00003D050000}"/>
    <cellStyle name="Comma 113" xfId="1368" xr:uid="{00000000-0005-0000-0000-00003E050000}"/>
    <cellStyle name="Comma 114" xfId="1369" xr:uid="{00000000-0005-0000-0000-00003F050000}"/>
    <cellStyle name="Comma 115" xfId="1370" xr:uid="{00000000-0005-0000-0000-000040050000}"/>
    <cellStyle name="Comma 116" xfId="1371" xr:uid="{00000000-0005-0000-0000-000041050000}"/>
    <cellStyle name="Comma 117" xfId="1372" xr:uid="{00000000-0005-0000-0000-000042050000}"/>
    <cellStyle name="Comma 118" xfId="1373" xr:uid="{00000000-0005-0000-0000-000043050000}"/>
    <cellStyle name="Comma 119" xfId="1374" xr:uid="{00000000-0005-0000-0000-000044050000}"/>
    <cellStyle name="Comma 12" xfId="1375" xr:uid="{00000000-0005-0000-0000-000045050000}"/>
    <cellStyle name="Comma 12 2" xfId="1376" xr:uid="{00000000-0005-0000-0000-000046050000}"/>
    <cellStyle name="Comma 12 2 2" xfId="1377" xr:uid="{00000000-0005-0000-0000-000047050000}"/>
    <cellStyle name="Comma 12 2 3" xfId="1378" xr:uid="{00000000-0005-0000-0000-000048050000}"/>
    <cellStyle name="Comma 12 3" xfId="1379" xr:uid="{00000000-0005-0000-0000-000049050000}"/>
    <cellStyle name="Comma 120" xfId="1380" xr:uid="{00000000-0005-0000-0000-00004A050000}"/>
    <cellStyle name="Comma 121" xfId="1381" xr:uid="{00000000-0005-0000-0000-00004B050000}"/>
    <cellStyle name="Comma 122" xfId="1382" xr:uid="{00000000-0005-0000-0000-00004C050000}"/>
    <cellStyle name="Comma 123" xfId="1383" xr:uid="{00000000-0005-0000-0000-00004D050000}"/>
    <cellStyle name="Comma 124" xfId="1384" xr:uid="{00000000-0005-0000-0000-00004E050000}"/>
    <cellStyle name="Comma 125" xfId="1385" xr:uid="{00000000-0005-0000-0000-00004F050000}"/>
    <cellStyle name="Comma 126" xfId="1386" xr:uid="{00000000-0005-0000-0000-000050050000}"/>
    <cellStyle name="Comma 127" xfId="1387" xr:uid="{00000000-0005-0000-0000-000051050000}"/>
    <cellStyle name="Comma 128" xfId="1388" xr:uid="{00000000-0005-0000-0000-000052050000}"/>
    <cellStyle name="Comma 129" xfId="1389" xr:uid="{00000000-0005-0000-0000-000053050000}"/>
    <cellStyle name="Comma 13" xfId="1390" xr:uid="{00000000-0005-0000-0000-000054050000}"/>
    <cellStyle name="Comma 13 2" xfId="1391" xr:uid="{00000000-0005-0000-0000-000055050000}"/>
    <cellStyle name="Comma 13 2 2" xfId="1392" xr:uid="{00000000-0005-0000-0000-000056050000}"/>
    <cellStyle name="Comma 13 2 3" xfId="1393" xr:uid="{00000000-0005-0000-0000-000057050000}"/>
    <cellStyle name="Comma 130" xfId="1394" xr:uid="{00000000-0005-0000-0000-000058050000}"/>
    <cellStyle name="Comma 131" xfId="1395" xr:uid="{00000000-0005-0000-0000-000059050000}"/>
    <cellStyle name="Comma 132" xfId="1396" xr:uid="{00000000-0005-0000-0000-00005A050000}"/>
    <cellStyle name="Comma 133" xfId="1397" xr:uid="{00000000-0005-0000-0000-00005B050000}"/>
    <cellStyle name="Comma 134" xfId="1398" xr:uid="{00000000-0005-0000-0000-00005C050000}"/>
    <cellStyle name="Comma 135" xfId="1399" xr:uid="{00000000-0005-0000-0000-00005D050000}"/>
    <cellStyle name="Comma 136" xfId="1400" xr:uid="{00000000-0005-0000-0000-00005E050000}"/>
    <cellStyle name="Comma 137" xfId="1401" xr:uid="{00000000-0005-0000-0000-00005F050000}"/>
    <cellStyle name="Comma 138" xfId="1402" xr:uid="{00000000-0005-0000-0000-000060050000}"/>
    <cellStyle name="Comma 139" xfId="1403" xr:uid="{00000000-0005-0000-0000-000061050000}"/>
    <cellStyle name="Comma 14" xfId="1404" xr:uid="{00000000-0005-0000-0000-000062050000}"/>
    <cellStyle name="Comma 140" xfId="1405" xr:uid="{00000000-0005-0000-0000-000063050000}"/>
    <cellStyle name="Comma 141" xfId="1406" xr:uid="{00000000-0005-0000-0000-000064050000}"/>
    <cellStyle name="Comma 141 2" xfId="1407" xr:uid="{00000000-0005-0000-0000-000065050000}"/>
    <cellStyle name="Comma 141 2 2" xfId="1408" xr:uid="{00000000-0005-0000-0000-000066050000}"/>
    <cellStyle name="Comma 141 2 2 2" xfId="1409" xr:uid="{00000000-0005-0000-0000-000067050000}"/>
    <cellStyle name="Comma 141 2 3" xfId="1410" xr:uid="{00000000-0005-0000-0000-000068050000}"/>
    <cellStyle name="Comma 141 3" xfId="1411" xr:uid="{00000000-0005-0000-0000-000069050000}"/>
    <cellStyle name="Comma 141 3 2" xfId="1412" xr:uid="{00000000-0005-0000-0000-00006A050000}"/>
    <cellStyle name="Comma 141 4" xfId="1413" xr:uid="{00000000-0005-0000-0000-00006B050000}"/>
    <cellStyle name="Comma 141 4 2" xfId="1414" xr:uid="{00000000-0005-0000-0000-00006C050000}"/>
    <cellStyle name="Comma 141 5" xfId="1415" xr:uid="{00000000-0005-0000-0000-00006D050000}"/>
    <cellStyle name="Comma 142" xfId="1416" xr:uid="{00000000-0005-0000-0000-00006E050000}"/>
    <cellStyle name="Comma 142 2" xfId="1417" xr:uid="{00000000-0005-0000-0000-00006F050000}"/>
    <cellStyle name="Comma 142 2 2" xfId="1418" xr:uid="{00000000-0005-0000-0000-000070050000}"/>
    <cellStyle name="Comma 142 2 2 2" xfId="1419" xr:uid="{00000000-0005-0000-0000-000071050000}"/>
    <cellStyle name="Comma 142 2 3" xfId="1420" xr:uid="{00000000-0005-0000-0000-000072050000}"/>
    <cellStyle name="Comma 142 3" xfId="1421" xr:uid="{00000000-0005-0000-0000-000073050000}"/>
    <cellStyle name="Comma 142 3 2" xfId="1422" xr:uid="{00000000-0005-0000-0000-000074050000}"/>
    <cellStyle name="Comma 142 4" xfId="1423" xr:uid="{00000000-0005-0000-0000-000075050000}"/>
    <cellStyle name="Comma 142 4 2" xfId="1424" xr:uid="{00000000-0005-0000-0000-000076050000}"/>
    <cellStyle name="Comma 142 5" xfId="1425" xr:uid="{00000000-0005-0000-0000-000077050000}"/>
    <cellStyle name="Comma 143" xfId="1426" xr:uid="{00000000-0005-0000-0000-000078050000}"/>
    <cellStyle name="Comma 143 2" xfId="1427" xr:uid="{00000000-0005-0000-0000-000079050000}"/>
    <cellStyle name="Comma 143 2 2" xfId="1428" xr:uid="{00000000-0005-0000-0000-00007A050000}"/>
    <cellStyle name="Comma 143 2 2 2" xfId="1429" xr:uid="{00000000-0005-0000-0000-00007B050000}"/>
    <cellStyle name="Comma 143 2 2 2 2" xfId="1430" xr:uid="{00000000-0005-0000-0000-00007C050000}"/>
    <cellStyle name="Comma 143 2 2 2 3" xfId="1431" xr:uid="{00000000-0005-0000-0000-00007D050000}"/>
    <cellStyle name="Comma 143 2 2 3" xfId="1432" xr:uid="{00000000-0005-0000-0000-00007E050000}"/>
    <cellStyle name="Comma 143 2 2 4" xfId="1433" xr:uid="{00000000-0005-0000-0000-00007F050000}"/>
    <cellStyle name="Comma 143 2 3" xfId="1434" xr:uid="{00000000-0005-0000-0000-000080050000}"/>
    <cellStyle name="Comma 143 2 3 2" xfId="1435" xr:uid="{00000000-0005-0000-0000-000081050000}"/>
    <cellStyle name="Comma 143 2 3 3" xfId="1436" xr:uid="{00000000-0005-0000-0000-000082050000}"/>
    <cellStyle name="Comma 143 2 4" xfId="1437" xr:uid="{00000000-0005-0000-0000-000083050000}"/>
    <cellStyle name="Comma 143 2 5" xfId="1438" xr:uid="{00000000-0005-0000-0000-000084050000}"/>
    <cellStyle name="Comma 143 3" xfId="1439" xr:uid="{00000000-0005-0000-0000-000085050000}"/>
    <cellStyle name="Comma 143 3 2" xfId="1440" xr:uid="{00000000-0005-0000-0000-000086050000}"/>
    <cellStyle name="Comma 143 3 2 2" xfId="1441" xr:uid="{00000000-0005-0000-0000-000087050000}"/>
    <cellStyle name="Comma 143 3 2 3" xfId="1442" xr:uid="{00000000-0005-0000-0000-000088050000}"/>
    <cellStyle name="Comma 143 3 3" xfId="1443" xr:uid="{00000000-0005-0000-0000-000089050000}"/>
    <cellStyle name="Comma 143 3 4" xfId="1444" xr:uid="{00000000-0005-0000-0000-00008A050000}"/>
    <cellStyle name="Comma 143 4" xfId="1445" xr:uid="{00000000-0005-0000-0000-00008B050000}"/>
    <cellStyle name="Comma 143 4 2" xfId="1446" xr:uid="{00000000-0005-0000-0000-00008C050000}"/>
    <cellStyle name="Comma 143 4 3" xfId="1447" xr:uid="{00000000-0005-0000-0000-00008D050000}"/>
    <cellStyle name="Comma 143 5" xfId="1448" xr:uid="{00000000-0005-0000-0000-00008E050000}"/>
    <cellStyle name="Comma 143 6" xfId="1449" xr:uid="{00000000-0005-0000-0000-00008F050000}"/>
    <cellStyle name="Comma 144" xfId="1450" xr:uid="{00000000-0005-0000-0000-000090050000}"/>
    <cellStyle name="Comma 144 2" xfId="1451" xr:uid="{00000000-0005-0000-0000-000091050000}"/>
    <cellStyle name="Comma 144 2 2" xfId="1452" xr:uid="{00000000-0005-0000-0000-000092050000}"/>
    <cellStyle name="Comma 144 2 2 2" xfId="1453" xr:uid="{00000000-0005-0000-0000-000093050000}"/>
    <cellStyle name="Comma 144 2 2 2 2" xfId="1454" xr:uid="{00000000-0005-0000-0000-000094050000}"/>
    <cellStyle name="Comma 144 2 2 2 3" xfId="1455" xr:uid="{00000000-0005-0000-0000-000095050000}"/>
    <cellStyle name="Comma 144 2 2 3" xfId="1456" xr:uid="{00000000-0005-0000-0000-000096050000}"/>
    <cellStyle name="Comma 144 2 2 4" xfId="1457" xr:uid="{00000000-0005-0000-0000-000097050000}"/>
    <cellStyle name="Comma 144 2 3" xfId="1458" xr:uid="{00000000-0005-0000-0000-000098050000}"/>
    <cellStyle name="Comma 144 2 3 2" xfId="1459" xr:uid="{00000000-0005-0000-0000-000099050000}"/>
    <cellStyle name="Comma 144 2 3 3" xfId="1460" xr:uid="{00000000-0005-0000-0000-00009A050000}"/>
    <cellStyle name="Comma 144 2 4" xfId="1461" xr:uid="{00000000-0005-0000-0000-00009B050000}"/>
    <cellStyle name="Comma 144 2 5" xfId="1462" xr:uid="{00000000-0005-0000-0000-00009C050000}"/>
    <cellStyle name="Comma 144 3" xfId="1463" xr:uid="{00000000-0005-0000-0000-00009D050000}"/>
    <cellStyle name="Comma 144 3 2" xfId="1464" xr:uid="{00000000-0005-0000-0000-00009E050000}"/>
    <cellStyle name="Comma 144 3 2 2" xfId="1465" xr:uid="{00000000-0005-0000-0000-00009F050000}"/>
    <cellStyle name="Comma 144 3 2 3" xfId="1466" xr:uid="{00000000-0005-0000-0000-0000A0050000}"/>
    <cellStyle name="Comma 144 3 3" xfId="1467" xr:uid="{00000000-0005-0000-0000-0000A1050000}"/>
    <cellStyle name="Comma 144 3 4" xfId="1468" xr:uid="{00000000-0005-0000-0000-0000A2050000}"/>
    <cellStyle name="Comma 144 4" xfId="1469" xr:uid="{00000000-0005-0000-0000-0000A3050000}"/>
    <cellStyle name="Comma 144 4 2" xfId="1470" xr:uid="{00000000-0005-0000-0000-0000A4050000}"/>
    <cellStyle name="Comma 144 4 3" xfId="1471" xr:uid="{00000000-0005-0000-0000-0000A5050000}"/>
    <cellStyle name="Comma 144 5" xfId="1472" xr:uid="{00000000-0005-0000-0000-0000A6050000}"/>
    <cellStyle name="Comma 144 6" xfId="1473" xr:uid="{00000000-0005-0000-0000-0000A7050000}"/>
    <cellStyle name="Comma 145" xfId="1474" xr:uid="{00000000-0005-0000-0000-0000A8050000}"/>
    <cellStyle name="Comma 145 2" xfId="1475" xr:uid="{00000000-0005-0000-0000-0000A9050000}"/>
    <cellStyle name="Comma 145 2 2" xfId="1476" xr:uid="{00000000-0005-0000-0000-0000AA050000}"/>
    <cellStyle name="Comma 145 2 2 2" xfId="1477" xr:uid="{00000000-0005-0000-0000-0000AB050000}"/>
    <cellStyle name="Comma 145 2 2 2 2" xfId="1478" xr:uid="{00000000-0005-0000-0000-0000AC050000}"/>
    <cellStyle name="Comma 145 2 2 2 3" xfId="1479" xr:uid="{00000000-0005-0000-0000-0000AD050000}"/>
    <cellStyle name="Comma 145 2 2 3" xfId="1480" xr:uid="{00000000-0005-0000-0000-0000AE050000}"/>
    <cellStyle name="Comma 145 2 2 4" xfId="1481" xr:uid="{00000000-0005-0000-0000-0000AF050000}"/>
    <cellStyle name="Comma 145 2 3" xfId="1482" xr:uid="{00000000-0005-0000-0000-0000B0050000}"/>
    <cellStyle name="Comma 145 2 3 2" xfId="1483" xr:uid="{00000000-0005-0000-0000-0000B1050000}"/>
    <cellStyle name="Comma 145 2 3 3" xfId="1484" xr:uid="{00000000-0005-0000-0000-0000B2050000}"/>
    <cellStyle name="Comma 145 2 4" xfId="1485" xr:uid="{00000000-0005-0000-0000-0000B3050000}"/>
    <cellStyle name="Comma 145 2 5" xfId="1486" xr:uid="{00000000-0005-0000-0000-0000B4050000}"/>
    <cellStyle name="Comma 145 3" xfId="1487" xr:uid="{00000000-0005-0000-0000-0000B5050000}"/>
    <cellStyle name="Comma 145 3 2" xfId="1488" xr:uid="{00000000-0005-0000-0000-0000B6050000}"/>
    <cellStyle name="Comma 145 3 2 2" xfId="1489" xr:uid="{00000000-0005-0000-0000-0000B7050000}"/>
    <cellStyle name="Comma 145 3 2 3" xfId="1490" xr:uid="{00000000-0005-0000-0000-0000B8050000}"/>
    <cellStyle name="Comma 145 3 3" xfId="1491" xr:uid="{00000000-0005-0000-0000-0000B9050000}"/>
    <cellStyle name="Comma 145 3 4" xfId="1492" xr:uid="{00000000-0005-0000-0000-0000BA050000}"/>
    <cellStyle name="Comma 145 4" xfId="1493" xr:uid="{00000000-0005-0000-0000-0000BB050000}"/>
    <cellStyle name="Comma 145 4 2" xfId="1494" xr:uid="{00000000-0005-0000-0000-0000BC050000}"/>
    <cellStyle name="Comma 145 4 3" xfId="1495" xr:uid="{00000000-0005-0000-0000-0000BD050000}"/>
    <cellStyle name="Comma 145 5" xfId="1496" xr:uid="{00000000-0005-0000-0000-0000BE050000}"/>
    <cellStyle name="Comma 145 6" xfId="1497" xr:uid="{00000000-0005-0000-0000-0000BF050000}"/>
    <cellStyle name="Comma 146" xfId="1498" xr:uid="{00000000-0005-0000-0000-0000C0050000}"/>
    <cellStyle name="Comma 146 2" xfId="1499" xr:uid="{00000000-0005-0000-0000-0000C1050000}"/>
    <cellStyle name="Comma 146 2 2" xfId="1500" xr:uid="{00000000-0005-0000-0000-0000C2050000}"/>
    <cellStyle name="Comma 146 2 2 2" xfId="1501" xr:uid="{00000000-0005-0000-0000-0000C3050000}"/>
    <cellStyle name="Comma 146 2 2 2 2" xfId="1502" xr:uid="{00000000-0005-0000-0000-0000C4050000}"/>
    <cellStyle name="Comma 146 2 2 2 3" xfId="1503" xr:uid="{00000000-0005-0000-0000-0000C5050000}"/>
    <cellStyle name="Comma 146 2 2 3" xfId="1504" xr:uid="{00000000-0005-0000-0000-0000C6050000}"/>
    <cellStyle name="Comma 146 2 2 4" xfId="1505" xr:uid="{00000000-0005-0000-0000-0000C7050000}"/>
    <cellStyle name="Comma 146 2 3" xfId="1506" xr:uid="{00000000-0005-0000-0000-0000C8050000}"/>
    <cellStyle name="Comma 146 2 3 2" xfId="1507" xr:uid="{00000000-0005-0000-0000-0000C9050000}"/>
    <cellStyle name="Comma 146 2 3 3" xfId="1508" xr:uid="{00000000-0005-0000-0000-0000CA050000}"/>
    <cellStyle name="Comma 146 2 4" xfId="1509" xr:uid="{00000000-0005-0000-0000-0000CB050000}"/>
    <cellStyle name="Comma 146 2 5" xfId="1510" xr:uid="{00000000-0005-0000-0000-0000CC050000}"/>
    <cellStyle name="Comma 146 3" xfId="1511" xr:uid="{00000000-0005-0000-0000-0000CD050000}"/>
    <cellStyle name="Comma 146 3 2" xfId="1512" xr:uid="{00000000-0005-0000-0000-0000CE050000}"/>
    <cellStyle name="Comma 146 3 2 2" xfId="1513" xr:uid="{00000000-0005-0000-0000-0000CF050000}"/>
    <cellStyle name="Comma 146 3 2 3" xfId="1514" xr:uid="{00000000-0005-0000-0000-0000D0050000}"/>
    <cellStyle name="Comma 146 3 3" xfId="1515" xr:uid="{00000000-0005-0000-0000-0000D1050000}"/>
    <cellStyle name="Comma 146 3 4" xfId="1516" xr:uid="{00000000-0005-0000-0000-0000D2050000}"/>
    <cellStyle name="Comma 146 4" xfId="1517" xr:uid="{00000000-0005-0000-0000-0000D3050000}"/>
    <cellStyle name="Comma 146 4 2" xfId="1518" xr:uid="{00000000-0005-0000-0000-0000D4050000}"/>
    <cellStyle name="Comma 146 4 3" xfId="1519" xr:uid="{00000000-0005-0000-0000-0000D5050000}"/>
    <cellStyle name="Comma 146 5" xfId="1520" xr:uid="{00000000-0005-0000-0000-0000D6050000}"/>
    <cellStyle name="Comma 146 6" xfId="1521" xr:uid="{00000000-0005-0000-0000-0000D7050000}"/>
    <cellStyle name="Comma 147" xfId="1522" xr:uid="{00000000-0005-0000-0000-0000D8050000}"/>
    <cellStyle name="Comma 147 2" xfId="1523" xr:uid="{00000000-0005-0000-0000-0000D9050000}"/>
    <cellStyle name="Comma 147 2 2" xfId="1524" xr:uid="{00000000-0005-0000-0000-0000DA050000}"/>
    <cellStyle name="Comma 147 2 2 2" xfId="1525" xr:uid="{00000000-0005-0000-0000-0000DB050000}"/>
    <cellStyle name="Comma 147 2 2 2 2" xfId="1526" xr:uid="{00000000-0005-0000-0000-0000DC050000}"/>
    <cellStyle name="Comma 147 2 2 2 3" xfId="1527" xr:uid="{00000000-0005-0000-0000-0000DD050000}"/>
    <cellStyle name="Comma 147 2 2 3" xfId="1528" xr:uid="{00000000-0005-0000-0000-0000DE050000}"/>
    <cellStyle name="Comma 147 2 2 4" xfId="1529" xr:uid="{00000000-0005-0000-0000-0000DF050000}"/>
    <cellStyle name="Comma 147 2 3" xfId="1530" xr:uid="{00000000-0005-0000-0000-0000E0050000}"/>
    <cellStyle name="Comma 147 2 3 2" xfId="1531" xr:uid="{00000000-0005-0000-0000-0000E1050000}"/>
    <cellStyle name="Comma 147 2 3 3" xfId="1532" xr:uid="{00000000-0005-0000-0000-0000E2050000}"/>
    <cellStyle name="Comma 147 2 4" xfId="1533" xr:uid="{00000000-0005-0000-0000-0000E3050000}"/>
    <cellStyle name="Comma 147 2 5" xfId="1534" xr:uid="{00000000-0005-0000-0000-0000E4050000}"/>
    <cellStyle name="Comma 147 3" xfId="1535" xr:uid="{00000000-0005-0000-0000-0000E5050000}"/>
    <cellStyle name="Comma 147 3 2" xfId="1536" xr:uid="{00000000-0005-0000-0000-0000E6050000}"/>
    <cellStyle name="Comma 147 3 2 2" xfId="1537" xr:uid="{00000000-0005-0000-0000-0000E7050000}"/>
    <cellStyle name="Comma 147 3 2 3" xfId="1538" xr:uid="{00000000-0005-0000-0000-0000E8050000}"/>
    <cellStyle name="Comma 147 3 3" xfId="1539" xr:uid="{00000000-0005-0000-0000-0000E9050000}"/>
    <cellStyle name="Comma 147 3 4" xfId="1540" xr:uid="{00000000-0005-0000-0000-0000EA050000}"/>
    <cellStyle name="Comma 147 4" xfId="1541" xr:uid="{00000000-0005-0000-0000-0000EB050000}"/>
    <cellStyle name="Comma 147 4 2" xfId="1542" xr:uid="{00000000-0005-0000-0000-0000EC050000}"/>
    <cellStyle name="Comma 147 4 3" xfId="1543" xr:uid="{00000000-0005-0000-0000-0000ED050000}"/>
    <cellStyle name="Comma 147 5" xfId="1544" xr:uid="{00000000-0005-0000-0000-0000EE050000}"/>
    <cellStyle name="Comma 147 6" xfId="1545" xr:uid="{00000000-0005-0000-0000-0000EF050000}"/>
    <cellStyle name="Comma 148" xfId="1546" xr:uid="{00000000-0005-0000-0000-0000F0050000}"/>
    <cellStyle name="Comma 148 2" xfId="1547" xr:uid="{00000000-0005-0000-0000-0000F1050000}"/>
    <cellStyle name="Comma 148 2 2" xfId="1548" xr:uid="{00000000-0005-0000-0000-0000F2050000}"/>
    <cellStyle name="Comma 148 2 2 2" xfId="1549" xr:uid="{00000000-0005-0000-0000-0000F3050000}"/>
    <cellStyle name="Comma 148 2 2 2 2" xfId="1550" xr:uid="{00000000-0005-0000-0000-0000F4050000}"/>
    <cellStyle name="Comma 148 2 2 2 3" xfId="1551" xr:uid="{00000000-0005-0000-0000-0000F5050000}"/>
    <cellStyle name="Comma 148 2 2 3" xfId="1552" xr:uid="{00000000-0005-0000-0000-0000F6050000}"/>
    <cellStyle name="Comma 148 2 2 4" xfId="1553" xr:uid="{00000000-0005-0000-0000-0000F7050000}"/>
    <cellStyle name="Comma 148 2 3" xfId="1554" xr:uid="{00000000-0005-0000-0000-0000F8050000}"/>
    <cellStyle name="Comma 148 2 3 2" xfId="1555" xr:uid="{00000000-0005-0000-0000-0000F9050000}"/>
    <cellStyle name="Comma 148 2 3 3" xfId="1556" xr:uid="{00000000-0005-0000-0000-0000FA050000}"/>
    <cellStyle name="Comma 148 2 4" xfId="1557" xr:uid="{00000000-0005-0000-0000-0000FB050000}"/>
    <cellStyle name="Comma 148 2 5" xfId="1558" xr:uid="{00000000-0005-0000-0000-0000FC050000}"/>
    <cellStyle name="Comma 148 3" xfId="1559" xr:uid="{00000000-0005-0000-0000-0000FD050000}"/>
    <cellStyle name="Comma 148 3 2" xfId="1560" xr:uid="{00000000-0005-0000-0000-0000FE050000}"/>
    <cellStyle name="Comma 148 3 2 2" xfId="1561" xr:uid="{00000000-0005-0000-0000-0000FF050000}"/>
    <cellStyle name="Comma 148 3 2 3" xfId="1562" xr:uid="{00000000-0005-0000-0000-000000060000}"/>
    <cellStyle name="Comma 148 3 3" xfId="1563" xr:uid="{00000000-0005-0000-0000-000001060000}"/>
    <cellStyle name="Comma 148 3 4" xfId="1564" xr:uid="{00000000-0005-0000-0000-000002060000}"/>
    <cellStyle name="Comma 148 4" xfId="1565" xr:uid="{00000000-0005-0000-0000-000003060000}"/>
    <cellStyle name="Comma 148 4 2" xfId="1566" xr:uid="{00000000-0005-0000-0000-000004060000}"/>
    <cellStyle name="Comma 148 4 3" xfId="1567" xr:uid="{00000000-0005-0000-0000-000005060000}"/>
    <cellStyle name="Comma 148 5" xfId="1568" xr:uid="{00000000-0005-0000-0000-000006060000}"/>
    <cellStyle name="Comma 148 6" xfId="1569" xr:uid="{00000000-0005-0000-0000-000007060000}"/>
    <cellStyle name="Comma 149" xfId="1570" xr:uid="{00000000-0005-0000-0000-000008060000}"/>
    <cellStyle name="Comma 149 2" xfId="1571" xr:uid="{00000000-0005-0000-0000-000009060000}"/>
    <cellStyle name="Comma 149 2 2" xfId="1572" xr:uid="{00000000-0005-0000-0000-00000A060000}"/>
    <cellStyle name="Comma 149 2 2 2" xfId="1573" xr:uid="{00000000-0005-0000-0000-00000B060000}"/>
    <cellStyle name="Comma 149 2 2 2 2" xfId="1574" xr:uid="{00000000-0005-0000-0000-00000C060000}"/>
    <cellStyle name="Comma 149 2 2 2 3" xfId="1575" xr:uid="{00000000-0005-0000-0000-00000D060000}"/>
    <cellStyle name="Comma 149 2 2 3" xfId="1576" xr:uid="{00000000-0005-0000-0000-00000E060000}"/>
    <cellStyle name="Comma 149 2 2 4" xfId="1577" xr:uid="{00000000-0005-0000-0000-00000F060000}"/>
    <cellStyle name="Comma 149 2 3" xfId="1578" xr:uid="{00000000-0005-0000-0000-000010060000}"/>
    <cellStyle name="Comma 149 2 3 2" xfId="1579" xr:uid="{00000000-0005-0000-0000-000011060000}"/>
    <cellStyle name="Comma 149 2 3 3" xfId="1580" xr:uid="{00000000-0005-0000-0000-000012060000}"/>
    <cellStyle name="Comma 149 2 4" xfId="1581" xr:uid="{00000000-0005-0000-0000-000013060000}"/>
    <cellStyle name="Comma 149 2 5" xfId="1582" xr:uid="{00000000-0005-0000-0000-000014060000}"/>
    <cellStyle name="Comma 149 3" xfId="1583" xr:uid="{00000000-0005-0000-0000-000015060000}"/>
    <cellStyle name="Comma 149 3 2" xfId="1584" xr:uid="{00000000-0005-0000-0000-000016060000}"/>
    <cellStyle name="Comma 149 3 2 2" xfId="1585" xr:uid="{00000000-0005-0000-0000-000017060000}"/>
    <cellStyle name="Comma 149 3 2 3" xfId="1586" xr:uid="{00000000-0005-0000-0000-000018060000}"/>
    <cellStyle name="Comma 149 3 3" xfId="1587" xr:uid="{00000000-0005-0000-0000-000019060000}"/>
    <cellStyle name="Comma 149 3 4" xfId="1588" xr:uid="{00000000-0005-0000-0000-00001A060000}"/>
    <cellStyle name="Comma 149 4" xfId="1589" xr:uid="{00000000-0005-0000-0000-00001B060000}"/>
    <cellStyle name="Comma 149 4 2" xfId="1590" xr:uid="{00000000-0005-0000-0000-00001C060000}"/>
    <cellStyle name="Comma 149 4 3" xfId="1591" xr:uid="{00000000-0005-0000-0000-00001D060000}"/>
    <cellStyle name="Comma 149 5" xfId="1592" xr:uid="{00000000-0005-0000-0000-00001E060000}"/>
    <cellStyle name="Comma 149 6" xfId="1593" xr:uid="{00000000-0005-0000-0000-00001F060000}"/>
    <cellStyle name="Comma 15" xfId="1594" xr:uid="{00000000-0005-0000-0000-000020060000}"/>
    <cellStyle name="Comma 15 2" xfId="1595" xr:uid="{00000000-0005-0000-0000-000021060000}"/>
    <cellStyle name="Comma 150" xfId="1596" xr:uid="{00000000-0005-0000-0000-000022060000}"/>
    <cellStyle name="Comma 150 2" xfId="1597" xr:uid="{00000000-0005-0000-0000-000023060000}"/>
    <cellStyle name="Comma 150 2 2" xfId="1598" xr:uid="{00000000-0005-0000-0000-000024060000}"/>
    <cellStyle name="Comma 150 2 2 2" xfId="1599" xr:uid="{00000000-0005-0000-0000-000025060000}"/>
    <cellStyle name="Comma 150 2 2 2 2" xfId="1600" xr:uid="{00000000-0005-0000-0000-000026060000}"/>
    <cellStyle name="Comma 150 2 2 2 3" xfId="1601" xr:uid="{00000000-0005-0000-0000-000027060000}"/>
    <cellStyle name="Comma 150 2 2 3" xfId="1602" xr:uid="{00000000-0005-0000-0000-000028060000}"/>
    <cellStyle name="Comma 150 2 2 4" xfId="1603" xr:uid="{00000000-0005-0000-0000-000029060000}"/>
    <cellStyle name="Comma 150 2 3" xfId="1604" xr:uid="{00000000-0005-0000-0000-00002A060000}"/>
    <cellStyle name="Comma 150 2 3 2" xfId="1605" xr:uid="{00000000-0005-0000-0000-00002B060000}"/>
    <cellStyle name="Comma 150 2 3 3" xfId="1606" xr:uid="{00000000-0005-0000-0000-00002C060000}"/>
    <cellStyle name="Comma 150 2 4" xfId="1607" xr:uid="{00000000-0005-0000-0000-00002D060000}"/>
    <cellStyle name="Comma 150 2 5" xfId="1608" xr:uid="{00000000-0005-0000-0000-00002E060000}"/>
    <cellStyle name="Comma 150 3" xfId="1609" xr:uid="{00000000-0005-0000-0000-00002F060000}"/>
    <cellStyle name="Comma 150 3 2" xfId="1610" xr:uid="{00000000-0005-0000-0000-000030060000}"/>
    <cellStyle name="Comma 150 3 2 2" xfId="1611" xr:uid="{00000000-0005-0000-0000-000031060000}"/>
    <cellStyle name="Comma 150 3 2 3" xfId="1612" xr:uid="{00000000-0005-0000-0000-000032060000}"/>
    <cellStyle name="Comma 150 3 3" xfId="1613" xr:uid="{00000000-0005-0000-0000-000033060000}"/>
    <cellStyle name="Comma 150 3 4" xfId="1614" xr:uid="{00000000-0005-0000-0000-000034060000}"/>
    <cellStyle name="Comma 150 4" xfId="1615" xr:uid="{00000000-0005-0000-0000-000035060000}"/>
    <cellStyle name="Comma 150 4 2" xfId="1616" xr:uid="{00000000-0005-0000-0000-000036060000}"/>
    <cellStyle name="Comma 150 4 3" xfId="1617" xr:uid="{00000000-0005-0000-0000-000037060000}"/>
    <cellStyle name="Comma 150 5" xfId="1618" xr:uid="{00000000-0005-0000-0000-000038060000}"/>
    <cellStyle name="Comma 150 6" xfId="1619" xr:uid="{00000000-0005-0000-0000-000039060000}"/>
    <cellStyle name="Comma 151" xfId="1620" xr:uid="{00000000-0005-0000-0000-00003A060000}"/>
    <cellStyle name="Comma 151 2" xfId="1621" xr:uid="{00000000-0005-0000-0000-00003B060000}"/>
    <cellStyle name="Comma 151 2 2" xfId="1622" xr:uid="{00000000-0005-0000-0000-00003C060000}"/>
    <cellStyle name="Comma 151 2 2 2" xfId="1623" xr:uid="{00000000-0005-0000-0000-00003D060000}"/>
    <cellStyle name="Comma 151 2 2 2 2" xfId="1624" xr:uid="{00000000-0005-0000-0000-00003E060000}"/>
    <cellStyle name="Comma 151 2 2 2 3" xfId="1625" xr:uid="{00000000-0005-0000-0000-00003F060000}"/>
    <cellStyle name="Comma 151 2 2 3" xfId="1626" xr:uid="{00000000-0005-0000-0000-000040060000}"/>
    <cellStyle name="Comma 151 2 2 4" xfId="1627" xr:uid="{00000000-0005-0000-0000-000041060000}"/>
    <cellStyle name="Comma 151 2 3" xfId="1628" xr:uid="{00000000-0005-0000-0000-000042060000}"/>
    <cellStyle name="Comma 151 2 3 2" xfId="1629" xr:uid="{00000000-0005-0000-0000-000043060000}"/>
    <cellStyle name="Comma 151 2 3 3" xfId="1630" xr:uid="{00000000-0005-0000-0000-000044060000}"/>
    <cellStyle name="Comma 151 2 4" xfId="1631" xr:uid="{00000000-0005-0000-0000-000045060000}"/>
    <cellStyle name="Comma 151 2 5" xfId="1632" xr:uid="{00000000-0005-0000-0000-000046060000}"/>
    <cellStyle name="Comma 151 3" xfId="1633" xr:uid="{00000000-0005-0000-0000-000047060000}"/>
    <cellStyle name="Comma 151 3 2" xfId="1634" xr:uid="{00000000-0005-0000-0000-000048060000}"/>
    <cellStyle name="Comma 151 3 2 2" xfId="1635" xr:uid="{00000000-0005-0000-0000-000049060000}"/>
    <cellStyle name="Comma 151 3 2 3" xfId="1636" xr:uid="{00000000-0005-0000-0000-00004A060000}"/>
    <cellStyle name="Comma 151 3 3" xfId="1637" xr:uid="{00000000-0005-0000-0000-00004B060000}"/>
    <cellStyle name="Comma 151 3 4" xfId="1638" xr:uid="{00000000-0005-0000-0000-00004C060000}"/>
    <cellStyle name="Comma 151 4" xfId="1639" xr:uid="{00000000-0005-0000-0000-00004D060000}"/>
    <cellStyle name="Comma 151 4 2" xfId="1640" xr:uid="{00000000-0005-0000-0000-00004E060000}"/>
    <cellStyle name="Comma 151 4 3" xfId="1641" xr:uid="{00000000-0005-0000-0000-00004F060000}"/>
    <cellStyle name="Comma 151 5" xfId="1642" xr:uid="{00000000-0005-0000-0000-000050060000}"/>
    <cellStyle name="Comma 151 6" xfId="1643" xr:uid="{00000000-0005-0000-0000-000051060000}"/>
    <cellStyle name="Comma 152" xfId="1644" xr:uid="{00000000-0005-0000-0000-000052060000}"/>
    <cellStyle name="Comma 152 2" xfId="1645" xr:uid="{00000000-0005-0000-0000-000053060000}"/>
    <cellStyle name="Comma 152 2 2" xfId="1646" xr:uid="{00000000-0005-0000-0000-000054060000}"/>
    <cellStyle name="Comma 152 2 2 2" xfId="1647" xr:uid="{00000000-0005-0000-0000-000055060000}"/>
    <cellStyle name="Comma 152 2 2 2 2" xfId="1648" xr:uid="{00000000-0005-0000-0000-000056060000}"/>
    <cellStyle name="Comma 152 2 2 2 3" xfId="1649" xr:uid="{00000000-0005-0000-0000-000057060000}"/>
    <cellStyle name="Comma 152 2 2 3" xfId="1650" xr:uid="{00000000-0005-0000-0000-000058060000}"/>
    <cellStyle name="Comma 152 2 2 4" xfId="1651" xr:uid="{00000000-0005-0000-0000-000059060000}"/>
    <cellStyle name="Comma 152 2 3" xfId="1652" xr:uid="{00000000-0005-0000-0000-00005A060000}"/>
    <cellStyle name="Comma 152 2 3 2" xfId="1653" xr:uid="{00000000-0005-0000-0000-00005B060000}"/>
    <cellStyle name="Comma 152 2 3 3" xfId="1654" xr:uid="{00000000-0005-0000-0000-00005C060000}"/>
    <cellStyle name="Comma 152 2 4" xfId="1655" xr:uid="{00000000-0005-0000-0000-00005D060000}"/>
    <cellStyle name="Comma 152 2 5" xfId="1656" xr:uid="{00000000-0005-0000-0000-00005E060000}"/>
    <cellStyle name="Comma 152 3" xfId="1657" xr:uid="{00000000-0005-0000-0000-00005F060000}"/>
    <cellStyle name="Comma 152 3 2" xfId="1658" xr:uid="{00000000-0005-0000-0000-000060060000}"/>
    <cellStyle name="Comma 152 3 2 2" xfId="1659" xr:uid="{00000000-0005-0000-0000-000061060000}"/>
    <cellStyle name="Comma 152 3 2 3" xfId="1660" xr:uid="{00000000-0005-0000-0000-000062060000}"/>
    <cellStyle name="Comma 152 3 3" xfId="1661" xr:uid="{00000000-0005-0000-0000-000063060000}"/>
    <cellStyle name="Comma 152 3 4" xfId="1662" xr:uid="{00000000-0005-0000-0000-000064060000}"/>
    <cellStyle name="Comma 152 4" xfId="1663" xr:uid="{00000000-0005-0000-0000-000065060000}"/>
    <cellStyle name="Comma 152 4 2" xfId="1664" xr:uid="{00000000-0005-0000-0000-000066060000}"/>
    <cellStyle name="Comma 152 4 3" xfId="1665" xr:uid="{00000000-0005-0000-0000-000067060000}"/>
    <cellStyle name="Comma 152 5" xfId="1666" xr:uid="{00000000-0005-0000-0000-000068060000}"/>
    <cellStyle name="Comma 152 6" xfId="1667" xr:uid="{00000000-0005-0000-0000-000069060000}"/>
    <cellStyle name="Comma 153" xfId="1668" xr:uid="{00000000-0005-0000-0000-00006A060000}"/>
    <cellStyle name="Comma 153 2" xfId="1669" xr:uid="{00000000-0005-0000-0000-00006B060000}"/>
    <cellStyle name="Comma 153 2 2" xfId="1670" xr:uid="{00000000-0005-0000-0000-00006C060000}"/>
    <cellStyle name="Comma 153 2 2 2" xfId="1671" xr:uid="{00000000-0005-0000-0000-00006D060000}"/>
    <cellStyle name="Comma 153 2 2 2 2" xfId="1672" xr:uid="{00000000-0005-0000-0000-00006E060000}"/>
    <cellStyle name="Comma 153 2 2 2 3" xfId="1673" xr:uid="{00000000-0005-0000-0000-00006F060000}"/>
    <cellStyle name="Comma 153 2 2 3" xfId="1674" xr:uid="{00000000-0005-0000-0000-000070060000}"/>
    <cellStyle name="Comma 153 2 2 4" xfId="1675" xr:uid="{00000000-0005-0000-0000-000071060000}"/>
    <cellStyle name="Comma 153 2 3" xfId="1676" xr:uid="{00000000-0005-0000-0000-000072060000}"/>
    <cellStyle name="Comma 153 2 3 2" xfId="1677" xr:uid="{00000000-0005-0000-0000-000073060000}"/>
    <cellStyle name="Comma 153 2 3 3" xfId="1678" xr:uid="{00000000-0005-0000-0000-000074060000}"/>
    <cellStyle name="Comma 153 2 4" xfId="1679" xr:uid="{00000000-0005-0000-0000-000075060000}"/>
    <cellStyle name="Comma 153 2 5" xfId="1680" xr:uid="{00000000-0005-0000-0000-000076060000}"/>
    <cellStyle name="Comma 153 3" xfId="1681" xr:uid="{00000000-0005-0000-0000-000077060000}"/>
    <cellStyle name="Comma 153 3 2" xfId="1682" xr:uid="{00000000-0005-0000-0000-000078060000}"/>
    <cellStyle name="Comma 153 3 2 2" xfId="1683" xr:uid="{00000000-0005-0000-0000-000079060000}"/>
    <cellStyle name="Comma 153 3 2 3" xfId="1684" xr:uid="{00000000-0005-0000-0000-00007A060000}"/>
    <cellStyle name="Comma 153 3 3" xfId="1685" xr:uid="{00000000-0005-0000-0000-00007B060000}"/>
    <cellStyle name="Comma 153 3 4" xfId="1686" xr:uid="{00000000-0005-0000-0000-00007C060000}"/>
    <cellStyle name="Comma 153 4" xfId="1687" xr:uid="{00000000-0005-0000-0000-00007D060000}"/>
    <cellStyle name="Comma 153 4 2" xfId="1688" xr:uid="{00000000-0005-0000-0000-00007E060000}"/>
    <cellStyle name="Comma 153 4 3" xfId="1689" xr:uid="{00000000-0005-0000-0000-00007F060000}"/>
    <cellStyle name="Comma 153 5" xfId="1690" xr:uid="{00000000-0005-0000-0000-000080060000}"/>
    <cellStyle name="Comma 153 6" xfId="1691" xr:uid="{00000000-0005-0000-0000-000081060000}"/>
    <cellStyle name="Comma 154" xfId="1692" xr:uid="{00000000-0005-0000-0000-000082060000}"/>
    <cellStyle name="Comma 154 2" xfId="1693" xr:uid="{00000000-0005-0000-0000-000083060000}"/>
    <cellStyle name="Comma 155" xfId="1694" xr:uid="{00000000-0005-0000-0000-000084060000}"/>
    <cellStyle name="Comma 155 2" xfId="1695" xr:uid="{00000000-0005-0000-0000-000085060000}"/>
    <cellStyle name="Comma 156" xfId="1696" xr:uid="{00000000-0005-0000-0000-000086060000}"/>
    <cellStyle name="Comma 156 2" xfId="1697" xr:uid="{00000000-0005-0000-0000-000087060000}"/>
    <cellStyle name="Comma 157" xfId="1698" xr:uid="{00000000-0005-0000-0000-000088060000}"/>
    <cellStyle name="Comma 158" xfId="1699" xr:uid="{00000000-0005-0000-0000-000089060000}"/>
    <cellStyle name="Comma 159" xfId="1700" xr:uid="{00000000-0005-0000-0000-00008A060000}"/>
    <cellStyle name="Comma 16" xfId="1701" xr:uid="{00000000-0005-0000-0000-00008B060000}"/>
    <cellStyle name="Comma 160" xfId="1702" xr:uid="{00000000-0005-0000-0000-00008C060000}"/>
    <cellStyle name="Comma 161" xfId="1703" xr:uid="{00000000-0005-0000-0000-00008D060000}"/>
    <cellStyle name="Comma 162" xfId="1704" xr:uid="{00000000-0005-0000-0000-00008E060000}"/>
    <cellStyle name="Comma 163" xfId="1705" xr:uid="{00000000-0005-0000-0000-00008F060000}"/>
    <cellStyle name="Comma 164" xfId="1706" xr:uid="{00000000-0005-0000-0000-000090060000}"/>
    <cellStyle name="Comma 165" xfId="1707" xr:uid="{00000000-0005-0000-0000-000091060000}"/>
    <cellStyle name="Comma 166" xfId="1708" xr:uid="{00000000-0005-0000-0000-000092060000}"/>
    <cellStyle name="Comma 167" xfId="1709" xr:uid="{00000000-0005-0000-0000-000093060000}"/>
    <cellStyle name="Comma 168" xfId="1710" xr:uid="{00000000-0005-0000-0000-000094060000}"/>
    <cellStyle name="Comma 169" xfId="1711" xr:uid="{00000000-0005-0000-0000-000095060000}"/>
    <cellStyle name="Comma 17" xfId="1712" xr:uid="{00000000-0005-0000-0000-000096060000}"/>
    <cellStyle name="Comma 170" xfId="1713" xr:uid="{00000000-0005-0000-0000-000097060000}"/>
    <cellStyle name="Comma 171" xfId="1714" xr:uid="{00000000-0005-0000-0000-000098060000}"/>
    <cellStyle name="Comma 172" xfId="1715" xr:uid="{00000000-0005-0000-0000-000099060000}"/>
    <cellStyle name="Comma 173" xfId="1716" xr:uid="{00000000-0005-0000-0000-00009A060000}"/>
    <cellStyle name="Comma 174" xfId="1717" xr:uid="{00000000-0005-0000-0000-00009B060000}"/>
    <cellStyle name="Comma 175" xfId="1718" xr:uid="{00000000-0005-0000-0000-00009C060000}"/>
    <cellStyle name="Comma 176" xfId="1719" xr:uid="{00000000-0005-0000-0000-00009D060000}"/>
    <cellStyle name="Comma 177" xfId="1720" xr:uid="{00000000-0005-0000-0000-00009E060000}"/>
    <cellStyle name="Comma 178" xfId="1721" xr:uid="{00000000-0005-0000-0000-00009F060000}"/>
    <cellStyle name="Comma 179" xfId="1722" xr:uid="{00000000-0005-0000-0000-0000A0060000}"/>
    <cellStyle name="Comma 18" xfId="1723" xr:uid="{00000000-0005-0000-0000-0000A1060000}"/>
    <cellStyle name="Comma 180" xfId="1724" xr:uid="{00000000-0005-0000-0000-0000A2060000}"/>
    <cellStyle name="Comma 181" xfId="1725" xr:uid="{00000000-0005-0000-0000-0000A3060000}"/>
    <cellStyle name="Comma 182" xfId="1726" xr:uid="{00000000-0005-0000-0000-0000A4060000}"/>
    <cellStyle name="Comma 182 2" xfId="1727" xr:uid="{00000000-0005-0000-0000-0000A5060000}"/>
    <cellStyle name="Comma 182 2 2" xfId="1728" xr:uid="{00000000-0005-0000-0000-0000A6060000}"/>
    <cellStyle name="Comma 182 2 2 2" xfId="1729" xr:uid="{00000000-0005-0000-0000-0000A7060000}"/>
    <cellStyle name="Comma 182 2 2 2 2" xfId="1730" xr:uid="{00000000-0005-0000-0000-0000A8060000}"/>
    <cellStyle name="Comma 182 2 2 2 3" xfId="1731" xr:uid="{00000000-0005-0000-0000-0000A9060000}"/>
    <cellStyle name="Comma 182 2 2 3" xfId="1732" xr:uid="{00000000-0005-0000-0000-0000AA060000}"/>
    <cellStyle name="Comma 182 2 2 4" xfId="1733" xr:uid="{00000000-0005-0000-0000-0000AB060000}"/>
    <cellStyle name="Comma 182 2 3" xfId="1734" xr:uid="{00000000-0005-0000-0000-0000AC060000}"/>
    <cellStyle name="Comma 182 2 3 2" xfId="1735" xr:uid="{00000000-0005-0000-0000-0000AD060000}"/>
    <cellStyle name="Comma 182 2 3 3" xfId="1736" xr:uid="{00000000-0005-0000-0000-0000AE060000}"/>
    <cellStyle name="Comma 182 2 4" xfId="1737" xr:uid="{00000000-0005-0000-0000-0000AF060000}"/>
    <cellStyle name="Comma 182 2 5" xfId="1738" xr:uid="{00000000-0005-0000-0000-0000B0060000}"/>
    <cellStyle name="Comma 182 3" xfId="1739" xr:uid="{00000000-0005-0000-0000-0000B1060000}"/>
    <cellStyle name="Comma 182 3 2" xfId="1740" xr:uid="{00000000-0005-0000-0000-0000B2060000}"/>
    <cellStyle name="Comma 182 3 2 2" xfId="1741" xr:uid="{00000000-0005-0000-0000-0000B3060000}"/>
    <cellStyle name="Comma 182 3 2 3" xfId="1742" xr:uid="{00000000-0005-0000-0000-0000B4060000}"/>
    <cellStyle name="Comma 182 3 3" xfId="1743" xr:uid="{00000000-0005-0000-0000-0000B5060000}"/>
    <cellStyle name="Comma 182 3 4" xfId="1744" xr:uid="{00000000-0005-0000-0000-0000B6060000}"/>
    <cellStyle name="Comma 182 4" xfId="1745" xr:uid="{00000000-0005-0000-0000-0000B7060000}"/>
    <cellStyle name="Comma 182 4 2" xfId="1746" xr:uid="{00000000-0005-0000-0000-0000B8060000}"/>
    <cellStyle name="Comma 182 4 3" xfId="1747" xr:uid="{00000000-0005-0000-0000-0000B9060000}"/>
    <cellStyle name="Comma 182 5" xfId="1748" xr:uid="{00000000-0005-0000-0000-0000BA060000}"/>
    <cellStyle name="Comma 182 6" xfId="1749" xr:uid="{00000000-0005-0000-0000-0000BB060000}"/>
    <cellStyle name="Comma 183" xfId="1750" xr:uid="{00000000-0005-0000-0000-0000BC060000}"/>
    <cellStyle name="Comma 184" xfId="1751" xr:uid="{00000000-0005-0000-0000-0000BD060000}"/>
    <cellStyle name="Comma 185" xfId="1752" xr:uid="{00000000-0005-0000-0000-0000BE060000}"/>
    <cellStyle name="Comma 186" xfId="1753" xr:uid="{00000000-0005-0000-0000-0000BF060000}"/>
    <cellStyle name="Comma 186 2" xfId="1754" xr:uid="{00000000-0005-0000-0000-0000C0060000}"/>
    <cellStyle name="Comma 186 2 2" xfId="1755" xr:uid="{00000000-0005-0000-0000-0000C1060000}"/>
    <cellStyle name="Comma 186 2 2 2" xfId="1756" xr:uid="{00000000-0005-0000-0000-0000C2060000}"/>
    <cellStyle name="Comma 186 2 2 2 2" xfId="1757" xr:uid="{00000000-0005-0000-0000-0000C3060000}"/>
    <cellStyle name="Comma 186 2 2 2 3" xfId="1758" xr:uid="{00000000-0005-0000-0000-0000C4060000}"/>
    <cellStyle name="Comma 186 2 2 3" xfId="1759" xr:uid="{00000000-0005-0000-0000-0000C5060000}"/>
    <cellStyle name="Comma 186 2 2 4" xfId="1760" xr:uid="{00000000-0005-0000-0000-0000C6060000}"/>
    <cellStyle name="Comma 186 2 3" xfId="1761" xr:uid="{00000000-0005-0000-0000-0000C7060000}"/>
    <cellStyle name="Comma 186 2 3 2" xfId="1762" xr:uid="{00000000-0005-0000-0000-0000C8060000}"/>
    <cellStyle name="Comma 186 2 3 3" xfId="1763" xr:uid="{00000000-0005-0000-0000-0000C9060000}"/>
    <cellStyle name="Comma 186 2 4" xfId="1764" xr:uid="{00000000-0005-0000-0000-0000CA060000}"/>
    <cellStyle name="Comma 186 2 5" xfId="1765" xr:uid="{00000000-0005-0000-0000-0000CB060000}"/>
    <cellStyle name="Comma 186 3" xfId="1766" xr:uid="{00000000-0005-0000-0000-0000CC060000}"/>
    <cellStyle name="Comma 186 3 2" xfId="1767" xr:uid="{00000000-0005-0000-0000-0000CD060000}"/>
    <cellStyle name="Comma 186 3 2 2" xfId="1768" xr:uid="{00000000-0005-0000-0000-0000CE060000}"/>
    <cellStyle name="Comma 186 3 2 3" xfId="1769" xr:uid="{00000000-0005-0000-0000-0000CF060000}"/>
    <cellStyle name="Comma 186 3 3" xfId="1770" xr:uid="{00000000-0005-0000-0000-0000D0060000}"/>
    <cellStyle name="Comma 186 3 4" xfId="1771" xr:uid="{00000000-0005-0000-0000-0000D1060000}"/>
    <cellStyle name="Comma 186 4" xfId="1772" xr:uid="{00000000-0005-0000-0000-0000D2060000}"/>
    <cellStyle name="Comma 186 4 2" xfId="1773" xr:uid="{00000000-0005-0000-0000-0000D3060000}"/>
    <cellStyle name="Comma 186 4 3" xfId="1774" xr:uid="{00000000-0005-0000-0000-0000D4060000}"/>
    <cellStyle name="Comma 186 5" xfId="1775" xr:uid="{00000000-0005-0000-0000-0000D5060000}"/>
    <cellStyle name="Comma 186 6" xfId="1776" xr:uid="{00000000-0005-0000-0000-0000D6060000}"/>
    <cellStyle name="Comma 187" xfId="1777" xr:uid="{00000000-0005-0000-0000-0000D7060000}"/>
    <cellStyle name="Comma 187 2" xfId="1778" xr:uid="{00000000-0005-0000-0000-0000D8060000}"/>
    <cellStyle name="Comma 187 3" xfId="1779" xr:uid="{00000000-0005-0000-0000-0000D9060000}"/>
    <cellStyle name="Comma 187 3 2" xfId="1780" xr:uid="{00000000-0005-0000-0000-0000DA060000}"/>
    <cellStyle name="Comma 187 3 2 2" xfId="1781" xr:uid="{00000000-0005-0000-0000-0000DB060000}"/>
    <cellStyle name="Comma 187 3 2 3" xfId="1782" xr:uid="{00000000-0005-0000-0000-0000DC060000}"/>
    <cellStyle name="Comma 187 3 3" xfId="1783" xr:uid="{00000000-0005-0000-0000-0000DD060000}"/>
    <cellStyle name="Comma 187 3 4" xfId="1784" xr:uid="{00000000-0005-0000-0000-0000DE060000}"/>
    <cellStyle name="Comma 187 4" xfId="1785" xr:uid="{00000000-0005-0000-0000-0000DF060000}"/>
    <cellStyle name="Comma 187 4 2" xfId="1786" xr:uid="{00000000-0005-0000-0000-0000E0060000}"/>
    <cellStyle name="Comma 187 4 3" xfId="1787" xr:uid="{00000000-0005-0000-0000-0000E1060000}"/>
    <cellStyle name="Comma 187 5" xfId="1788" xr:uid="{00000000-0005-0000-0000-0000E2060000}"/>
    <cellStyle name="Comma 187 6" xfId="1789" xr:uid="{00000000-0005-0000-0000-0000E3060000}"/>
    <cellStyle name="Comma 188" xfId="1790" xr:uid="{00000000-0005-0000-0000-0000E4060000}"/>
    <cellStyle name="Comma 189" xfId="1791" xr:uid="{00000000-0005-0000-0000-0000E5060000}"/>
    <cellStyle name="Comma 19" xfId="1792" xr:uid="{00000000-0005-0000-0000-0000E6060000}"/>
    <cellStyle name="Comma 190" xfId="1793" xr:uid="{00000000-0005-0000-0000-0000E7060000}"/>
    <cellStyle name="Comma 191" xfId="1794" xr:uid="{00000000-0005-0000-0000-0000E8060000}"/>
    <cellStyle name="Comma 192" xfId="1795" xr:uid="{00000000-0005-0000-0000-0000E9060000}"/>
    <cellStyle name="Comma 193" xfId="1796" xr:uid="{00000000-0005-0000-0000-0000EA060000}"/>
    <cellStyle name="Comma 194" xfId="1797" xr:uid="{00000000-0005-0000-0000-0000EB060000}"/>
    <cellStyle name="Comma 195" xfId="1798" xr:uid="{00000000-0005-0000-0000-0000EC060000}"/>
    <cellStyle name="Comma 196" xfId="1799" xr:uid="{00000000-0005-0000-0000-0000ED060000}"/>
    <cellStyle name="Comma 197" xfId="1800" xr:uid="{00000000-0005-0000-0000-0000EE060000}"/>
    <cellStyle name="Comma 198" xfId="1801" xr:uid="{00000000-0005-0000-0000-0000EF060000}"/>
    <cellStyle name="Comma 199" xfId="1802" xr:uid="{00000000-0005-0000-0000-0000F0060000}"/>
    <cellStyle name="Comma 2" xfId="11" xr:uid="{00000000-0005-0000-0000-0000F1060000}"/>
    <cellStyle name="Comma 2 10" xfId="1803" xr:uid="{00000000-0005-0000-0000-0000F2060000}"/>
    <cellStyle name="Comma 2 10 2" xfId="1804" xr:uid="{00000000-0005-0000-0000-0000F3060000}"/>
    <cellStyle name="Comma 2 10 3" xfId="1805" xr:uid="{00000000-0005-0000-0000-0000F4060000}"/>
    <cellStyle name="Comma 2 11" xfId="1806" xr:uid="{00000000-0005-0000-0000-0000F5060000}"/>
    <cellStyle name="Comma 2 11 2" xfId="1807" xr:uid="{00000000-0005-0000-0000-0000F6060000}"/>
    <cellStyle name="Comma 2 11 3" xfId="1808" xr:uid="{00000000-0005-0000-0000-0000F7060000}"/>
    <cellStyle name="Comma 2 12" xfId="1809" xr:uid="{00000000-0005-0000-0000-0000F8060000}"/>
    <cellStyle name="Comma 2 12 2" xfId="1810" xr:uid="{00000000-0005-0000-0000-0000F9060000}"/>
    <cellStyle name="Comma 2 12 3" xfId="1811" xr:uid="{00000000-0005-0000-0000-0000FA060000}"/>
    <cellStyle name="Comma 2 13" xfId="1812" xr:uid="{00000000-0005-0000-0000-0000FB060000}"/>
    <cellStyle name="Comma 2 13 2" xfId="1813" xr:uid="{00000000-0005-0000-0000-0000FC060000}"/>
    <cellStyle name="Comma 2 13 3" xfId="1814" xr:uid="{00000000-0005-0000-0000-0000FD060000}"/>
    <cellStyle name="Comma 2 14" xfId="1815" xr:uid="{00000000-0005-0000-0000-0000FE060000}"/>
    <cellStyle name="Comma 2 14 2" xfId="1816" xr:uid="{00000000-0005-0000-0000-0000FF060000}"/>
    <cellStyle name="Comma 2 14 3" xfId="1817" xr:uid="{00000000-0005-0000-0000-000000070000}"/>
    <cellStyle name="Comma 2 15" xfId="1818" xr:uid="{00000000-0005-0000-0000-000001070000}"/>
    <cellStyle name="Comma 2 15 2" xfId="1819" xr:uid="{00000000-0005-0000-0000-000002070000}"/>
    <cellStyle name="Comma 2 15 3" xfId="1820" xr:uid="{00000000-0005-0000-0000-000003070000}"/>
    <cellStyle name="Comma 2 16" xfId="1821" xr:uid="{00000000-0005-0000-0000-000004070000}"/>
    <cellStyle name="Comma 2 16 2" xfId="1822" xr:uid="{00000000-0005-0000-0000-000005070000}"/>
    <cellStyle name="Comma 2 16 3" xfId="1823" xr:uid="{00000000-0005-0000-0000-000006070000}"/>
    <cellStyle name="Comma 2 17" xfId="1824" xr:uid="{00000000-0005-0000-0000-000007070000}"/>
    <cellStyle name="Comma 2 17 2" xfId="1825" xr:uid="{00000000-0005-0000-0000-000008070000}"/>
    <cellStyle name="Comma 2 17 3" xfId="1826" xr:uid="{00000000-0005-0000-0000-000009070000}"/>
    <cellStyle name="Comma 2 18" xfId="1827" xr:uid="{00000000-0005-0000-0000-00000A070000}"/>
    <cellStyle name="Comma 2 18 2" xfId="1828" xr:uid="{00000000-0005-0000-0000-00000B070000}"/>
    <cellStyle name="Comma 2 18 3" xfId="1829" xr:uid="{00000000-0005-0000-0000-00000C070000}"/>
    <cellStyle name="Comma 2 19" xfId="1830" xr:uid="{00000000-0005-0000-0000-00000D070000}"/>
    <cellStyle name="Comma 2 19 2" xfId="1831" xr:uid="{00000000-0005-0000-0000-00000E070000}"/>
    <cellStyle name="Comma 2 19 3" xfId="1832" xr:uid="{00000000-0005-0000-0000-00000F070000}"/>
    <cellStyle name="Comma 2 2" xfId="18" xr:uid="{00000000-0005-0000-0000-000010070000}"/>
    <cellStyle name="Comma 2 2 10" xfId="1833" xr:uid="{00000000-0005-0000-0000-000011070000}"/>
    <cellStyle name="Comma 2 2 10 2" xfId="1834" xr:uid="{00000000-0005-0000-0000-000012070000}"/>
    <cellStyle name="Comma 2 2 10 2 2" xfId="1835" xr:uid="{00000000-0005-0000-0000-000013070000}"/>
    <cellStyle name="Comma 2 2 10 2 2 2" xfId="1836" xr:uid="{00000000-0005-0000-0000-000014070000}"/>
    <cellStyle name="Comma 2 2 10 2 2 2 2" xfId="1837" xr:uid="{00000000-0005-0000-0000-000015070000}"/>
    <cellStyle name="Comma 2 2 10 2 2 2 3" xfId="1838" xr:uid="{00000000-0005-0000-0000-000016070000}"/>
    <cellStyle name="Comma 2 2 10 2 2 3" xfId="1839" xr:uid="{00000000-0005-0000-0000-000017070000}"/>
    <cellStyle name="Comma 2 2 10 2 2 4" xfId="1840" xr:uid="{00000000-0005-0000-0000-000018070000}"/>
    <cellStyle name="Comma 2 2 10 2 3" xfId="1841" xr:uid="{00000000-0005-0000-0000-000019070000}"/>
    <cellStyle name="Comma 2 2 10 2 3 2" xfId="1842" xr:uid="{00000000-0005-0000-0000-00001A070000}"/>
    <cellStyle name="Comma 2 2 10 2 3 3" xfId="1843" xr:uid="{00000000-0005-0000-0000-00001B070000}"/>
    <cellStyle name="Comma 2 2 10 2 4" xfId="1844" xr:uid="{00000000-0005-0000-0000-00001C070000}"/>
    <cellStyle name="Comma 2 2 10 2 5" xfId="1845" xr:uid="{00000000-0005-0000-0000-00001D070000}"/>
    <cellStyle name="Comma 2 2 10 3" xfId="1846" xr:uid="{00000000-0005-0000-0000-00001E070000}"/>
    <cellStyle name="Comma 2 2 10 3 2" xfId="1847" xr:uid="{00000000-0005-0000-0000-00001F070000}"/>
    <cellStyle name="Comma 2 2 10 3 2 2" xfId="1848" xr:uid="{00000000-0005-0000-0000-000020070000}"/>
    <cellStyle name="Comma 2 2 10 3 2 3" xfId="1849" xr:uid="{00000000-0005-0000-0000-000021070000}"/>
    <cellStyle name="Comma 2 2 10 3 3" xfId="1850" xr:uid="{00000000-0005-0000-0000-000022070000}"/>
    <cellStyle name="Comma 2 2 10 3 4" xfId="1851" xr:uid="{00000000-0005-0000-0000-000023070000}"/>
    <cellStyle name="Comma 2 2 10 4" xfId="1852" xr:uid="{00000000-0005-0000-0000-000024070000}"/>
    <cellStyle name="Comma 2 2 10 4 2" xfId="1853" xr:uid="{00000000-0005-0000-0000-000025070000}"/>
    <cellStyle name="Comma 2 2 10 4 3" xfId="1854" xr:uid="{00000000-0005-0000-0000-000026070000}"/>
    <cellStyle name="Comma 2 2 10 5" xfId="1855" xr:uid="{00000000-0005-0000-0000-000027070000}"/>
    <cellStyle name="Comma 2 2 10 6" xfId="1856" xr:uid="{00000000-0005-0000-0000-000028070000}"/>
    <cellStyle name="Comma 2 2 11" xfId="1857" xr:uid="{00000000-0005-0000-0000-000029070000}"/>
    <cellStyle name="Comma 2 2 11 2" xfId="1858" xr:uid="{00000000-0005-0000-0000-00002A070000}"/>
    <cellStyle name="Comma 2 2 11 2 2" xfId="1859" xr:uid="{00000000-0005-0000-0000-00002B070000}"/>
    <cellStyle name="Comma 2 2 11 2 2 2" xfId="1860" xr:uid="{00000000-0005-0000-0000-00002C070000}"/>
    <cellStyle name="Comma 2 2 11 2 2 2 2" xfId="1861" xr:uid="{00000000-0005-0000-0000-00002D070000}"/>
    <cellStyle name="Comma 2 2 11 2 2 2 3" xfId="1862" xr:uid="{00000000-0005-0000-0000-00002E070000}"/>
    <cellStyle name="Comma 2 2 11 2 2 3" xfId="1863" xr:uid="{00000000-0005-0000-0000-00002F070000}"/>
    <cellStyle name="Comma 2 2 11 2 2 4" xfId="1864" xr:uid="{00000000-0005-0000-0000-000030070000}"/>
    <cellStyle name="Comma 2 2 11 2 3" xfId="1865" xr:uid="{00000000-0005-0000-0000-000031070000}"/>
    <cellStyle name="Comma 2 2 11 2 3 2" xfId="1866" xr:uid="{00000000-0005-0000-0000-000032070000}"/>
    <cellStyle name="Comma 2 2 11 2 3 3" xfId="1867" xr:uid="{00000000-0005-0000-0000-000033070000}"/>
    <cellStyle name="Comma 2 2 11 2 4" xfId="1868" xr:uid="{00000000-0005-0000-0000-000034070000}"/>
    <cellStyle name="Comma 2 2 11 2 5" xfId="1869" xr:uid="{00000000-0005-0000-0000-000035070000}"/>
    <cellStyle name="Comma 2 2 11 3" xfId="1870" xr:uid="{00000000-0005-0000-0000-000036070000}"/>
    <cellStyle name="Comma 2 2 11 3 2" xfId="1871" xr:uid="{00000000-0005-0000-0000-000037070000}"/>
    <cellStyle name="Comma 2 2 11 3 2 2" xfId="1872" xr:uid="{00000000-0005-0000-0000-000038070000}"/>
    <cellStyle name="Comma 2 2 11 3 2 3" xfId="1873" xr:uid="{00000000-0005-0000-0000-000039070000}"/>
    <cellStyle name="Comma 2 2 11 3 3" xfId="1874" xr:uid="{00000000-0005-0000-0000-00003A070000}"/>
    <cellStyle name="Comma 2 2 11 3 4" xfId="1875" xr:uid="{00000000-0005-0000-0000-00003B070000}"/>
    <cellStyle name="Comma 2 2 11 4" xfId="1876" xr:uid="{00000000-0005-0000-0000-00003C070000}"/>
    <cellStyle name="Comma 2 2 11 4 2" xfId="1877" xr:uid="{00000000-0005-0000-0000-00003D070000}"/>
    <cellStyle name="Comma 2 2 11 4 3" xfId="1878" xr:uid="{00000000-0005-0000-0000-00003E070000}"/>
    <cellStyle name="Comma 2 2 11 5" xfId="1879" xr:uid="{00000000-0005-0000-0000-00003F070000}"/>
    <cellStyle name="Comma 2 2 11 6" xfId="1880" xr:uid="{00000000-0005-0000-0000-000040070000}"/>
    <cellStyle name="Comma 2 2 12" xfId="1881" xr:uid="{00000000-0005-0000-0000-000041070000}"/>
    <cellStyle name="Comma 2 2 12 2" xfId="1882" xr:uid="{00000000-0005-0000-0000-000042070000}"/>
    <cellStyle name="Comma 2 2 12 2 2" xfId="1883" xr:uid="{00000000-0005-0000-0000-000043070000}"/>
    <cellStyle name="Comma 2 2 12 2 2 2" xfId="1884" xr:uid="{00000000-0005-0000-0000-000044070000}"/>
    <cellStyle name="Comma 2 2 12 2 2 2 2" xfId="1885" xr:uid="{00000000-0005-0000-0000-000045070000}"/>
    <cellStyle name="Comma 2 2 12 2 2 2 3" xfId="1886" xr:uid="{00000000-0005-0000-0000-000046070000}"/>
    <cellStyle name="Comma 2 2 12 2 2 3" xfId="1887" xr:uid="{00000000-0005-0000-0000-000047070000}"/>
    <cellStyle name="Comma 2 2 12 2 2 4" xfId="1888" xr:uid="{00000000-0005-0000-0000-000048070000}"/>
    <cellStyle name="Comma 2 2 12 2 3" xfId="1889" xr:uid="{00000000-0005-0000-0000-000049070000}"/>
    <cellStyle name="Comma 2 2 12 2 3 2" xfId="1890" xr:uid="{00000000-0005-0000-0000-00004A070000}"/>
    <cellStyle name="Comma 2 2 12 2 3 3" xfId="1891" xr:uid="{00000000-0005-0000-0000-00004B070000}"/>
    <cellStyle name="Comma 2 2 12 2 4" xfId="1892" xr:uid="{00000000-0005-0000-0000-00004C070000}"/>
    <cellStyle name="Comma 2 2 12 2 5" xfId="1893" xr:uid="{00000000-0005-0000-0000-00004D070000}"/>
    <cellStyle name="Comma 2 2 12 3" xfId="1894" xr:uid="{00000000-0005-0000-0000-00004E070000}"/>
    <cellStyle name="Comma 2 2 12 3 2" xfId="1895" xr:uid="{00000000-0005-0000-0000-00004F070000}"/>
    <cellStyle name="Comma 2 2 12 3 2 2" xfId="1896" xr:uid="{00000000-0005-0000-0000-000050070000}"/>
    <cellStyle name="Comma 2 2 12 3 2 3" xfId="1897" xr:uid="{00000000-0005-0000-0000-000051070000}"/>
    <cellStyle name="Comma 2 2 12 3 3" xfId="1898" xr:uid="{00000000-0005-0000-0000-000052070000}"/>
    <cellStyle name="Comma 2 2 12 3 4" xfId="1899" xr:uid="{00000000-0005-0000-0000-000053070000}"/>
    <cellStyle name="Comma 2 2 12 4" xfId="1900" xr:uid="{00000000-0005-0000-0000-000054070000}"/>
    <cellStyle name="Comma 2 2 12 4 2" xfId="1901" xr:uid="{00000000-0005-0000-0000-000055070000}"/>
    <cellStyle name="Comma 2 2 12 4 3" xfId="1902" xr:uid="{00000000-0005-0000-0000-000056070000}"/>
    <cellStyle name="Comma 2 2 12 5" xfId="1903" xr:uid="{00000000-0005-0000-0000-000057070000}"/>
    <cellStyle name="Comma 2 2 12 6" xfId="1904" xr:uid="{00000000-0005-0000-0000-000058070000}"/>
    <cellStyle name="Comma 2 2 13" xfId="1905" xr:uid="{00000000-0005-0000-0000-000059070000}"/>
    <cellStyle name="Comma 2 2 13 2" xfId="1906" xr:uid="{00000000-0005-0000-0000-00005A070000}"/>
    <cellStyle name="Comma 2 2 13 2 2" xfId="1907" xr:uid="{00000000-0005-0000-0000-00005B070000}"/>
    <cellStyle name="Comma 2 2 13 2 2 2" xfId="1908" xr:uid="{00000000-0005-0000-0000-00005C070000}"/>
    <cellStyle name="Comma 2 2 13 2 2 2 2" xfId="1909" xr:uid="{00000000-0005-0000-0000-00005D070000}"/>
    <cellStyle name="Comma 2 2 13 2 2 2 3" xfId="1910" xr:uid="{00000000-0005-0000-0000-00005E070000}"/>
    <cellStyle name="Comma 2 2 13 2 2 3" xfId="1911" xr:uid="{00000000-0005-0000-0000-00005F070000}"/>
    <cellStyle name="Comma 2 2 13 2 2 4" xfId="1912" xr:uid="{00000000-0005-0000-0000-000060070000}"/>
    <cellStyle name="Comma 2 2 13 2 3" xfId="1913" xr:uid="{00000000-0005-0000-0000-000061070000}"/>
    <cellStyle name="Comma 2 2 13 2 3 2" xfId="1914" xr:uid="{00000000-0005-0000-0000-000062070000}"/>
    <cellStyle name="Comma 2 2 13 2 3 3" xfId="1915" xr:uid="{00000000-0005-0000-0000-000063070000}"/>
    <cellStyle name="Comma 2 2 13 2 4" xfId="1916" xr:uid="{00000000-0005-0000-0000-000064070000}"/>
    <cellStyle name="Comma 2 2 13 2 5" xfId="1917" xr:uid="{00000000-0005-0000-0000-000065070000}"/>
    <cellStyle name="Comma 2 2 13 3" xfId="1918" xr:uid="{00000000-0005-0000-0000-000066070000}"/>
    <cellStyle name="Comma 2 2 13 3 2" xfId="1919" xr:uid="{00000000-0005-0000-0000-000067070000}"/>
    <cellStyle name="Comma 2 2 13 3 2 2" xfId="1920" xr:uid="{00000000-0005-0000-0000-000068070000}"/>
    <cellStyle name="Comma 2 2 13 3 2 3" xfId="1921" xr:uid="{00000000-0005-0000-0000-000069070000}"/>
    <cellStyle name="Comma 2 2 13 3 3" xfId="1922" xr:uid="{00000000-0005-0000-0000-00006A070000}"/>
    <cellStyle name="Comma 2 2 13 3 4" xfId="1923" xr:uid="{00000000-0005-0000-0000-00006B070000}"/>
    <cellStyle name="Comma 2 2 13 4" xfId="1924" xr:uid="{00000000-0005-0000-0000-00006C070000}"/>
    <cellStyle name="Comma 2 2 13 4 2" xfId="1925" xr:uid="{00000000-0005-0000-0000-00006D070000}"/>
    <cellStyle name="Comma 2 2 13 4 3" xfId="1926" xr:uid="{00000000-0005-0000-0000-00006E070000}"/>
    <cellStyle name="Comma 2 2 13 5" xfId="1927" xr:uid="{00000000-0005-0000-0000-00006F070000}"/>
    <cellStyle name="Comma 2 2 13 6" xfId="1928" xr:uid="{00000000-0005-0000-0000-000070070000}"/>
    <cellStyle name="Comma 2 2 14" xfId="1929" xr:uid="{00000000-0005-0000-0000-000071070000}"/>
    <cellStyle name="Comma 2 2 14 2" xfId="1930" xr:uid="{00000000-0005-0000-0000-000072070000}"/>
    <cellStyle name="Comma 2 2 14 2 2" xfId="1931" xr:uid="{00000000-0005-0000-0000-000073070000}"/>
    <cellStyle name="Comma 2 2 14 2 2 2" xfId="1932" xr:uid="{00000000-0005-0000-0000-000074070000}"/>
    <cellStyle name="Comma 2 2 14 2 2 2 2" xfId="1933" xr:uid="{00000000-0005-0000-0000-000075070000}"/>
    <cellStyle name="Comma 2 2 14 2 2 2 3" xfId="1934" xr:uid="{00000000-0005-0000-0000-000076070000}"/>
    <cellStyle name="Comma 2 2 14 2 2 3" xfId="1935" xr:uid="{00000000-0005-0000-0000-000077070000}"/>
    <cellStyle name="Comma 2 2 14 2 2 4" xfId="1936" xr:uid="{00000000-0005-0000-0000-000078070000}"/>
    <cellStyle name="Comma 2 2 14 2 3" xfId="1937" xr:uid="{00000000-0005-0000-0000-000079070000}"/>
    <cellStyle name="Comma 2 2 14 2 3 2" xfId="1938" xr:uid="{00000000-0005-0000-0000-00007A070000}"/>
    <cellStyle name="Comma 2 2 14 2 3 3" xfId="1939" xr:uid="{00000000-0005-0000-0000-00007B070000}"/>
    <cellStyle name="Comma 2 2 14 2 4" xfId="1940" xr:uid="{00000000-0005-0000-0000-00007C070000}"/>
    <cellStyle name="Comma 2 2 14 2 5" xfId="1941" xr:uid="{00000000-0005-0000-0000-00007D070000}"/>
    <cellStyle name="Comma 2 2 14 3" xfId="1942" xr:uid="{00000000-0005-0000-0000-00007E070000}"/>
    <cellStyle name="Comma 2 2 14 3 2" xfId="1943" xr:uid="{00000000-0005-0000-0000-00007F070000}"/>
    <cellStyle name="Comma 2 2 14 3 2 2" xfId="1944" xr:uid="{00000000-0005-0000-0000-000080070000}"/>
    <cellStyle name="Comma 2 2 14 3 2 3" xfId="1945" xr:uid="{00000000-0005-0000-0000-000081070000}"/>
    <cellStyle name="Comma 2 2 14 3 3" xfId="1946" xr:uid="{00000000-0005-0000-0000-000082070000}"/>
    <cellStyle name="Comma 2 2 14 3 4" xfId="1947" xr:uid="{00000000-0005-0000-0000-000083070000}"/>
    <cellStyle name="Comma 2 2 14 4" xfId="1948" xr:uid="{00000000-0005-0000-0000-000084070000}"/>
    <cellStyle name="Comma 2 2 14 4 2" xfId="1949" xr:uid="{00000000-0005-0000-0000-000085070000}"/>
    <cellStyle name="Comma 2 2 14 4 3" xfId="1950" xr:uid="{00000000-0005-0000-0000-000086070000}"/>
    <cellStyle name="Comma 2 2 14 5" xfId="1951" xr:uid="{00000000-0005-0000-0000-000087070000}"/>
    <cellStyle name="Comma 2 2 14 6" xfId="1952" xr:uid="{00000000-0005-0000-0000-000088070000}"/>
    <cellStyle name="Comma 2 2 15" xfId="1953" xr:uid="{00000000-0005-0000-0000-000089070000}"/>
    <cellStyle name="Comma 2 2 15 2" xfId="1954" xr:uid="{00000000-0005-0000-0000-00008A070000}"/>
    <cellStyle name="Comma 2 2 15 2 2" xfId="1955" xr:uid="{00000000-0005-0000-0000-00008B070000}"/>
    <cellStyle name="Comma 2 2 15 2 2 2" xfId="1956" xr:uid="{00000000-0005-0000-0000-00008C070000}"/>
    <cellStyle name="Comma 2 2 15 2 2 2 2" xfId="1957" xr:uid="{00000000-0005-0000-0000-00008D070000}"/>
    <cellStyle name="Comma 2 2 15 2 2 2 3" xfId="1958" xr:uid="{00000000-0005-0000-0000-00008E070000}"/>
    <cellStyle name="Comma 2 2 15 2 2 3" xfId="1959" xr:uid="{00000000-0005-0000-0000-00008F070000}"/>
    <cellStyle name="Comma 2 2 15 2 2 4" xfId="1960" xr:uid="{00000000-0005-0000-0000-000090070000}"/>
    <cellStyle name="Comma 2 2 15 2 3" xfId="1961" xr:uid="{00000000-0005-0000-0000-000091070000}"/>
    <cellStyle name="Comma 2 2 15 2 3 2" xfId="1962" xr:uid="{00000000-0005-0000-0000-000092070000}"/>
    <cellStyle name="Comma 2 2 15 2 3 3" xfId="1963" xr:uid="{00000000-0005-0000-0000-000093070000}"/>
    <cellStyle name="Comma 2 2 15 2 4" xfId="1964" xr:uid="{00000000-0005-0000-0000-000094070000}"/>
    <cellStyle name="Comma 2 2 15 2 5" xfId="1965" xr:uid="{00000000-0005-0000-0000-000095070000}"/>
    <cellStyle name="Comma 2 2 15 3" xfId="1966" xr:uid="{00000000-0005-0000-0000-000096070000}"/>
    <cellStyle name="Comma 2 2 15 3 2" xfId="1967" xr:uid="{00000000-0005-0000-0000-000097070000}"/>
    <cellStyle name="Comma 2 2 15 3 2 2" xfId="1968" xr:uid="{00000000-0005-0000-0000-000098070000}"/>
    <cellStyle name="Comma 2 2 15 3 2 3" xfId="1969" xr:uid="{00000000-0005-0000-0000-000099070000}"/>
    <cellStyle name="Comma 2 2 15 3 3" xfId="1970" xr:uid="{00000000-0005-0000-0000-00009A070000}"/>
    <cellStyle name="Comma 2 2 15 3 4" xfId="1971" xr:uid="{00000000-0005-0000-0000-00009B070000}"/>
    <cellStyle name="Comma 2 2 15 4" xfId="1972" xr:uid="{00000000-0005-0000-0000-00009C070000}"/>
    <cellStyle name="Comma 2 2 15 4 2" xfId="1973" xr:uid="{00000000-0005-0000-0000-00009D070000}"/>
    <cellStyle name="Comma 2 2 15 4 3" xfId="1974" xr:uid="{00000000-0005-0000-0000-00009E070000}"/>
    <cellStyle name="Comma 2 2 15 5" xfId="1975" xr:uid="{00000000-0005-0000-0000-00009F070000}"/>
    <cellStyle name="Comma 2 2 15 6" xfId="1976" xr:uid="{00000000-0005-0000-0000-0000A0070000}"/>
    <cellStyle name="Comma 2 2 16" xfId="1977" xr:uid="{00000000-0005-0000-0000-0000A1070000}"/>
    <cellStyle name="Comma 2 2 16 2" xfId="1978" xr:uid="{00000000-0005-0000-0000-0000A2070000}"/>
    <cellStyle name="Comma 2 2 16 2 2" xfId="1979" xr:uid="{00000000-0005-0000-0000-0000A3070000}"/>
    <cellStyle name="Comma 2 2 16 2 2 2" xfId="1980" xr:uid="{00000000-0005-0000-0000-0000A4070000}"/>
    <cellStyle name="Comma 2 2 16 2 2 2 2" xfId="1981" xr:uid="{00000000-0005-0000-0000-0000A5070000}"/>
    <cellStyle name="Comma 2 2 16 2 2 2 3" xfId="1982" xr:uid="{00000000-0005-0000-0000-0000A6070000}"/>
    <cellStyle name="Comma 2 2 16 2 2 3" xfId="1983" xr:uid="{00000000-0005-0000-0000-0000A7070000}"/>
    <cellStyle name="Comma 2 2 16 2 2 4" xfId="1984" xr:uid="{00000000-0005-0000-0000-0000A8070000}"/>
    <cellStyle name="Comma 2 2 16 2 3" xfId="1985" xr:uid="{00000000-0005-0000-0000-0000A9070000}"/>
    <cellStyle name="Comma 2 2 16 2 3 2" xfId="1986" xr:uid="{00000000-0005-0000-0000-0000AA070000}"/>
    <cellStyle name="Comma 2 2 16 2 3 3" xfId="1987" xr:uid="{00000000-0005-0000-0000-0000AB070000}"/>
    <cellStyle name="Comma 2 2 16 2 4" xfId="1988" xr:uid="{00000000-0005-0000-0000-0000AC070000}"/>
    <cellStyle name="Comma 2 2 16 2 5" xfId="1989" xr:uid="{00000000-0005-0000-0000-0000AD070000}"/>
    <cellStyle name="Comma 2 2 16 3" xfId="1990" xr:uid="{00000000-0005-0000-0000-0000AE070000}"/>
    <cellStyle name="Comma 2 2 16 3 2" xfId="1991" xr:uid="{00000000-0005-0000-0000-0000AF070000}"/>
    <cellStyle name="Comma 2 2 16 3 2 2" xfId="1992" xr:uid="{00000000-0005-0000-0000-0000B0070000}"/>
    <cellStyle name="Comma 2 2 16 3 2 3" xfId="1993" xr:uid="{00000000-0005-0000-0000-0000B1070000}"/>
    <cellStyle name="Comma 2 2 16 3 3" xfId="1994" xr:uid="{00000000-0005-0000-0000-0000B2070000}"/>
    <cellStyle name="Comma 2 2 16 3 4" xfId="1995" xr:uid="{00000000-0005-0000-0000-0000B3070000}"/>
    <cellStyle name="Comma 2 2 16 4" xfId="1996" xr:uid="{00000000-0005-0000-0000-0000B4070000}"/>
    <cellStyle name="Comma 2 2 16 4 2" xfId="1997" xr:uid="{00000000-0005-0000-0000-0000B5070000}"/>
    <cellStyle name="Comma 2 2 16 4 3" xfId="1998" xr:uid="{00000000-0005-0000-0000-0000B6070000}"/>
    <cellStyle name="Comma 2 2 16 5" xfId="1999" xr:uid="{00000000-0005-0000-0000-0000B7070000}"/>
    <cellStyle name="Comma 2 2 16 6" xfId="2000" xr:uid="{00000000-0005-0000-0000-0000B8070000}"/>
    <cellStyle name="Comma 2 2 17" xfId="2001" xr:uid="{00000000-0005-0000-0000-0000B9070000}"/>
    <cellStyle name="Comma 2 2 17 2" xfId="2002" xr:uid="{00000000-0005-0000-0000-0000BA070000}"/>
    <cellStyle name="Comma 2 2 17 2 2" xfId="2003" xr:uid="{00000000-0005-0000-0000-0000BB070000}"/>
    <cellStyle name="Comma 2 2 17 2 2 2" xfId="2004" xr:uid="{00000000-0005-0000-0000-0000BC070000}"/>
    <cellStyle name="Comma 2 2 17 2 2 2 2" xfId="2005" xr:uid="{00000000-0005-0000-0000-0000BD070000}"/>
    <cellStyle name="Comma 2 2 17 2 2 2 3" xfId="2006" xr:uid="{00000000-0005-0000-0000-0000BE070000}"/>
    <cellStyle name="Comma 2 2 17 2 2 3" xfId="2007" xr:uid="{00000000-0005-0000-0000-0000BF070000}"/>
    <cellStyle name="Comma 2 2 17 2 2 4" xfId="2008" xr:uid="{00000000-0005-0000-0000-0000C0070000}"/>
    <cellStyle name="Comma 2 2 17 2 3" xfId="2009" xr:uid="{00000000-0005-0000-0000-0000C1070000}"/>
    <cellStyle name="Comma 2 2 17 2 3 2" xfId="2010" xr:uid="{00000000-0005-0000-0000-0000C2070000}"/>
    <cellStyle name="Comma 2 2 17 2 3 3" xfId="2011" xr:uid="{00000000-0005-0000-0000-0000C3070000}"/>
    <cellStyle name="Comma 2 2 17 2 4" xfId="2012" xr:uid="{00000000-0005-0000-0000-0000C4070000}"/>
    <cellStyle name="Comma 2 2 17 2 5" xfId="2013" xr:uid="{00000000-0005-0000-0000-0000C5070000}"/>
    <cellStyle name="Comma 2 2 17 3" xfId="2014" xr:uid="{00000000-0005-0000-0000-0000C6070000}"/>
    <cellStyle name="Comma 2 2 17 3 2" xfId="2015" xr:uid="{00000000-0005-0000-0000-0000C7070000}"/>
    <cellStyle name="Comma 2 2 17 3 2 2" xfId="2016" xr:uid="{00000000-0005-0000-0000-0000C8070000}"/>
    <cellStyle name="Comma 2 2 17 3 2 3" xfId="2017" xr:uid="{00000000-0005-0000-0000-0000C9070000}"/>
    <cellStyle name="Comma 2 2 17 3 3" xfId="2018" xr:uid="{00000000-0005-0000-0000-0000CA070000}"/>
    <cellStyle name="Comma 2 2 17 3 4" xfId="2019" xr:uid="{00000000-0005-0000-0000-0000CB070000}"/>
    <cellStyle name="Comma 2 2 17 4" xfId="2020" xr:uid="{00000000-0005-0000-0000-0000CC070000}"/>
    <cellStyle name="Comma 2 2 17 4 2" xfId="2021" xr:uid="{00000000-0005-0000-0000-0000CD070000}"/>
    <cellStyle name="Comma 2 2 17 4 3" xfId="2022" xr:uid="{00000000-0005-0000-0000-0000CE070000}"/>
    <cellStyle name="Comma 2 2 17 5" xfId="2023" xr:uid="{00000000-0005-0000-0000-0000CF070000}"/>
    <cellStyle name="Comma 2 2 17 6" xfId="2024" xr:uid="{00000000-0005-0000-0000-0000D0070000}"/>
    <cellStyle name="Comma 2 2 18" xfId="2025" xr:uid="{00000000-0005-0000-0000-0000D1070000}"/>
    <cellStyle name="Comma 2 2 2" xfId="2026" xr:uid="{00000000-0005-0000-0000-0000D2070000}"/>
    <cellStyle name="Comma 2 2 2 2" xfId="2027" xr:uid="{00000000-0005-0000-0000-0000D3070000}"/>
    <cellStyle name="Comma 2 2 2 2 10" xfId="2028" xr:uid="{00000000-0005-0000-0000-0000D4070000}"/>
    <cellStyle name="Comma 2 2 2 2 2" xfId="2029" xr:uid="{00000000-0005-0000-0000-0000D5070000}"/>
    <cellStyle name="Comma 2 2 2 2 2 2" xfId="2030" xr:uid="{00000000-0005-0000-0000-0000D6070000}"/>
    <cellStyle name="Comma 2 2 2 2 2 2 2" xfId="2031" xr:uid="{00000000-0005-0000-0000-0000D7070000}"/>
    <cellStyle name="Comma 2 2 2 2 2 2 2 2" xfId="2032" xr:uid="{00000000-0005-0000-0000-0000D8070000}"/>
    <cellStyle name="Comma 2 2 2 2 2 2 2 2 2" xfId="2033" xr:uid="{00000000-0005-0000-0000-0000D9070000}"/>
    <cellStyle name="Comma 2 2 2 2 2 2 2 2 3" xfId="2034" xr:uid="{00000000-0005-0000-0000-0000DA070000}"/>
    <cellStyle name="Comma 2 2 2 2 2 2 2 3" xfId="2035" xr:uid="{00000000-0005-0000-0000-0000DB070000}"/>
    <cellStyle name="Comma 2 2 2 2 2 2 2 4" xfId="2036" xr:uid="{00000000-0005-0000-0000-0000DC070000}"/>
    <cellStyle name="Comma 2 2 2 2 2 2 3" xfId="2037" xr:uid="{00000000-0005-0000-0000-0000DD070000}"/>
    <cellStyle name="Comma 2 2 2 2 2 2 3 2" xfId="2038" xr:uid="{00000000-0005-0000-0000-0000DE070000}"/>
    <cellStyle name="Comma 2 2 2 2 2 2 3 3" xfId="2039" xr:uid="{00000000-0005-0000-0000-0000DF070000}"/>
    <cellStyle name="Comma 2 2 2 2 2 2 4" xfId="2040" xr:uid="{00000000-0005-0000-0000-0000E0070000}"/>
    <cellStyle name="Comma 2 2 2 2 2 2 5" xfId="2041" xr:uid="{00000000-0005-0000-0000-0000E1070000}"/>
    <cellStyle name="Comma 2 2 2 2 2 3" xfId="2042" xr:uid="{00000000-0005-0000-0000-0000E2070000}"/>
    <cellStyle name="Comma 2 2 2 2 2 3 2" xfId="2043" xr:uid="{00000000-0005-0000-0000-0000E3070000}"/>
    <cellStyle name="Comma 2 2 2 2 2 3 2 2" xfId="2044" xr:uid="{00000000-0005-0000-0000-0000E4070000}"/>
    <cellStyle name="Comma 2 2 2 2 2 3 2 3" xfId="2045" xr:uid="{00000000-0005-0000-0000-0000E5070000}"/>
    <cellStyle name="Comma 2 2 2 2 2 3 3" xfId="2046" xr:uid="{00000000-0005-0000-0000-0000E6070000}"/>
    <cellStyle name="Comma 2 2 2 2 2 3 4" xfId="2047" xr:uid="{00000000-0005-0000-0000-0000E7070000}"/>
    <cellStyle name="Comma 2 2 2 2 2 4" xfId="2048" xr:uid="{00000000-0005-0000-0000-0000E8070000}"/>
    <cellStyle name="Comma 2 2 2 2 2 4 2" xfId="2049" xr:uid="{00000000-0005-0000-0000-0000E9070000}"/>
    <cellStyle name="Comma 2 2 2 2 2 4 3" xfId="2050" xr:uid="{00000000-0005-0000-0000-0000EA070000}"/>
    <cellStyle name="Comma 2 2 2 2 2 5" xfId="2051" xr:uid="{00000000-0005-0000-0000-0000EB070000}"/>
    <cellStyle name="Comma 2 2 2 2 2 6" xfId="2052" xr:uid="{00000000-0005-0000-0000-0000EC070000}"/>
    <cellStyle name="Comma 2 2 2 2 3" xfId="2053" xr:uid="{00000000-0005-0000-0000-0000ED070000}"/>
    <cellStyle name="Comma 2 2 2 2 3 2" xfId="2054" xr:uid="{00000000-0005-0000-0000-0000EE070000}"/>
    <cellStyle name="Comma 2 2 2 2 3 2 2" xfId="2055" xr:uid="{00000000-0005-0000-0000-0000EF070000}"/>
    <cellStyle name="Comma 2 2 2 2 3 2 2 2" xfId="2056" xr:uid="{00000000-0005-0000-0000-0000F0070000}"/>
    <cellStyle name="Comma 2 2 2 2 3 2 2 2 2" xfId="2057" xr:uid="{00000000-0005-0000-0000-0000F1070000}"/>
    <cellStyle name="Comma 2 2 2 2 3 2 2 2 3" xfId="2058" xr:uid="{00000000-0005-0000-0000-0000F2070000}"/>
    <cellStyle name="Comma 2 2 2 2 3 2 2 3" xfId="2059" xr:uid="{00000000-0005-0000-0000-0000F3070000}"/>
    <cellStyle name="Comma 2 2 2 2 3 2 2 4" xfId="2060" xr:uid="{00000000-0005-0000-0000-0000F4070000}"/>
    <cellStyle name="Comma 2 2 2 2 3 2 3" xfId="2061" xr:uid="{00000000-0005-0000-0000-0000F5070000}"/>
    <cellStyle name="Comma 2 2 2 2 3 2 3 2" xfId="2062" xr:uid="{00000000-0005-0000-0000-0000F6070000}"/>
    <cellStyle name="Comma 2 2 2 2 3 2 3 3" xfId="2063" xr:uid="{00000000-0005-0000-0000-0000F7070000}"/>
    <cellStyle name="Comma 2 2 2 2 3 2 4" xfId="2064" xr:uid="{00000000-0005-0000-0000-0000F8070000}"/>
    <cellStyle name="Comma 2 2 2 2 3 2 5" xfId="2065" xr:uid="{00000000-0005-0000-0000-0000F9070000}"/>
    <cellStyle name="Comma 2 2 2 2 3 3" xfId="2066" xr:uid="{00000000-0005-0000-0000-0000FA070000}"/>
    <cellStyle name="Comma 2 2 2 2 3 3 2" xfId="2067" xr:uid="{00000000-0005-0000-0000-0000FB070000}"/>
    <cellStyle name="Comma 2 2 2 2 3 3 2 2" xfId="2068" xr:uid="{00000000-0005-0000-0000-0000FC070000}"/>
    <cellStyle name="Comma 2 2 2 2 3 3 2 3" xfId="2069" xr:uid="{00000000-0005-0000-0000-0000FD070000}"/>
    <cellStyle name="Comma 2 2 2 2 3 3 3" xfId="2070" xr:uid="{00000000-0005-0000-0000-0000FE070000}"/>
    <cellStyle name="Comma 2 2 2 2 3 3 4" xfId="2071" xr:uid="{00000000-0005-0000-0000-0000FF070000}"/>
    <cellStyle name="Comma 2 2 2 2 3 4" xfId="2072" xr:uid="{00000000-0005-0000-0000-000000080000}"/>
    <cellStyle name="Comma 2 2 2 2 3 4 2" xfId="2073" xr:uid="{00000000-0005-0000-0000-000001080000}"/>
    <cellStyle name="Comma 2 2 2 2 3 4 3" xfId="2074" xr:uid="{00000000-0005-0000-0000-000002080000}"/>
    <cellStyle name="Comma 2 2 2 2 3 5" xfId="2075" xr:uid="{00000000-0005-0000-0000-000003080000}"/>
    <cellStyle name="Comma 2 2 2 2 3 6" xfId="2076" xr:uid="{00000000-0005-0000-0000-000004080000}"/>
    <cellStyle name="Comma 2 2 2 2 4" xfId="2077" xr:uid="{00000000-0005-0000-0000-000005080000}"/>
    <cellStyle name="Comma 2 2 2 2 4 2" xfId="2078" xr:uid="{00000000-0005-0000-0000-000006080000}"/>
    <cellStyle name="Comma 2 2 2 2 4 2 2" xfId="2079" xr:uid="{00000000-0005-0000-0000-000007080000}"/>
    <cellStyle name="Comma 2 2 2 2 4 2 2 2" xfId="2080" xr:uid="{00000000-0005-0000-0000-000008080000}"/>
    <cellStyle name="Comma 2 2 2 2 4 2 2 2 2" xfId="2081" xr:uid="{00000000-0005-0000-0000-000009080000}"/>
    <cellStyle name="Comma 2 2 2 2 4 2 2 2 3" xfId="2082" xr:uid="{00000000-0005-0000-0000-00000A080000}"/>
    <cellStyle name="Comma 2 2 2 2 4 2 2 3" xfId="2083" xr:uid="{00000000-0005-0000-0000-00000B080000}"/>
    <cellStyle name="Comma 2 2 2 2 4 2 2 4" xfId="2084" xr:uid="{00000000-0005-0000-0000-00000C080000}"/>
    <cellStyle name="Comma 2 2 2 2 4 2 3" xfId="2085" xr:uid="{00000000-0005-0000-0000-00000D080000}"/>
    <cellStyle name="Comma 2 2 2 2 4 2 3 2" xfId="2086" xr:uid="{00000000-0005-0000-0000-00000E080000}"/>
    <cellStyle name="Comma 2 2 2 2 4 2 3 3" xfId="2087" xr:uid="{00000000-0005-0000-0000-00000F080000}"/>
    <cellStyle name="Comma 2 2 2 2 4 2 4" xfId="2088" xr:uid="{00000000-0005-0000-0000-000010080000}"/>
    <cellStyle name="Comma 2 2 2 2 4 2 5" xfId="2089" xr:uid="{00000000-0005-0000-0000-000011080000}"/>
    <cellStyle name="Comma 2 2 2 2 4 3" xfId="2090" xr:uid="{00000000-0005-0000-0000-000012080000}"/>
    <cellStyle name="Comma 2 2 2 2 4 3 2" xfId="2091" xr:uid="{00000000-0005-0000-0000-000013080000}"/>
    <cellStyle name="Comma 2 2 2 2 4 3 2 2" xfId="2092" xr:uid="{00000000-0005-0000-0000-000014080000}"/>
    <cellStyle name="Comma 2 2 2 2 4 3 2 3" xfId="2093" xr:uid="{00000000-0005-0000-0000-000015080000}"/>
    <cellStyle name="Comma 2 2 2 2 4 3 3" xfId="2094" xr:uid="{00000000-0005-0000-0000-000016080000}"/>
    <cellStyle name="Comma 2 2 2 2 4 3 4" xfId="2095" xr:uid="{00000000-0005-0000-0000-000017080000}"/>
    <cellStyle name="Comma 2 2 2 2 4 4" xfId="2096" xr:uid="{00000000-0005-0000-0000-000018080000}"/>
    <cellStyle name="Comma 2 2 2 2 4 4 2" xfId="2097" xr:uid="{00000000-0005-0000-0000-000019080000}"/>
    <cellStyle name="Comma 2 2 2 2 4 4 3" xfId="2098" xr:uid="{00000000-0005-0000-0000-00001A080000}"/>
    <cellStyle name="Comma 2 2 2 2 4 5" xfId="2099" xr:uid="{00000000-0005-0000-0000-00001B080000}"/>
    <cellStyle name="Comma 2 2 2 2 4 6" xfId="2100" xr:uid="{00000000-0005-0000-0000-00001C080000}"/>
    <cellStyle name="Comma 2 2 2 2 5" xfId="2101" xr:uid="{00000000-0005-0000-0000-00001D080000}"/>
    <cellStyle name="Comma 2 2 2 2 5 2" xfId="2102" xr:uid="{00000000-0005-0000-0000-00001E080000}"/>
    <cellStyle name="Comma 2 2 2 2 5 2 2" xfId="2103" xr:uid="{00000000-0005-0000-0000-00001F080000}"/>
    <cellStyle name="Comma 2 2 2 2 5 2 2 2" xfId="2104" xr:uid="{00000000-0005-0000-0000-000020080000}"/>
    <cellStyle name="Comma 2 2 2 2 5 2 2 2 2" xfId="2105" xr:uid="{00000000-0005-0000-0000-000021080000}"/>
    <cellStyle name="Comma 2 2 2 2 5 2 2 2 3" xfId="2106" xr:uid="{00000000-0005-0000-0000-000022080000}"/>
    <cellStyle name="Comma 2 2 2 2 5 2 2 3" xfId="2107" xr:uid="{00000000-0005-0000-0000-000023080000}"/>
    <cellStyle name="Comma 2 2 2 2 5 2 2 4" xfId="2108" xr:uid="{00000000-0005-0000-0000-000024080000}"/>
    <cellStyle name="Comma 2 2 2 2 5 2 3" xfId="2109" xr:uid="{00000000-0005-0000-0000-000025080000}"/>
    <cellStyle name="Comma 2 2 2 2 5 2 3 2" xfId="2110" xr:uid="{00000000-0005-0000-0000-000026080000}"/>
    <cellStyle name="Comma 2 2 2 2 5 2 3 3" xfId="2111" xr:uid="{00000000-0005-0000-0000-000027080000}"/>
    <cellStyle name="Comma 2 2 2 2 5 2 4" xfId="2112" xr:uid="{00000000-0005-0000-0000-000028080000}"/>
    <cellStyle name="Comma 2 2 2 2 5 2 5" xfId="2113" xr:uid="{00000000-0005-0000-0000-000029080000}"/>
    <cellStyle name="Comma 2 2 2 2 5 3" xfId="2114" xr:uid="{00000000-0005-0000-0000-00002A080000}"/>
    <cellStyle name="Comma 2 2 2 2 5 3 2" xfId="2115" xr:uid="{00000000-0005-0000-0000-00002B080000}"/>
    <cellStyle name="Comma 2 2 2 2 5 3 2 2" xfId="2116" xr:uid="{00000000-0005-0000-0000-00002C080000}"/>
    <cellStyle name="Comma 2 2 2 2 5 3 2 3" xfId="2117" xr:uid="{00000000-0005-0000-0000-00002D080000}"/>
    <cellStyle name="Comma 2 2 2 2 5 3 3" xfId="2118" xr:uid="{00000000-0005-0000-0000-00002E080000}"/>
    <cellStyle name="Comma 2 2 2 2 5 3 4" xfId="2119" xr:uid="{00000000-0005-0000-0000-00002F080000}"/>
    <cellStyle name="Comma 2 2 2 2 5 4" xfId="2120" xr:uid="{00000000-0005-0000-0000-000030080000}"/>
    <cellStyle name="Comma 2 2 2 2 5 4 2" xfId="2121" xr:uid="{00000000-0005-0000-0000-000031080000}"/>
    <cellStyle name="Comma 2 2 2 2 5 4 3" xfId="2122" xr:uid="{00000000-0005-0000-0000-000032080000}"/>
    <cellStyle name="Comma 2 2 2 2 5 5" xfId="2123" xr:uid="{00000000-0005-0000-0000-000033080000}"/>
    <cellStyle name="Comma 2 2 2 2 5 6" xfId="2124" xr:uid="{00000000-0005-0000-0000-000034080000}"/>
    <cellStyle name="Comma 2 2 2 2 6" xfId="2125" xr:uid="{00000000-0005-0000-0000-000035080000}"/>
    <cellStyle name="Comma 2 2 2 2 6 2" xfId="2126" xr:uid="{00000000-0005-0000-0000-000036080000}"/>
    <cellStyle name="Comma 2 2 2 2 6 2 2" xfId="2127" xr:uid="{00000000-0005-0000-0000-000037080000}"/>
    <cellStyle name="Comma 2 2 2 2 6 2 2 2" xfId="2128" xr:uid="{00000000-0005-0000-0000-000038080000}"/>
    <cellStyle name="Comma 2 2 2 2 6 2 2 3" xfId="2129" xr:uid="{00000000-0005-0000-0000-000039080000}"/>
    <cellStyle name="Comma 2 2 2 2 6 2 3" xfId="2130" xr:uid="{00000000-0005-0000-0000-00003A080000}"/>
    <cellStyle name="Comma 2 2 2 2 6 2 4" xfId="2131" xr:uid="{00000000-0005-0000-0000-00003B080000}"/>
    <cellStyle name="Comma 2 2 2 2 6 3" xfId="2132" xr:uid="{00000000-0005-0000-0000-00003C080000}"/>
    <cellStyle name="Comma 2 2 2 2 6 3 2" xfId="2133" xr:uid="{00000000-0005-0000-0000-00003D080000}"/>
    <cellStyle name="Comma 2 2 2 2 6 3 3" xfId="2134" xr:uid="{00000000-0005-0000-0000-00003E080000}"/>
    <cellStyle name="Comma 2 2 2 2 6 4" xfId="2135" xr:uid="{00000000-0005-0000-0000-00003F080000}"/>
    <cellStyle name="Comma 2 2 2 2 6 5" xfId="2136" xr:uid="{00000000-0005-0000-0000-000040080000}"/>
    <cellStyle name="Comma 2 2 2 2 7" xfId="2137" xr:uid="{00000000-0005-0000-0000-000041080000}"/>
    <cellStyle name="Comma 2 2 2 2 7 2" xfId="2138" xr:uid="{00000000-0005-0000-0000-000042080000}"/>
    <cellStyle name="Comma 2 2 2 2 7 2 2" xfId="2139" xr:uid="{00000000-0005-0000-0000-000043080000}"/>
    <cellStyle name="Comma 2 2 2 2 7 2 3" xfId="2140" xr:uid="{00000000-0005-0000-0000-000044080000}"/>
    <cellStyle name="Comma 2 2 2 2 7 3" xfId="2141" xr:uid="{00000000-0005-0000-0000-000045080000}"/>
    <cellStyle name="Comma 2 2 2 2 7 4" xfId="2142" xr:uid="{00000000-0005-0000-0000-000046080000}"/>
    <cellStyle name="Comma 2 2 2 2 8" xfId="2143" xr:uid="{00000000-0005-0000-0000-000047080000}"/>
    <cellStyle name="Comma 2 2 2 2 8 2" xfId="2144" xr:uid="{00000000-0005-0000-0000-000048080000}"/>
    <cellStyle name="Comma 2 2 2 2 8 3" xfId="2145" xr:uid="{00000000-0005-0000-0000-000049080000}"/>
    <cellStyle name="Comma 2 2 2 2 9" xfId="2146" xr:uid="{00000000-0005-0000-0000-00004A080000}"/>
    <cellStyle name="Comma 2 2 2 3" xfId="2147" xr:uid="{00000000-0005-0000-0000-00004B080000}"/>
    <cellStyle name="Comma 2 2 2 3 2" xfId="2148" xr:uid="{00000000-0005-0000-0000-00004C080000}"/>
    <cellStyle name="Comma 2 2 2 3 2 2" xfId="2149" xr:uid="{00000000-0005-0000-0000-00004D080000}"/>
    <cellStyle name="Comma 2 2 2 3 2 2 2" xfId="2150" xr:uid="{00000000-0005-0000-0000-00004E080000}"/>
    <cellStyle name="Comma 2 2 2 3 2 2 2 2" xfId="2151" xr:uid="{00000000-0005-0000-0000-00004F080000}"/>
    <cellStyle name="Comma 2 2 2 3 2 2 2 3" xfId="2152" xr:uid="{00000000-0005-0000-0000-000050080000}"/>
    <cellStyle name="Comma 2 2 2 3 2 2 3" xfId="2153" xr:uid="{00000000-0005-0000-0000-000051080000}"/>
    <cellStyle name="Comma 2 2 2 3 2 2 4" xfId="2154" xr:uid="{00000000-0005-0000-0000-000052080000}"/>
    <cellStyle name="Comma 2 2 2 3 2 3" xfId="2155" xr:uid="{00000000-0005-0000-0000-000053080000}"/>
    <cellStyle name="Comma 2 2 2 3 2 3 2" xfId="2156" xr:uid="{00000000-0005-0000-0000-000054080000}"/>
    <cellStyle name="Comma 2 2 2 3 2 3 3" xfId="2157" xr:uid="{00000000-0005-0000-0000-000055080000}"/>
    <cellStyle name="Comma 2 2 2 3 2 4" xfId="2158" xr:uid="{00000000-0005-0000-0000-000056080000}"/>
    <cellStyle name="Comma 2 2 2 3 2 5" xfId="2159" xr:uid="{00000000-0005-0000-0000-000057080000}"/>
    <cellStyle name="Comma 2 2 2 3 3" xfId="2160" xr:uid="{00000000-0005-0000-0000-000058080000}"/>
    <cellStyle name="Comma 2 2 2 3 3 2" xfId="2161" xr:uid="{00000000-0005-0000-0000-000059080000}"/>
    <cellStyle name="Comma 2 2 2 3 3 2 2" xfId="2162" xr:uid="{00000000-0005-0000-0000-00005A080000}"/>
    <cellStyle name="Comma 2 2 2 3 3 2 3" xfId="2163" xr:uid="{00000000-0005-0000-0000-00005B080000}"/>
    <cellStyle name="Comma 2 2 2 3 3 3" xfId="2164" xr:uid="{00000000-0005-0000-0000-00005C080000}"/>
    <cellStyle name="Comma 2 2 2 3 3 4" xfId="2165" xr:uid="{00000000-0005-0000-0000-00005D080000}"/>
    <cellStyle name="Comma 2 2 2 3 4" xfId="2166" xr:uid="{00000000-0005-0000-0000-00005E080000}"/>
    <cellStyle name="Comma 2 2 2 3 4 2" xfId="2167" xr:uid="{00000000-0005-0000-0000-00005F080000}"/>
    <cellStyle name="Comma 2 2 2 3 4 3" xfId="2168" xr:uid="{00000000-0005-0000-0000-000060080000}"/>
    <cellStyle name="Comma 2 2 2 3 5" xfId="2169" xr:uid="{00000000-0005-0000-0000-000061080000}"/>
    <cellStyle name="Comma 2 2 2 3 6" xfId="2170" xr:uid="{00000000-0005-0000-0000-000062080000}"/>
    <cellStyle name="Comma 2 2 2 4" xfId="2171" xr:uid="{00000000-0005-0000-0000-000063080000}"/>
    <cellStyle name="Comma 2 2 2 4 2" xfId="2172" xr:uid="{00000000-0005-0000-0000-000064080000}"/>
    <cellStyle name="Comma 2 2 2 4 2 2" xfId="2173" xr:uid="{00000000-0005-0000-0000-000065080000}"/>
    <cellStyle name="Comma 2 2 2 4 2 2 2" xfId="2174" xr:uid="{00000000-0005-0000-0000-000066080000}"/>
    <cellStyle name="Comma 2 2 2 4 2 2 2 2" xfId="2175" xr:uid="{00000000-0005-0000-0000-000067080000}"/>
    <cellStyle name="Comma 2 2 2 4 2 2 2 3" xfId="2176" xr:uid="{00000000-0005-0000-0000-000068080000}"/>
    <cellStyle name="Comma 2 2 2 4 2 2 3" xfId="2177" xr:uid="{00000000-0005-0000-0000-000069080000}"/>
    <cellStyle name="Comma 2 2 2 4 2 2 4" xfId="2178" xr:uid="{00000000-0005-0000-0000-00006A080000}"/>
    <cellStyle name="Comma 2 2 2 4 2 3" xfId="2179" xr:uid="{00000000-0005-0000-0000-00006B080000}"/>
    <cellStyle name="Comma 2 2 2 4 2 3 2" xfId="2180" xr:uid="{00000000-0005-0000-0000-00006C080000}"/>
    <cellStyle name="Comma 2 2 2 4 2 3 3" xfId="2181" xr:uid="{00000000-0005-0000-0000-00006D080000}"/>
    <cellStyle name="Comma 2 2 2 4 2 4" xfId="2182" xr:uid="{00000000-0005-0000-0000-00006E080000}"/>
    <cellStyle name="Comma 2 2 2 4 2 5" xfId="2183" xr:uid="{00000000-0005-0000-0000-00006F080000}"/>
    <cellStyle name="Comma 2 2 2 4 3" xfId="2184" xr:uid="{00000000-0005-0000-0000-000070080000}"/>
    <cellStyle name="Comma 2 2 2 4 3 2" xfId="2185" xr:uid="{00000000-0005-0000-0000-000071080000}"/>
    <cellStyle name="Comma 2 2 2 4 3 2 2" xfId="2186" xr:uid="{00000000-0005-0000-0000-000072080000}"/>
    <cellStyle name="Comma 2 2 2 4 3 2 3" xfId="2187" xr:uid="{00000000-0005-0000-0000-000073080000}"/>
    <cellStyle name="Comma 2 2 2 4 3 3" xfId="2188" xr:uid="{00000000-0005-0000-0000-000074080000}"/>
    <cellStyle name="Comma 2 2 2 4 3 4" xfId="2189" xr:uid="{00000000-0005-0000-0000-000075080000}"/>
    <cellStyle name="Comma 2 2 2 4 4" xfId="2190" xr:uid="{00000000-0005-0000-0000-000076080000}"/>
    <cellStyle name="Comma 2 2 2 4 4 2" xfId="2191" xr:uid="{00000000-0005-0000-0000-000077080000}"/>
    <cellStyle name="Comma 2 2 2 4 4 3" xfId="2192" xr:uid="{00000000-0005-0000-0000-000078080000}"/>
    <cellStyle name="Comma 2 2 2 4 5" xfId="2193" xr:uid="{00000000-0005-0000-0000-000079080000}"/>
    <cellStyle name="Comma 2 2 2 4 6" xfId="2194" xr:uid="{00000000-0005-0000-0000-00007A080000}"/>
    <cellStyle name="Comma 2 2 2 5" xfId="2195" xr:uid="{00000000-0005-0000-0000-00007B080000}"/>
    <cellStyle name="Comma 2 2 2 5 2" xfId="2196" xr:uid="{00000000-0005-0000-0000-00007C080000}"/>
    <cellStyle name="Comma 2 2 2 5 2 2" xfId="2197" xr:uid="{00000000-0005-0000-0000-00007D080000}"/>
    <cellStyle name="Comma 2 2 2 5 2 2 2" xfId="2198" xr:uid="{00000000-0005-0000-0000-00007E080000}"/>
    <cellStyle name="Comma 2 2 2 5 2 2 2 2" xfId="2199" xr:uid="{00000000-0005-0000-0000-00007F080000}"/>
    <cellStyle name="Comma 2 2 2 5 2 2 2 3" xfId="2200" xr:uid="{00000000-0005-0000-0000-000080080000}"/>
    <cellStyle name="Comma 2 2 2 5 2 2 3" xfId="2201" xr:uid="{00000000-0005-0000-0000-000081080000}"/>
    <cellStyle name="Comma 2 2 2 5 2 2 4" xfId="2202" xr:uid="{00000000-0005-0000-0000-000082080000}"/>
    <cellStyle name="Comma 2 2 2 5 2 3" xfId="2203" xr:uid="{00000000-0005-0000-0000-000083080000}"/>
    <cellStyle name="Comma 2 2 2 5 2 3 2" xfId="2204" xr:uid="{00000000-0005-0000-0000-000084080000}"/>
    <cellStyle name="Comma 2 2 2 5 2 3 3" xfId="2205" xr:uid="{00000000-0005-0000-0000-000085080000}"/>
    <cellStyle name="Comma 2 2 2 5 2 4" xfId="2206" xr:uid="{00000000-0005-0000-0000-000086080000}"/>
    <cellStyle name="Comma 2 2 2 5 2 5" xfId="2207" xr:uid="{00000000-0005-0000-0000-000087080000}"/>
    <cellStyle name="Comma 2 2 2 5 3" xfId="2208" xr:uid="{00000000-0005-0000-0000-000088080000}"/>
    <cellStyle name="Comma 2 2 2 5 3 2" xfId="2209" xr:uid="{00000000-0005-0000-0000-000089080000}"/>
    <cellStyle name="Comma 2 2 2 5 3 2 2" xfId="2210" xr:uid="{00000000-0005-0000-0000-00008A080000}"/>
    <cellStyle name="Comma 2 2 2 5 3 2 3" xfId="2211" xr:uid="{00000000-0005-0000-0000-00008B080000}"/>
    <cellStyle name="Comma 2 2 2 5 3 3" xfId="2212" xr:uid="{00000000-0005-0000-0000-00008C080000}"/>
    <cellStyle name="Comma 2 2 2 5 3 4" xfId="2213" xr:uid="{00000000-0005-0000-0000-00008D080000}"/>
    <cellStyle name="Comma 2 2 2 5 4" xfId="2214" xr:uid="{00000000-0005-0000-0000-00008E080000}"/>
    <cellStyle name="Comma 2 2 2 5 4 2" xfId="2215" xr:uid="{00000000-0005-0000-0000-00008F080000}"/>
    <cellStyle name="Comma 2 2 2 5 4 3" xfId="2216" xr:uid="{00000000-0005-0000-0000-000090080000}"/>
    <cellStyle name="Comma 2 2 2 5 5" xfId="2217" xr:uid="{00000000-0005-0000-0000-000091080000}"/>
    <cellStyle name="Comma 2 2 2 5 6" xfId="2218" xr:uid="{00000000-0005-0000-0000-000092080000}"/>
    <cellStyle name="Comma 2 2 2 6" xfId="2219" xr:uid="{00000000-0005-0000-0000-000093080000}"/>
    <cellStyle name="Comma 2 2 2 6 2" xfId="2220" xr:uid="{00000000-0005-0000-0000-000094080000}"/>
    <cellStyle name="Comma 2 2 2 6 2 2" xfId="2221" xr:uid="{00000000-0005-0000-0000-000095080000}"/>
    <cellStyle name="Comma 2 2 2 6 2 2 2" xfId="2222" xr:uid="{00000000-0005-0000-0000-000096080000}"/>
    <cellStyle name="Comma 2 2 2 6 2 2 2 2" xfId="2223" xr:uid="{00000000-0005-0000-0000-000097080000}"/>
    <cellStyle name="Comma 2 2 2 6 2 2 2 3" xfId="2224" xr:uid="{00000000-0005-0000-0000-000098080000}"/>
    <cellStyle name="Comma 2 2 2 6 2 2 3" xfId="2225" xr:uid="{00000000-0005-0000-0000-000099080000}"/>
    <cellStyle name="Comma 2 2 2 6 2 2 4" xfId="2226" xr:uid="{00000000-0005-0000-0000-00009A080000}"/>
    <cellStyle name="Comma 2 2 2 6 2 3" xfId="2227" xr:uid="{00000000-0005-0000-0000-00009B080000}"/>
    <cellStyle name="Comma 2 2 2 6 2 3 2" xfId="2228" xr:uid="{00000000-0005-0000-0000-00009C080000}"/>
    <cellStyle name="Comma 2 2 2 6 2 3 3" xfId="2229" xr:uid="{00000000-0005-0000-0000-00009D080000}"/>
    <cellStyle name="Comma 2 2 2 6 2 4" xfId="2230" xr:uid="{00000000-0005-0000-0000-00009E080000}"/>
    <cellStyle name="Comma 2 2 2 6 2 5" xfId="2231" xr:uid="{00000000-0005-0000-0000-00009F080000}"/>
    <cellStyle name="Comma 2 2 2 6 3" xfId="2232" xr:uid="{00000000-0005-0000-0000-0000A0080000}"/>
    <cellStyle name="Comma 2 2 2 6 3 2" xfId="2233" xr:uid="{00000000-0005-0000-0000-0000A1080000}"/>
    <cellStyle name="Comma 2 2 2 6 3 2 2" xfId="2234" xr:uid="{00000000-0005-0000-0000-0000A2080000}"/>
    <cellStyle name="Comma 2 2 2 6 3 2 3" xfId="2235" xr:uid="{00000000-0005-0000-0000-0000A3080000}"/>
    <cellStyle name="Comma 2 2 2 6 3 3" xfId="2236" xr:uid="{00000000-0005-0000-0000-0000A4080000}"/>
    <cellStyle name="Comma 2 2 2 6 3 4" xfId="2237" xr:uid="{00000000-0005-0000-0000-0000A5080000}"/>
    <cellStyle name="Comma 2 2 2 6 4" xfId="2238" xr:uid="{00000000-0005-0000-0000-0000A6080000}"/>
    <cellStyle name="Comma 2 2 2 6 4 2" xfId="2239" xr:uid="{00000000-0005-0000-0000-0000A7080000}"/>
    <cellStyle name="Comma 2 2 2 6 4 3" xfId="2240" xr:uid="{00000000-0005-0000-0000-0000A8080000}"/>
    <cellStyle name="Comma 2 2 2 6 5" xfId="2241" xr:uid="{00000000-0005-0000-0000-0000A9080000}"/>
    <cellStyle name="Comma 2 2 2 6 6" xfId="2242" xr:uid="{00000000-0005-0000-0000-0000AA080000}"/>
    <cellStyle name="Comma 2 2 2 7" xfId="2243" xr:uid="{00000000-0005-0000-0000-0000AB080000}"/>
    <cellStyle name="Comma 2 2 2 8" xfId="2244" xr:uid="{00000000-0005-0000-0000-0000AC080000}"/>
    <cellStyle name="Comma 2 2 3" xfId="2245" xr:uid="{00000000-0005-0000-0000-0000AD080000}"/>
    <cellStyle name="Comma 2 2 3 10" xfId="2246" xr:uid="{00000000-0005-0000-0000-0000AE080000}"/>
    <cellStyle name="Comma 2 2 3 2" xfId="2247" xr:uid="{00000000-0005-0000-0000-0000AF080000}"/>
    <cellStyle name="Comma 2 2 3 2 2" xfId="2248" xr:uid="{00000000-0005-0000-0000-0000B0080000}"/>
    <cellStyle name="Comma 2 2 3 2 2 2" xfId="2249" xr:uid="{00000000-0005-0000-0000-0000B1080000}"/>
    <cellStyle name="Comma 2 2 3 2 2 2 2" xfId="2250" xr:uid="{00000000-0005-0000-0000-0000B2080000}"/>
    <cellStyle name="Comma 2 2 3 2 2 2 2 2" xfId="2251" xr:uid="{00000000-0005-0000-0000-0000B3080000}"/>
    <cellStyle name="Comma 2 2 3 2 2 2 2 2 2" xfId="2252" xr:uid="{00000000-0005-0000-0000-0000B4080000}"/>
    <cellStyle name="Comma 2 2 3 2 2 2 2 2 3" xfId="2253" xr:uid="{00000000-0005-0000-0000-0000B5080000}"/>
    <cellStyle name="Comma 2 2 3 2 2 2 2 3" xfId="2254" xr:uid="{00000000-0005-0000-0000-0000B6080000}"/>
    <cellStyle name="Comma 2 2 3 2 2 2 2 4" xfId="2255" xr:uid="{00000000-0005-0000-0000-0000B7080000}"/>
    <cellStyle name="Comma 2 2 3 2 2 2 3" xfId="2256" xr:uid="{00000000-0005-0000-0000-0000B8080000}"/>
    <cellStyle name="Comma 2 2 3 2 2 2 3 2" xfId="2257" xr:uid="{00000000-0005-0000-0000-0000B9080000}"/>
    <cellStyle name="Comma 2 2 3 2 2 2 3 3" xfId="2258" xr:uid="{00000000-0005-0000-0000-0000BA080000}"/>
    <cellStyle name="Comma 2 2 3 2 2 2 4" xfId="2259" xr:uid="{00000000-0005-0000-0000-0000BB080000}"/>
    <cellStyle name="Comma 2 2 3 2 2 2 5" xfId="2260" xr:uid="{00000000-0005-0000-0000-0000BC080000}"/>
    <cellStyle name="Comma 2 2 3 2 2 3" xfId="2261" xr:uid="{00000000-0005-0000-0000-0000BD080000}"/>
    <cellStyle name="Comma 2 2 3 2 2 3 2" xfId="2262" xr:uid="{00000000-0005-0000-0000-0000BE080000}"/>
    <cellStyle name="Comma 2 2 3 2 2 3 2 2" xfId="2263" xr:uid="{00000000-0005-0000-0000-0000BF080000}"/>
    <cellStyle name="Comma 2 2 3 2 2 3 2 3" xfId="2264" xr:uid="{00000000-0005-0000-0000-0000C0080000}"/>
    <cellStyle name="Comma 2 2 3 2 2 3 3" xfId="2265" xr:uid="{00000000-0005-0000-0000-0000C1080000}"/>
    <cellStyle name="Comma 2 2 3 2 2 3 4" xfId="2266" xr:uid="{00000000-0005-0000-0000-0000C2080000}"/>
    <cellStyle name="Comma 2 2 3 2 2 4" xfId="2267" xr:uid="{00000000-0005-0000-0000-0000C3080000}"/>
    <cellStyle name="Comma 2 2 3 2 2 4 2" xfId="2268" xr:uid="{00000000-0005-0000-0000-0000C4080000}"/>
    <cellStyle name="Comma 2 2 3 2 2 4 3" xfId="2269" xr:uid="{00000000-0005-0000-0000-0000C5080000}"/>
    <cellStyle name="Comma 2 2 3 2 2 5" xfId="2270" xr:uid="{00000000-0005-0000-0000-0000C6080000}"/>
    <cellStyle name="Comma 2 2 3 2 2 6" xfId="2271" xr:uid="{00000000-0005-0000-0000-0000C7080000}"/>
    <cellStyle name="Comma 2 2 3 2 3" xfId="2272" xr:uid="{00000000-0005-0000-0000-0000C8080000}"/>
    <cellStyle name="Comma 2 2 3 2 3 2" xfId="2273" xr:uid="{00000000-0005-0000-0000-0000C9080000}"/>
    <cellStyle name="Comma 2 2 3 2 3 2 2" xfId="2274" xr:uid="{00000000-0005-0000-0000-0000CA080000}"/>
    <cellStyle name="Comma 2 2 3 2 3 2 2 2" xfId="2275" xr:uid="{00000000-0005-0000-0000-0000CB080000}"/>
    <cellStyle name="Comma 2 2 3 2 3 2 2 2 2" xfId="2276" xr:uid="{00000000-0005-0000-0000-0000CC080000}"/>
    <cellStyle name="Comma 2 2 3 2 3 2 2 2 3" xfId="2277" xr:uid="{00000000-0005-0000-0000-0000CD080000}"/>
    <cellStyle name="Comma 2 2 3 2 3 2 2 3" xfId="2278" xr:uid="{00000000-0005-0000-0000-0000CE080000}"/>
    <cellStyle name="Comma 2 2 3 2 3 2 2 4" xfId="2279" xr:uid="{00000000-0005-0000-0000-0000CF080000}"/>
    <cellStyle name="Comma 2 2 3 2 3 2 3" xfId="2280" xr:uid="{00000000-0005-0000-0000-0000D0080000}"/>
    <cellStyle name="Comma 2 2 3 2 3 2 3 2" xfId="2281" xr:uid="{00000000-0005-0000-0000-0000D1080000}"/>
    <cellStyle name="Comma 2 2 3 2 3 2 3 3" xfId="2282" xr:uid="{00000000-0005-0000-0000-0000D2080000}"/>
    <cellStyle name="Comma 2 2 3 2 3 2 4" xfId="2283" xr:uid="{00000000-0005-0000-0000-0000D3080000}"/>
    <cellStyle name="Comma 2 2 3 2 3 2 5" xfId="2284" xr:uid="{00000000-0005-0000-0000-0000D4080000}"/>
    <cellStyle name="Comma 2 2 3 2 3 3" xfId="2285" xr:uid="{00000000-0005-0000-0000-0000D5080000}"/>
    <cellStyle name="Comma 2 2 3 2 3 3 2" xfId="2286" xr:uid="{00000000-0005-0000-0000-0000D6080000}"/>
    <cellStyle name="Comma 2 2 3 2 3 3 2 2" xfId="2287" xr:uid="{00000000-0005-0000-0000-0000D7080000}"/>
    <cellStyle name="Comma 2 2 3 2 3 3 2 3" xfId="2288" xr:uid="{00000000-0005-0000-0000-0000D8080000}"/>
    <cellStyle name="Comma 2 2 3 2 3 3 3" xfId="2289" xr:uid="{00000000-0005-0000-0000-0000D9080000}"/>
    <cellStyle name="Comma 2 2 3 2 3 3 4" xfId="2290" xr:uid="{00000000-0005-0000-0000-0000DA080000}"/>
    <cellStyle name="Comma 2 2 3 2 3 4" xfId="2291" xr:uid="{00000000-0005-0000-0000-0000DB080000}"/>
    <cellStyle name="Comma 2 2 3 2 3 4 2" xfId="2292" xr:uid="{00000000-0005-0000-0000-0000DC080000}"/>
    <cellStyle name="Comma 2 2 3 2 3 4 3" xfId="2293" xr:uid="{00000000-0005-0000-0000-0000DD080000}"/>
    <cellStyle name="Comma 2 2 3 2 3 5" xfId="2294" xr:uid="{00000000-0005-0000-0000-0000DE080000}"/>
    <cellStyle name="Comma 2 2 3 2 3 6" xfId="2295" xr:uid="{00000000-0005-0000-0000-0000DF080000}"/>
    <cellStyle name="Comma 2 2 3 2 4" xfId="2296" xr:uid="{00000000-0005-0000-0000-0000E0080000}"/>
    <cellStyle name="Comma 2 2 3 2 4 2" xfId="2297" xr:uid="{00000000-0005-0000-0000-0000E1080000}"/>
    <cellStyle name="Comma 2 2 3 2 4 2 2" xfId="2298" xr:uid="{00000000-0005-0000-0000-0000E2080000}"/>
    <cellStyle name="Comma 2 2 3 2 4 2 2 2" xfId="2299" xr:uid="{00000000-0005-0000-0000-0000E3080000}"/>
    <cellStyle name="Comma 2 2 3 2 4 2 2 2 2" xfId="2300" xr:uid="{00000000-0005-0000-0000-0000E4080000}"/>
    <cellStyle name="Comma 2 2 3 2 4 2 2 2 3" xfId="2301" xr:uid="{00000000-0005-0000-0000-0000E5080000}"/>
    <cellStyle name="Comma 2 2 3 2 4 2 2 3" xfId="2302" xr:uid="{00000000-0005-0000-0000-0000E6080000}"/>
    <cellStyle name="Comma 2 2 3 2 4 2 2 4" xfId="2303" xr:uid="{00000000-0005-0000-0000-0000E7080000}"/>
    <cellStyle name="Comma 2 2 3 2 4 2 3" xfId="2304" xr:uid="{00000000-0005-0000-0000-0000E8080000}"/>
    <cellStyle name="Comma 2 2 3 2 4 2 3 2" xfId="2305" xr:uid="{00000000-0005-0000-0000-0000E9080000}"/>
    <cellStyle name="Comma 2 2 3 2 4 2 3 3" xfId="2306" xr:uid="{00000000-0005-0000-0000-0000EA080000}"/>
    <cellStyle name="Comma 2 2 3 2 4 2 4" xfId="2307" xr:uid="{00000000-0005-0000-0000-0000EB080000}"/>
    <cellStyle name="Comma 2 2 3 2 4 2 5" xfId="2308" xr:uid="{00000000-0005-0000-0000-0000EC080000}"/>
    <cellStyle name="Comma 2 2 3 2 4 3" xfId="2309" xr:uid="{00000000-0005-0000-0000-0000ED080000}"/>
    <cellStyle name="Comma 2 2 3 2 4 3 2" xfId="2310" xr:uid="{00000000-0005-0000-0000-0000EE080000}"/>
    <cellStyle name="Comma 2 2 3 2 4 3 2 2" xfId="2311" xr:uid="{00000000-0005-0000-0000-0000EF080000}"/>
    <cellStyle name="Comma 2 2 3 2 4 3 2 3" xfId="2312" xr:uid="{00000000-0005-0000-0000-0000F0080000}"/>
    <cellStyle name="Comma 2 2 3 2 4 3 3" xfId="2313" xr:uid="{00000000-0005-0000-0000-0000F1080000}"/>
    <cellStyle name="Comma 2 2 3 2 4 3 4" xfId="2314" xr:uid="{00000000-0005-0000-0000-0000F2080000}"/>
    <cellStyle name="Comma 2 2 3 2 4 4" xfId="2315" xr:uid="{00000000-0005-0000-0000-0000F3080000}"/>
    <cellStyle name="Comma 2 2 3 2 4 4 2" xfId="2316" xr:uid="{00000000-0005-0000-0000-0000F4080000}"/>
    <cellStyle name="Comma 2 2 3 2 4 4 3" xfId="2317" xr:uid="{00000000-0005-0000-0000-0000F5080000}"/>
    <cellStyle name="Comma 2 2 3 2 4 5" xfId="2318" xr:uid="{00000000-0005-0000-0000-0000F6080000}"/>
    <cellStyle name="Comma 2 2 3 2 4 6" xfId="2319" xr:uid="{00000000-0005-0000-0000-0000F7080000}"/>
    <cellStyle name="Comma 2 2 3 2 5" xfId="2320" xr:uid="{00000000-0005-0000-0000-0000F8080000}"/>
    <cellStyle name="Comma 2 2 3 2 5 2" xfId="2321" xr:uid="{00000000-0005-0000-0000-0000F9080000}"/>
    <cellStyle name="Comma 2 2 3 2 5 2 2" xfId="2322" xr:uid="{00000000-0005-0000-0000-0000FA080000}"/>
    <cellStyle name="Comma 2 2 3 2 5 2 2 2" xfId="2323" xr:uid="{00000000-0005-0000-0000-0000FB080000}"/>
    <cellStyle name="Comma 2 2 3 2 5 2 2 2 2" xfId="2324" xr:uid="{00000000-0005-0000-0000-0000FC080000}"/>
    <cellStyle name="Comma 2 2 3 2 5 2 2 2 3" xfId="2325" xr:uid="{00000000-0005-0000-0000-0000FD080000}"/>
    <cellStyle name="Comma 2 2 3 2 5 2 2 3" xfId="2326" xr:uid="{00000000-0005-0000-0000-0000FE080000}"/>
    <cellStyle name="Comma 2 2 3 2 5 2 2 4" xfId="2327" xr:uid="{00000000-0005-0000-0000-0000FF080000}"/>
    <cellStyle name="Comma 2 2 3 2 5 2 3" xfId="2328" xr:uid="{00000000-0005-0000-0000-000000090000}"/>
    <cellStyle name="Comma 2 2 3 2 5 2 3 2" xfId="2329" xr:uid="{00000000-0005-0000-0000-000001090000}"/>
    <cellStyle name="Comma 2 2 3 2 5 2 3 3" xfId="2330" xr:uid="{00000000-0005-0000-0000-000002090000}"/>
    <cellStyle name="Comma 2 2 3 2 5 2 4" xfId="2331" xr:uid="{00000000-0005-0000-0000-000003090000}"/>
    <cellStyle name="Comma 2 2 3 2 5 2 5" xfId="2332" xr:uid="{00000000-0005-0000-0000-000004090000}"/>
    <cellStyle name="Comma 2 2 3 2 5 3" xfId="2333" xr:uid="{00000000-0005-0000-0000-000005090000}"/>
    <cellStyle name="Comma 2 2 3 2 5 3 2" xfId="2334" xr:uid="{00000000-0005-0000-0000-000006090000}"/>
    <cellStyle name="Comma 2 2 3 2 5 3 2 2" xfId="2335" xr:uid="{00000000-0005-0000-0000-000007090000}"/>
    <cellStyle name="Comma 2 2 3 2 5 3 2 3" xfId="2336" xr:uid="{00000000-0005-0000-0000-000008090000}"/>
    <cellStyle name="Comma 2 2 3 2 5 3 3" xfId="2337" xr:uid="{00000000-0005-0000-0000-000009090000}"/>
    <cellStyle name="Comma 2 2 3 2 5 3 4" xfId="2338" xr:uid="{00000000-0005-0000-0000-00000A090000}"/>
    <cellStyle name="Comma 2 2 3 2 5 4" xfId="2339" xr:uid="{00000000-0005-0000-0000-00000B090000}"/>
    <cellStyle name="Comma 2 2 3 2 5 4 2" xfId="2340" xr:uid="{00000000-0005-0000-0000-00000C090000}"/>
    <cellStyle name="Comma 2 2 3 2 5 4 3" xfId="2341" xr:uid="{00000000-0005-0000-0000-00000D090000}"/>
    <cellStyle name="Comma 2 2 3 2 5 5" xfId="2342" xr:uid="{00000000-0005-0000-0000-00000E090000}"/>
    <cellStyle name="Comma 2 2 3 2 5 6" xfId="2343" xr:uid="{00000000-0005-0000-0000-00000F090000}"/>
    <cellStyle name="Comma 2 2 3 3" xfId="2344" xr:uid="{00000000-0005-0000-0000-000010090000}"/>
    <cellStyle name="Comma 2 2 3 3 2" xfId="2345" xr:uid="{00000000-0005-0000-0000-000011090000}"/>
    <cellStyle name="Comma 2 2 3 3 2 2" xfId="2346" xr:uid="{00000000-0005-0000-0000-000012090000}"/>
    <cellStyle name="Comma 2 2 3 3 2 2 2" xfId="2347" xr:uid="{00000000-0005-0000-0000-000013090000}"/>
    <cellStyle name="Comma 2 2 3 3 2 2 2 2" xfId="2348" xr:uid="{00000000-0005-0000-0000-000014090000}"/>
    <cellStyle name="Comma 2 2 3 3 2 2 2 3" xfId="2349" xr:uid="{00000000-0005-0000-0000-000015090000}"/>
    <cellStyle name="Comma 2 2 3 3 2 2 3" xfId="2350" xr:uid="{00000000-0005-0000-0000-000016090000}"/>
    <cellStyle name="Comma 2 2 3 3 2 2 4" xfId="2351" xr:uid="{00000000-0005-0000-0000-000017090000}"/>
    <cellStyle name="Comma 2 2 3 3 2 3" xfId="2352" xr:uid="{00000000-0005-0000-0000-000018090000}"/>
    <cellStyle name="Comma 2 2 3 3 2 3 2" xfId="2353" xr:uid="{00000000-0005-0000-0000-000019090000}"/>
    <cellStyle name="Comma 2 2 3 3 2 3 3" xfId="2354" xr:uid="{00000000-0005-0000-0000-00001A090000}"/>
    <cellStyle name="Comma 2 2 3 3 2 4" xfId="2355" xr:uid="{00000000-0005-0000-0000-00001B090000}"/>
    <cellStyle name="Comma 2 2 3 3 2 5" xfId="2356" xr:uid="{00000000-0005-0000-0000-00001C090000}"/>
    <cellStyle name="Comma 2 2 3 3 3" xfId="2357" xr:uid="{00000000-0005-0000-0000-00001D090000}"/>
    <cellStyle name="Comma 2 2 3 3 3 2" xfId="2358" xr:uid="{00000000-0005-0000-0000-00001E090000}"/>
    <cellStyle name="Comma 2 2 3 3 3 2 2" xfId="2359" xr:uid="{00000000-0005-0000-0000-00001F090000}"/>
    <cellStyle name="Comma 2 2 3 3 3 2 3" xfId="2360" xr:uid="{00000000-0005-0000-0000-000020090000}"/>
    <cellStyle name="Comma 2 2 3 3 3 3" xfId="2361" xr:uid="{00000000-0005-0000-0000-000021090000}"/>
    <cellStyle name="Comma 2 2 3 3 3 4" xfId="2362" xr:uid="{00000000-0005-0000-0000-000022090000}"/>
    <cellStyle name="Comma 2 2 3 3 4" xfId="2363" xr:uid="{00000000-0005-0000-0000-000023090000}"/>
    <cellStyle name="Comma 2 2 3 3 4 2" xfId="2364" xr:uid="{00000000-0005-0000-0000-000024090000}"/>
    <cellStyle name="Comma 2 2 3 3 4 3" xfId="2365" xr:uid="{00000000-0005-0000-0000-000025090000}"/>
    <cellStyle name="Comma 2 2 3 3 5" xfId="2366" xr:uid="{00000000-0005-0000-0000-000026090000}"/>
    <cellStyle name="Comma 2 2 3 3 6" xfId="2367" xr:uid="{00000000-0005-0000-0000-000027090000}"/>
    <cellStyle name="Comma 2 2 3 4" xfId="2368" xr:uid="{00000000-0005-0000-0000-000028090000}"/>
    <cellStyle name="Comma 2 2 3 4 2" xfId="2369" xr:uid="{00000000-0005-0000-0000-000029090000}"/>
    <cellStyle name="Comma 2 2 3 5" xfId="2370" xr:uid="{00000000-0005-0000-0000-00002A090000}"/>
    <cellStyle name="Comma 2 2 3 5 2" xfId="2371" xr:uid="{00000000-0005-0000-0000-00002B090000}"/>
    <cellStyle name="Comma 2 2 3 6" xfId="2372" xr:uid="{00000000-0005-0000-0000-00002C090000}"/>
    <cellStyle name="Comma 2 2 3 6 2" xfId="2373" xr:uid="{00000000-0005-0000-0000-00002D090000}"/>
    <cellStyle name="Comma 2 2 3 6 2 2" xfId="2374" xr:uid="{00000000-0005-0000-0000-00002E090000}"/>
    <cellStyle name="Comma 2 2 3 6 2 2 2" xfId="2375" xr:uid="{00000000-0005-0000-0000-00002F090000}"/>
    <cellStyle name="Comma 2 2 3 6 2 2 3" xfId="2376" xr:uid="{00000000-0005-0000-0000-000030090000}"/>
    <cellStyle name="Comma 2 2 3 6 2 3" xfId="2377" xr:uid="{00000000-0005-0000-0000-000031090000}"/>
    <cellStyle name="Comma 2 2 3 6 2 4" xfId="2378" xr:uid="{00000000-0005-0000-0000-000032090000}"/>
    <cellStyle name="Comma 2 2 3 6 3" xfId="2379" xr:uid="{00000000-0005-0000-0000-000033090000}"/>
    <cellStyle name="Comma 2 2 3 6 3 2" xfId="2380" xr:uid="{00000000-0005-0000-0000-000034090000}"/>
    <cellStyle name="Comma 2 2 3 6 3 3" xfId="2381" xr:uid="{00000000-0005-0000-0000-000035090000}"/>
    <cellStyle name="Comma 2 2 3 6 4" xfId="2382" xr:uid="{00000000-0005-0000-0000-000036090000}"/>
    <cellStyle name="Comma 2 2 3 6 5" xfId="2383" xr:uid="{00000000-0005-0000-0000-000037090000}"/>
    <cellStyle name="Comma 2 2 3 7" xfId="2384" xr:uid="{00000000-0005-0000-0000-000038090000}"/>
    <cellStyle name="Comma 2 2 3 7 2" xfId="2385" xr:uid="{00000000-0005-0000-0000-000039090000}"/>
    <cellStyle name="Comma 2 2 3 7 2 2" xfId="2386" xr:uid="{00000000-0005-0000-0000-00003A090000}"/>
    <cellStyle name="Comma 2 2 3 7 2 3" xfId="2387" xr:uid="{00000000-0005-0000-0000-00003B090000}"/>
    <cellStyle name="Comma 2 2 3 7 3" xfId="2388" xr:uid="{00000000-0005-0000-0000-00003C090000}"/>
    <cellStyle name="Comma 2 2 3 7 4" xfId="2389" xr:uid="{00000000-0005-0000-0000-00003D090000}"/>
    <cellStyle name="Comma 2 2 3 8" xfId="2390" xr:uid="{00000000-0005-0000-0000-00003E090000}"/>
    <cellStyle name="Comma 2 2 3 8 2" xfId="2391" xr:uid="{00000000-0005-0000-0000-00003F090000}"/>
    <cellStyle name="Comma 2 2 3 8 3" xfId="2392" xr:uid="{00000000-0005-0000-0000-000040090000}"/>
    <cellStyle name="Comma 2 2 3 9" xfId="2393" xr:uid="{00000000-0005-0000-0000-000041090000}"/>
    <cellStyle name="Comma 2 2 4" xfId="2394" xr:uid="{00000000-0005-0000-0000-000042090000}"/>
    <cellStyle name="Comma 2 2 4 2" xfId="2395" xr:uid="{00000000-0005-0000-0000-000043090000}"/>
    <cellStyle name="Comma 2 2 4 2 2" xfId="2396" xr:uid="{00000000-0005-0000-0000-000044090000}"/>
    <cellStyle name="Comma 2 2 4 2 2 2" xfId="2397" xr:uid="{00000000-0005-0000-0000-000045090000}"/>
    <cellStyle name="Comma 2 2 4 2 2 2 2" xfId="2398" xr:uid="{00000000-0005-0000-0000-000046090000}"/>
    <cellStyle name="Comma 2 2 4 2 2 2 2 2" xfId="2399" xr:uid="{00000000-0005-0000-0000-000047090000}"/>
    <cellStyle name="Comma 2 2 4 2 2 2 2 3" xfId="2400" xr:uid="{00000000-0005-0000-0000-000048090000}"/>
    <cellStyle name="Comma 2 2 4 2 2 2 3" xfId="2401" xr:uid="{00000000-0005-0000-0000-000049090000}"/>
    <cellStyle name="Comma 2 2 4 2 2 2 4" xfId="2402" xr:uid="{00000000-0005-0000-0000-00004A090000}"/>
    <cellStyle name="Comma 2 2 4 2 2 3" xfId="2403" xr:uid="{00000000-0005-0000-0000-00004B090000}"/>
    <cellStyle name="Comma 2 2 4 2 2 3 2" xfId="2404" xr:uid="{00000000-0005-0000-0000-00004C090000}"/>
    <cellStyle name="Comma 2 2 4 2 2 3 3" xfId="2405" xr:uid="{00000000-0005-0000-0000-00004D090000}"/>
    <cellStyle name="Comma 2 2 4 2 2 4" xfId="2406" xr:uid="{00000000-0005-0000-0000-00004E090000}"/>
    <cellStyle name="Comma 2 2 4 2 2 5" xfId="2407" xr:uid="{00000000-0005-0000-0000-00004F090000}"/>
    <cellStyle name="Comma 2 2 4 2 3" xfId="2408" xr:uid="{00000000-0005-0000-0000-000050090000}"/>
    <cellStyle name="Comma 2 2 4 2 3 2" xfId="2409" xr:uid="{00000000-0005-0000-0000-000051090000}"/>
    <cellStyle name="Comma 2 2 4 2 3 2 2" xfId="2410" xr:uid="{00000000-0005-0000-0000-000052090000}"/>
    <cellStyle name="Comma 2 2 4 2 3 2 3" xfId="2411" xr:uid="{00000000-0005-0000-0000-000053090000}"/>
    <cellStyle name="Comma 2 2 4 2 3 3" xfId="2412" xr:uid="{00000000-0005-0000-0000-000054090000}"/>
    <cellStyle name="Comma 2 2 4 2 3 4" xfId="2413" xr:uid="{00000000-0005-0000-0000-000055090000}"/>
    <cellStyle name="Comma 2 2 4 2 4" xfId="2414" xr:uid="{00000000-0005-0000-0000-000056090000}"/>
    <cellStyle name="Comma 2 2 4 2 4 2" xfId="2415" xr:uid="{00000000-0005-0000-0000-000057090000}"/>
    <cellStyle name="Comma 2 2 4 2 4 3" xfId="2416" xr:uid="{00000000-0005-0000-0000-000058090000}"/>
    <cellStyle name="Comma 2 2 4 2 5" xfId="2417" xr:uid="{00000000-0005-0000-0000-000059090000}"/>
    <cellStyle name="Comma 2 2 4 2 6" xfId="2418" xr:uid="{00000000-0005-0000-0000-00005A090000}"/>
    <cellStyle name="Comma 2 2 4 3" xfId="2419" xr:uid="{00000000-0005-0000-0000-00005B090000}"/>
    <cellStyle name="Comma 2 2 4 4" xfId="2420" xr:uid="{00000000-0005-0000-0000-00005C090000}"/>
    <cellStyle name="Comma 2 2 5" xfId="2421" xr:uid="{00000000-0005-0000-0000-00005D090000}"/>
    <cellStyle name="Comma 2 2 5 2" xfId="2422" xr:uid="{00000000-0005-0000-0000-00005E090000}"/>
    <cellStyle name="Comma 2 2 5 2 2" xfId="2423" xr:uid="{00000000-0005-0000-0000-00005F090000}"/>
    <cellStyle name="Comma 2 2 5 2 2 2" xfId="2424" xr:uid="{00000000-0005-0000-0000-000060090000}"/>
    <cellStyle name="Comma 2 2 5 2 2 2 2" xfId="2425" xr:uid="{00000000-0005-0000-0000-000061090000}"/>
    <cellStyle name="Comma 2 2 5 2 2 2 3" xfId="2426" xr:uid="{00000000-0005-0000-0000-000062090000}"/>
    <cellStyle name="Comma 2 2 5 2 2 3" xfId="2427" xr:uid="{00000000-0005-0000-0000-000063090000}"/>
    <cellStyle name="Comma 2 2 5 2 2 4" xfId="2428" xr:uid="{00000000-0005-0000-0000-000064090000}"/>
    <cellStyle name="Comma 2 2 5 2 3" xfId="2429" xr:uid="{00000000-0005-0000-0000-000065090000}"/>
    <cellStyle name="Comma 2 2 5 2 3 2" xfId="2430" xr:uid="{00000000-0005-0000-0000-000066090000}"/>
    <cellStyle name="Comma 2 2 5 2 3 3" xfId="2431" xr:uid="{00000000-0005-0000-0000-000067090000}"/>
    <cellStyle name="Comma 2 2 5 2 4" xfId="2432" xr:uid="{00000000-0005-0000-0000-000068090000}"/>
    <cellStyle name="Comma 2 2 5 2 5" xfId="2433" xr:uid="{00000000-0005-0000-0000-000069090000}"/>
    <cellStyle name="Comma 2 2 5 3" xfId="2434" xr:uid="{00000000-0005-0000-0000-00006A090000}"/>
    <cellStyle name="Comma 2 2 5 3 2" xfId="2435" xr:uid="{00000000-0005-0000-0000-00006B090000}"/>
    <cellStyle name="Comma 2 2 5 3 2 2" xfId="2436" xr:uid="{00000000-0005-0000-0000-00006C090000}"/>
    <cellStyle name="Comma 2 2 5 3 2 3" xfId="2437" xr:uid="{00000000-0005-0000-0000-00006D090000}"/>
    <cellStyle name="Comma 2 2 5 3 3" xfId="2438" xr:uid="{00000000-0005-0000-0000-00006E090000}"/>
    <cellStyle name="Comma 2 2 5 3 4" xfId="2439" xr:uid="{00000000-0005-0000-0000-00006F090000}"/>
    <cellStyle name="Comma 2 2 5 4" xfId="2440" xr:uid="{00000000-0005-0000-0000-000070090000}"/>
    <cellStyle name="Comma 2 2 5 4 2" xfId="2441" xr:uid="{00000000-0005-0000-0000-000071090000}"/>
    <cellStyle name="Comma 2 2 5 4 3" xfId="2442" xr:uid="{00000000-0005-0000-0000-000072090000}"/>
    <cellStyle name="Comma 2 2 5 5" xfId="2443" xr:uid="{00000000-0005-0000-0000-000073090000}"/>
    <cellStyle name="Comma 2 2 5 6" xfId="2444" xr:uid="{00000000-0005-0000-0000-000074090000}"/>
    <cellStyle name="Comma 2 2 6" xfId="2445" xr:uid="{00000000-0005-0000-0000-000075090000}"/>
    <cellStyle name="Comma 2 2 6 2" xfId="2446" xr:uid="{00000000-0005-0000-0000-000076090000}"/>
    <cellStyle name="Comma 2 2 6 2 2" xfId="2447" xr:uid="{00000000-0005-0000-0000-000077090000}"/>
    <cellStyle name="Comma 2 2 6 2 2 2" xfId="2448" xr:uid="{00000000-0005-0000-0000-000078090000}"/>
    <cellStyle name="Comma 2 2 6 2 2 2 2" xfId="2449" xr:uid="{00000000-0005-0000-0000-000079090000}"/>
    <cellStyle name="Comma 2 2 6 2 2 2 3" xfId="2450" xr:uid="{00000000-0005-0000-0000-00007A090000}"/>
    <cellStyle name="Comma 2 2 6 2 2 3" xfId="2451" xr:uid="{00000000-0005-0000-0000-00007B090000}"/>
    <cellStyle name="Comma 2 2 6 2 2 4" xfId="2452" xr:uid="{00000000-0005-0000-0000-00007C090000}"/>
    <cellStyle name="Comma 2 2 6 2 3" xfId="2453" xr:uid="{00000000-0005-0000-0000-00007D090000}"/>
    <cellStyle name="Comma 2 2 6 2 3 2" xfId="2454" xr:uid="{00000000-0005-0000-0000-00007E090000}"/>
    <cellStyle name="Comma 2 2 6 2 3 3" xfId="2455" xr:uid="{00000000-0005-0000-0000-00007F090000}"/>
    <cellStyle name="Comma 2 2 6 2 4" xfId="2456" xr:uid="{00000000-0005-0000-0000-000080090000}"/>
    <cellStyle name="Comma 2 2 6 2 5" xfId="2457" xr:uid="{00000000-0005-0000-0000-000081090000}"/>
    <cellStyle name="Comma 2 2 6 3" xfId="2458" xr:uid="{00000000-0005-0000-0000-000082090000}"/>
    <cellStyle name="Comma 2 2 6 3 2" xfId="2459" xr:uid="{00000000-0005-0000-0000-000083090000}"/>
    <cellStyle name="Comma 2 2 6 3 2 2" xfId="2460" xr:uid="{00000000-0005-0000-0000-000084090000}"/>
    <cellStyle name="Comma 2 2 6 3 2 3" xfId="2461" xr:uid="{00000000-0005-0000-0000-000085090000}"/>
    <cellStyle name="Comma 2 2 6 3 3" xfId="2462" xr:uid="{00000000-0005-0000-0000-000086090000}"/>
    <cellStyle name="Comma 2 2 6 3 4" xfId="2463" xr:uid="{00000000-0005-0000-0000-000087090000}"/>
    <cellStyle name="Comma 2 2 6 4" xfId="2464" xr:uid="{00000000-0005-0000-0000-000088090000}"/>
    <cellStyle name="Comma 2 2 6 4 2" xfId="2465" xr:uid="{00000000-0005-0000-0000-000089090000}"/>
    <cellStyle name="Comma 2 2 6 4 3" xfId="2466" xr:uid="{00000000-0005-0000-0000-00008A090000}"/>
    <cellStyle name="Comma 2 2 6 5" xfId="2467" xr:uid="{00000000-0005-0000-0000-00008B090000}"/>
    <cellStyle name="Comma 2 2 6 6" xfId="2468" xr:uid="{00000000-0005-0000-0000-00008C090000}"/>
    <cellStyle name="Comma 2 2 7" xfId="2469" xr:uid="{00000000-0005-0000-0000-00008D090000}"/>
    <cellStyle name="Comma 2 2 7 2" xfId="2470" xr:uid="{00000000-0005-0000-0000-00008E090000}"/>
    <cellStyle name="Comma 2 2 7 2 2" xfId="2471" xr:uid="{00000000-0005-0000-0000-00008F090000}"/>
    <cellStyle name="Comma 2 2 7 2 2 2" xfId="2472" xr:uid="{00000000-0005-0000-0000-000090090000}"/>
    <cellStyle name="Comma 2 2 7 2 2 2 2" xfId="2473" xr:uid="{00000000-0005-0000-0000-000091090000}"/>
    <cellStyle name="Comma 2 2 7 2 2 2 3" xfId="2474" xr:uid="{00000000-0005-0000-0000-000092090000}"/>
    <cellStyle name="Comma 2 2 7 2 2 3" xfId="2475" xr:uid="{00000000-0005-0000-0000-000093090000}"/>
    <cellStyle name="Comma 2 2 7 2 2 4" xfId="2476" xr:uid="{00000000-0005-0000-0000-000094090000}"/>
    <cellStyle name="Comma 2 2 7 2 3" xfId="2477" xr:uid="{00000000-0005-0000-0000-000095090000}"/>
    <cellStyle name="Comma 2 2 7 2 3 2" xfId="2478" xr:uid="{00000000-0005-0000-0000-000096090000}"/>
    <cellStyle name="Comma 2 2 7 2 3 3" xfId="2479" xr:uid="{00000000-0005-0000-0000-000097090000}"/>
    <cellStyle name="Comma 2 2 7 2 4" xfId="2480" xr:uid="{00000000-0005-0000-0000-000098090000}"/>
    <cellStyle name="Comma 2 2 7 2 5" xfId="2481" xr:uid="{00000000-0005-0000-0000-000099090000}"/>
    <cellStyle name="Comma 2 2 7 3" xfId="2482" xr:uid="{00000000-0005-0000-0000-00009A090000}"/>
    <cellStyle name="Comma 2 2 7 3 2" xfId="2483" xr:uid="{00000000-0005-0000-0000-00009B090000}"/>
    <cellStyle name="Comma 2 2 7 3 2 2" xfId="2484" xr:uid="{00000000-0005-0000-0000-00009C090000}"/>
    <cellStyle name="Comma 2 2 7 3 2 3" xfId="2485" xr:uid="{00000000-0005-0000-0000-00009D090000}"/>
    <cellStyle name="Comma 2 2 7 3 3" xfId="2486" xr:uid="{00000000-0005-0000-0000-00009E090000}"/>
    <cellStyle name="Comma 2 2 7 3 4" xfId="2487" xr:uid="{00000000-0005-0000-0000-00009F090000}"/>
    <cellStyle name="Comma 2 2 7 4" xfId="2488" xr:uid="{00000000-0005-0000-0000-0000A0090000}"/>
    <cellStyle name="Comma 2 2 7 4 2" xfId="2489" xr:uid="{00000000-0005-0000-0000-0000A1090000}"/>
    <cellStyle name="Comma 2 2 7 4 3" xfId="2490" xr:uid="{00000000-0005-0000-0000-0000A2090000}"/>
    <cellStyle name="Comma 2 2 7 5" xfId="2491" xr:uid="{00000000-0005-0000-0000-0000A3090000}"/>
    <cellStyle name="Comma 2 2 7 6" xfId="2492" xr:uid="{00000000-0005-0000-0000-0000A4090000}"/>
    <cellStyle name="Comma 2 2 8" xfId="2493" xr:uid="{00000000-0005-0000-0000-0000A5090000}"/>
    <cellStyle name="Comma 2 2 8 2" xfId="2494" xr:uid="{00000000-0005-0000-0000-0000A6090000}"/>
    <cellStyle name="Comma 2 2 8 2 2" xfId="2495" xr:uid="{00000000-0005-0000-0000-0000A7090000}"/>
    <cellStyle name="Comma 2 2 8 2 2 2" xfId="2496" xr:uid="{00000000-0005-0000-0000-0000A8090000}"/>
    <cellStyle name="Comma 2 2 8 2 2 2 2" xfId="2497" xr:uid="{00000000-0005-0000-0000-0000A9090000}"/>
    <cellStyle name="Comma 2 2 8 2 2 2 3" xfId="2498" xr:uid="{00000000-0005-0000-0000-0000AA090000}"/>
    <cellStyle name="Comma 2 2 8 2 2 3" xfId="2499" xr:uid="{00000000-0005-0000-0000-0000AB090000}"/>
    <cellStyle name="Comma 2 2 8 2 2 4" xfId="2500" xr:uid="{00000000-0005-0000-0000-0000AC090000}"/>
    <cellStyle name="Comma 2 2 8 2 3" xfId="2501" xr:uid="{00000000-0005-0000-0000-0000AD090000}"/>
    <cellStyle name="Comma 2 2 8 2 3 2" xfId="2502" xr:uid="{00000000-0005-0000-0000-0000AE090000}"/>
    <cellStyle name="Comma 2 2 8 2 3 3" xfId="2503" xr:uid="{00000000-0005-0000-0000-0000AF090000}"/>
    <cellStyle name="Comma 2 2 8 2 4" xfId="2504" xr:uid="{00000000-0005-0000-0000-0000B0090000}"/>
    <cellStyle name="Comma 2 2 8 2 5" xfId="2505" xr:uid="{00000000-0005-0000-0000-0000B1090000}"/>
    <cellStyle name="Comma 2 2 8 3" xfId="2506" xr:uid="{00000000-0005-0000-0000-0000B2090000}"/>
    <cellStyle name="Comma 2 2 8 3 2" xfId="2507" xr:uid="{00000000-0005-0000-0000-0000B3090000}"/>
    <cellStyle name="Comma 2 2 8 3 2 2" xfId="2508" xr:uid="{00000000-0005-0000-0000-0000B4090000}"/>
    <cellStyle name="Comma 2 2 8 3 2 3" xfId="2509" xr:uid="{00000000-0005-0000-0000-0000B5090000}"/>
    <cellStyle name="Comma 2 2 8 3 3" xfId="2510" xr:uid="{00000000-0005-0000-0000-0000B6090000}"/>
    <cellStyle name="Comma 2 2 8 3 4" xfId="2511" xr:uid="{00000000-0005-0000-0000-0000B7090000}"/>
    <cellStyle name="Comma 2 2 8 4" xfId="2512" xr:uid="{00000000-0005-0000-0000-0000B8090000}"/>
    <cellStyle name="Comma 2 2 8 4 2" xfId="2513" xr:uid="{00000000-0005-0000-0000-0000B9090000}"/>
    <cellStyle name="Comma 2 2 8 4 3" xfId="2514" xr:uid="{00000000-0005-0000-0000-0000BA090000}"/>
    <cellStyle name="Comma 2 2 8 5" xfId="2515" xr:uid="{00000000-0005-0000-0000-0000BB090000}"/>
    <cellStyle name="Comma 2 2 8 6" xfId="2516" xr:uid="{00000000-0005-0000-0000-0000BC090000}"/>
    <cellStyle name="Comma 2 2 9" xfId="2517" xr:uid="{00000000-0005-0000-0000-0000BD090000}"/>
    <cellStyle name="Comma 2 2 9 2" xfId="2518" xr:uid="{00000000-0005-0000-0000-0000BE090000}"/>
    <cellStyle name="Comma 2 2 9 2 2" xfId="2519" xr:uid="{00000000-0005-0000-0000-0000BF090000}"/>
    <cellStyle name="Comma 2 2 9 2 2 2" xfId="2520" xr:uid="{00000000-0005-0000-0000-0000C0090000}"/>
    <cellStyle name="Comma 2 2 9 2 2 2 2" xfId="2521" xr:uid="{00000000-0005-0000-0000-0000C1090000}"/>
    <cellStyle name="Comma 2 2 9 2 2 2 3" xfId="2522" xr:uid="{00000000-0005-0000-0000-0000C2090000}"/>
    <cellStyle name="Comma 2 2 9 2 2 3" xfId="2523" xr:uid="{00000000-0005-0000-0000-0000C3090000}"/>
    <cellStyle name="Comma 2 2 9 2 2 4" xfId="2524" xr:uid="{00000000-0005-0000-0000-0000C4090000}"/>
    <cellStyle name="Comma 2 2 9 2 3" xfId="2525" xr:uid="{00000000-0005-0000-0000-0000C5090000}"/>
    <cellStyle name="Comma 2 2 9 2 3 2" xfId="2526" xr:uid="{00000000-0005-0000-0000-0000C6090000}"/>
    <cellStyle name="Comma 2 2 9 2 3 3" xfId="2527" xr:uid="{00000000-0005-0000-0000-0000C7090000}"/>
    <cellStyle name="Comma 2 2 9 2 4" xfId="2528" xr:uid="{00000000-0005-0000-0000-0000C8090000}"/>
    <cellStyle name="Comma 2 2 9 2 5" xfId="2529" xr:uid="{00000000-0005-0000-0000-0000C9090000}"/>
    <cellStyle name="Comma 2 2 9 3" xfId="2530" xr:uid="{00000000-0005-0000-0000-0000CA090000}"/>
    <cellStyle name="Comma 2 2 9 3 2" xfId="2531" xr:uid="{00000000-0005-0000-0000-0000CB090000}"/>
    <cellStyle name="Comma 2 2 9 3 2 2" xfId="2532" xr:uid="{00000000-0005-0000-0000-0000CC090000}"/>
    <cellStyle name="Comma 2 2 9 3 2 3" xfId="2533" xr:uid="{00000000-0005-0000-0000-0000CD090000}"/>
    <cellStyle name="Comma 2 2 9 3 3" xfId="2534" xr:uid="{00000000-0005-0000-0000-0000CE090000}"/>
    <cellStyle name="Comma 2 2 9 3 4" xfId="2535" xr:uid="{00000000-0005-0000-0000-0000CF090000}"/>
    <cellStyle name="Comma 2 2 9 4" xfId="2536" xr:uid="{00000000-0005-0000-0000-0000D0090000}"/>
    <cellStyle name="Comma 2 2 9 4 2" xfId="2537" xr:uid="{00000000-0005-0000-0000-0000D1090000}"/>
    <cellStyle name="Comma 2 2 9 4 3" xfId="2538" xr:uid="{00000000-0005-0000-0000-0000D2090000}"/>
    <cellStyle name="Comma 2 2 9 5" xfId="2539" xr:uid="{00000000-0005-0000-0000-0000D3090000}"/>
    <cellStyle name="Comma 2 2 9 6" xfId="2540" xr:uid="{00000000-0005-0000-0000-0000D4090000}"/>
    <cellStyle name="Comma 2 20" xfId="2541" xr:uid="{00000000-0005-0000-0000-0000D5090000}"/>
    <cellStyle name="Comma 2 21" xfId="2542" xr:uid="{00000000-0005-0000-0000-0000D6090000}"/>
    <cellStyle name="Comma 2 22" xfId="2543" xr:uid="{00000000-0005-0000-0000-0000D7090000}"/>
    <cellStyle name="Comma 2 23" xfId="2544" xr:uid="{00000000-0005-0000-0000-0000D8090000}"/>
    <cellStyle name="Comma 2 23 2" xfId="2545" xr:uid="{00000000-0005-0000-0000-0000D9090000}"/>
    <cellStyle name="Comma 2 23 2 2" xfId="2546" xr:uid="{00000000-0005-0000-0000-0000DA090000}"/>
    <cellStyle name="Comma 2 23 2 2 2" xfId="2547" xr:uid="{00000000-0005-0000-0000-0000DB090000}"/>
    <cellStyle name="Comma 2 23 2 2 2 2" xfId="2548" xr:uid="{00000000-0005-0000-0000-0000DC090000}"/>
    <cellStyle name="Comma 2 23 2 2 2 3" xfId="2549" xr:uid="{00000000-0005-0000-0000-0000DD090000}"/>
    <cellStyle name="Comma 2 23 2 2 3" xfId="2550" xr:uid="{00000000-0005-0000-0000-0000DE090000}"/>
    <cellStyle name="Comma 2 23 2 2 4" xfId="2551" xr:uid="{00000000-0005-0000-0000-0000DF090000}"/>
    <cellStyle name="Comma 2 23 2 3" xfId="2552" xr:uid="{00000000-0005-0000-0000-0000E0090000}"/>
    <cellStyle name="Comma 2 23 2 3 2" xfId="2553" xr:uid="{00000000-0005-0000-0000-0000E1090000}"/>
    <cellStyle name="Comma 2 23 2 3 3" xfId="2554" xr:uid="{00000000-0005-0000-0000-0000E2090000}"/>
    <cellStyle name="Comma 2 23 2 4" xfId="2555" xr:uid="{00000000-0005-0000-0000-0000E3090000}"/>
    <cellStyle name="Comma 2 23 2 5" xfId="2556" xr:uid="{00000000-0005-0000-0000-0000E4090000}"/>
    <cellStyle name="Comma 2 23 3" xfId="2557" xr:uid="{00000000-0005-0000-0000-0000E5090000}"/>
    <cellStyle name="Comma 2 23 3 2" xfId="2558" xr:uid="{00000000-0005-0000-0000-0000E6090000}"/>
    <cellStyle name="Comma 2 23 3 2 2" xfId="2559" xr:uid="{00000000-0005-0000-0000-0000E7090000}"/>
    <cellStyle name="Comma 2 23 3 2 3" xfId="2560" xr:uid="{00000000-0005-0000-0000-0000E8090000}"/>
    <cellStyle name="Comma 2 23 3 3" xfId="2561" xr:uid="{00000000-0005-0000-0000-0000E9090000}"/>
    <cellStyle name="Comma 2 23 3 4" xfId="2562" xr:uid="{00000000-0005-0000-0000-0000EA090000}"/>
    <cellStyle name="Comma 2 23 4" xfId="2563" xr:uid="{00000000-0005-0000-0000-0000EB090000}"/>
    <cellStyle name="Comma 2 23 4 2" xfId="2564" xr:uid="{00000000-0005-0000-0000-0000EC090000}"/>
    <cellStyle name="Comma 2 23 4 3" xfId="2565" xr:uid="{00000000-0005-0000-0000-0000ED090000}"/>
    <cellStyle name="Comma 2 23 5" xfId="2566" xr:uid="{00000000-0005-0000-0000-0000EE090000}"/>
    <cellStyle name="Comma 2 23 6" xfId="2567" xr:uid="{00000000-0005-0000-0000-0000EF090000}"/>
    <cellStyle name="Comma 2 24" xfId="2568" xr:uid="{00000000-0005-0000-0000-0000F0090000}"/>
    <cellStyle name="Comma 2 25" xfId="2569" xr:uid="{00000000-0005-0000-0000-0000F1090000}"/>
    <cellStyle name="Comma 2 26" xfId="2570" xr:uid="{00000000-0005-0000-0000-0000F2090000}"/>
    <cellStyle name="Comma 2 27" xfId="2571" xr:uid="{00000000-0005-0000-0000-0000F3090000}"/>
    <cellStyle name="Comma 2 28" xfId="2572" xr:uid="{00000000-0005-0000-0000-0000F4090000}"/>
    <cellStyle name="Comma 2 29" xfId="2573" xr:uid="{00000000-0005-0000-0000-0000F5090000}"/>
    <cellStyle name="Comma 2 3" xfId="2574" xr:uid="{00000000-0005-0000-0000-0000F6090000}"/>
    <cellStyle name="Comma 2 3 2" xfId="2575" xr:uid="{00000000-0005-0000-0000-0000F7090000}"/>
    <cellStyle name="Comma 2 3 3" xfId="2576" xr:uid="{00000000-0005-0000-0000-0000F8090000}"/>
    <cellStyle name="Comma 2 3 4" xfId="2577" xr:uid="{00000000-0005-0000-0000-0000F9090000}"/>
    <cellStyle name="Comma 2 3 5" xfId="2578" xr:uid="{00000000-0005-0000-0000-0000FA090000}"/>
    <cellStyle name="Comma 2 3 6" xfId="2579" xr:uid="{00000000-0005-0000-0000-0000FB090000}"/>
    <cellStyle name="Comma 2 30" xfId="2580" xr:uid="{00000000-0005-0000-0000-0000FC090000}"/>
    <cellStyle name="Comma 2 31" xfId="2581" xr:uid="{00000000-0005-0000-0000-0000FD090000}"/>
    <cellStyle name="Comma 2 32" xfId="2582" xr:uid="{00000000-0005-0000-0000-0000FE090000}"/>
    <cellStyle name="Comma 2 33" xfId="2583" xr:uid="{00000000-0005-0000-0000-0000FF090000}"/>
    <cellStyle name="Comma 2 34" xfId="2584" xr:uid="{00000000-0005-0000-0000-0000000A0000}"/>
    <cellStyle name="Comma 2 35" xfId="2585" xr:uid="{00000000-0005-0000-0000-0000010A0000}"/>
    <cellStyle name="Comma 2 36" xfId="2586" xr:uid="{00000000-0005-0000-0000-0000020A0000}"/>
    <cellStyle name="Comma 2 37" xfId="2587" xr:uid="{00000000-0005-0000-0000-0000030A0000}"/>
    <cellStyle name="Comma 2 38" xfId="2588" xr:uid="{00000000-0005-0000-0000-0000040A0000}"/>
    <cellStyle name="Comma 2 4" xfId="2589" xr:uid="{00000000-0005-0000-0000-0000050A0000}"/>
    <cellStyle name="Comma 2 4 2" xfId="2590" xr:uid="{00000000-0005-0000-0000-0000060A0000}"/>
    <cellStyle name="Comma 2 4 3" xfId="2591" xr:uid="{00000000-0005-0000-0000-0000070A0000}"/>
    <cellStyle name="Comma 2 4 4" xfId="2592" xr:uid="{00000000-0005-0000-0000-0000080A0000}"/>
    <cellStyle name="Comma 2 4 4 2" xfId="2593" xr:uid="{00000000-0005-0000-0000-0000090A0000}"/>
    <cellStyle name="Comma 2 4 5" xfId="2594" xr:uid="{00000000-0005-0000-0000-00000A0A0000}"/>
    <cellStyle name="Comma 2 4 5 2" xfId="2595" xr:uid="{00000000-0005-0000-0000-00000B0A0000}"/>
    <cellStyle name="Comma 2 4 6" xfId="2596" xr:uid="{00000000-0005-0000-0000-00000C0A0000}"/>
    <cellStyle name="Comma 2 5" xfId="2597" xr:uid="{00000000-0005-0000-0000-00000D0A0000}"/>
    <cellStyle name="Comma 2 5 2" xfId="2598" xr:uid="{00000000-0005-0000-0000-00000E0A0000}"/>
    <cellStyle name="Comma 2 5 3" xfId="2599" xr:uid="{00000000-0005-0000-0000-00000F0A0000}"/>
    <cellStyle name="Comma 2 5 4" xfId="2600" xr:uid="{00000000-0005-0000-0000-0000100A0000}"/>
    <cellStyle name="Comma 2 5 5" xfId="2601" xr:uid="{00000000-0005-0000-0000-0000110A0000}"/>
    <cellStyle name="Comma 2 6" xfId="2602" xr:uid="{00000000-0005-0000-0000-0000120A0000}"/>
    <cellStyle name="Comma 2 6 2" xfId="2603" xr:uid="{00000000-0005-0000-0000-0000130A0000}"/>
    <cellStyle name="Comma 2 6 3" xfId="2604" xr:uid="{00000000-0005-0000-0000-0000140A0000}"/>
    <cellStyle name="Comma 2 6 4" xfId="2605" xr:uid="{00000000-0005-0000-0000-0000150A0000}"/>
    <cellStyle name="Comma 2 7" xfId="2606" xr:uid="{00000000-0005-0000-0000-0000160A0000}"/>
    <cellStyle name="Comma 2 7 2" xfId="2607" xr:uid="{00000000-0005-0000-0000-0000170A0000}"/>
    <cellStyle name="Comma 2 7 3" xfId="2608" xr:uid="{00000000-0005-0000-0000-0000180A0000}"/>
    <cellStyle name="Comma 2 8" xfId="2609" xr:uid="{00000000-0005-0000-0000-0000190A0000}"/>
    <cellStyle name="Comma 2 8 2" xfId="2610" xr:uid="{00000000-0005-0000-0000-00001A0A0000}"/>
    <cellStyle name="Comma 2 8 3" xfId="2611" xr:uid="{00000000-0005-0000-0000-00001B0A0000}"/>
    <cellStyle name="Comma 2 9" xfId="2612" xr:uid="{00000000-0005-0000-0000-00001C0A0000}"/>
    <cellStyle name="Comma 2 9 2" xfId="2613" xr:uid="{00000000-0005-0000-0000-00001D0A0000}"/>
    <cellStyle name="Comma 2 9 3" xfId="2614" xr:uid="{00000000-0005-0000-0000-00001E0A0000}"/>
    <cellStyle name="Comma 20" xfId="2615" xr:uid="{00000000-0005-0000-0000-00001F0A0000}"/>
    <cellStyle name="Comma 200" xfId="2616" xr:uid="{00000000-0005-0000-0000-0000200A0000}"/>
    <cellStyle name="Comma 201" xfId="2617" xr:uid="{00000000-0005-0000-0000-0000210A0000}"/>
    <cellStyle name="Comma 202" xfId="2618" xr:uid="{00000000-0005-0000-0000-0000220A0000}"/>
    <cellStyle name="Comma 203" xfId="2619" xr:uid="{00000000-0005-0000-0000-0000230A0000}"/>
    <cellStyle name="Comma 204" xfId="2620" xr:uid="{00000000-0005-0000-0000-0000240A0000}"/>
    <cellStyle name="Comma 204 2" xfId="2621" xr:uid="{00000000-0005-0000-0000-0000250A0000}"/>
    <cellStyle name="Comma 204 2 2" xfId="2622" xr:uid="{00000000-0005-0000-0000-0000260A0000}"/>
    <cellStyle name="Comma 204 2 2 2" xfId="2623" xr:uid="{00000000-0005-0000-0000-0000270A0000}"/>
    <cellStyle name="Comma 204 2 2 3" xfId="2624" xr:uid="{00000000-0005-0000-0000-0000280A0000}"/>
    <cellStyle name="Comma 204 2 3" xfId="2625" xr:uid="{00000000-0005-0000-0000-0000290A0000}"/>
    <cellStyle name="Comma 204 2 4" xfId="2626" xr:uid="{00000000-0005-0000-0000-00002A0A0000}"/>
    <cellStyle name="Comma 204 3" xfId="2627" xr:uid="{00000000-0005-0000-0000-00002B0A0000}"/>
    <cellStyle name="Comma 204 3 2" xfId="2628" xr:uid="{00000000-0005-0000-0000-00002C0A0000}"/>
    <cellStyle name="Comma 204 3 3" xfId="2629" xr:uid="{00000000-0005-0000-0000-00002D0A0000}"/>
    <cellStyle name="Comma 204 4" xfId="2630" xr:uid="{00000000-0005-0000-0000-00002E0A0000}"/>
    <cellStyle name="Comma 204 5" xfId="2631" xr:uid="{00000000-0005-0000-0000-00002F0A0000}"/>
    <cellStyle name="Comma 205" xfId="2632" xr:uid="{00000000-0005-0000-0000-0000300A0000}"/>
    <cellStyle name="Comma 205 2" xfId="2633" xr:uid="{00000000-0005-0000-0000-0000310A0000}"/>
    <cellStyle name="Comma 205 2 2" xfId="2634" xr:uid="{00000000-0005-0000-0000-0000320A0000}"/>
    <cellStyle name="Comma 205 2 3" xfId="2635" xr:uid="{00000000-0005-0000-0000-0000330A0000}"/>
    <cellStyle name="Comma 205 3" xfId="2636" xr:uid="{00000000-0005-0000-0000-0000340A0000}"/>
    <cellStyle name="Comma 205 4" xfId="2637" xr:uid="{00000000-0005-0000-0000-0000350A0000}"/>
    <cellStyle name="Comma 206" xfId="2638" xr:uid="{00000000-0005-0000-0000-0000360A0000}"/>
    <cellStyle name="Comma 206 2" xfId="2639" xr:uid="{00000000-0005-0000-0000-0000370A0000}"/>
    <cellStyle name="Comma 206 2 2" xfId="2640" xr:uid="{00000000-0005-0000-0000-0000380A0000}"/>
    <cellStyle name="Comma 206 2 3" xfId="2641" xr:uid="{00000000-0005-0000-0000-0000390A0000}"/>
    <cellStyle name="Comma 206 3" xfId="2642" xr:uid="{00000000-0005-0000-0000-00003A0A0000}"/>
    <cellStyle name="Comma 206 4" xfId="2643" xr:uid="{00000000-0005-0000-0000-00003B0A0000}"/>
    <cellStyle name="Comma 207" xfId="2644" xr:uid="{00000000-0005-0000-0000-00003C0A0000}"/>
    <cellStyle name="Comma 208" xfId="2645" xr:uid="{00000000-0005-0000-0000-00003D0A0000}"/>
    <cellStyle name="Comma 209" xfId="2646" xr:uid="{00000000-0005-0000-0000-00003E0A0000}"/>
    <cellStyle name="Comma 21" xfId="2647" xr:uid="{00000000-0005-0000-0000-00003F0A0000}"/>
    <cellStyle name="Comma 210" xfId="2648" xr:uid="{00000000-0005-0000-0000-0000400A0000}"/>
    <cellStyle name="Comma 211" xfId="2649" xr:uid="{00000000-0005-0000-0000-0000410A0000}"/>
    <cellStyle name="Comma 212" xfId="2650" xr:uid="{00000000-0005-0000-0000-0000420A0000}"/>
    <cellStyle name="Comma 213" xfId="2651" xr:uid="{00000000-0005-0000-0000-0000430A0000}"/>
    <cellStyle name="Comma 214" xfId="2652" xr:uid="{00000000-0005-0000-0000-0000440A0000}"/>
    <cellStyle name="Comma 215" xfId="2653" xr:uid="{00000000-0005-0000-0000-0000450A0000}"/>
    <cellStyle name="Comma 216" xfId="21842" xr:uid="{00000000-0005-0000-0000-0000460A0000}"/>
    <cellStyle name="Comma 217" xfId="21847" xr:uid="{00000000-0005-0000-0000-0000470A0000}"/>
    <cellStyle name="Comma 218" xfId="21852" xr:uid="{00000000-0005-0000-0000-0000480A0000}"/>
    <cellStyle name="Comma 219" xfId="21859" xr:uid="{00000000-0005-0000-0000-0000490A0000}"/>
    <cellStyle name="Comma 22" xfId="2654" xr:uid="{00000000-0005-0000-0000-00004A0A0000}"/>
    <cellStyle name="Comma 220" xfId="21861" xr:uid="{00000000-0005-0000-0000-00004B0A0000}"/>
    <cellStyle name="Comma 221" xfId="21863" xr:uid="{00000000-0005-0000-0000-00004C0A0000}"/>
    <cellStyle name="Comma 222" xfId="21865" xr:uid="{00000000-0005-0000-0000-00004D0A0000}"/>
    <cellStyle name="Comma 223" xfId="21869" xr:uid="{00000000-0005-0000-0000-00004E0A0000}"/>
    <cellStyle name="Comma 224" xfId="21867" xr:uid="{00000000-0005-0000-0000-00004F0A0000}"/>
    <cellStyle name="Comma 225" xfId="21876" xr:uid="{00000000-0005-0000-0000-0000500A0000}"/>
    <cellStyle name="Comma 226" xfId="21879" xr:uid="{00000000-0005-0000-0000-0000510A0000}"/>
    <cellStyle name="Comma 227" xfId="21882" xr:uid="{00000000-0005-0000-0000-0000520A0000}"/>
    <cellStyle name="Comma 228" xfId="21884" xr:uid="{00000000-0005-0000-0000-0000530A0000}"/>
    <cellStyle name="Comma 229" xfId="21886" xr:uid="{00000000-0005-0000-0000-0000540A0000}"/>
    <cellStyle name="Comma 23" xfId="2655" xr:uid="{00000000-0005-0000-0000-0000550A0000}"/>
    <cellStyle name="Comma 230" xfId="21888" xr:uid="{00000000-0005-0000-0000-0000560A0000}"/>
    <cellStyle name="Comma 231" xfId="21933" xr:uid="{00000000-0005-0000-0000-0000570A0000}"/>
    <cellStyle name="Comma 232" xfId="21934" xr:uid="{00000000-0005-0000-0000-0000580A0000}"/>
    <cellStyle name="Comma 24" xfId="2656" xr:uid="{00000000-0005-0000-0000-0000590A0000}"/>
    <cellStyle name="Comma 25" xfId="2657" xr:uid="{00000000-0005-0000-0000-00005A0A0000}"/>
    <cellStyle name="Comma 26" xfId="2658" xr:uid="{00000000-0005-0000-0000-00005B0A0000}"/>
    <cellStyle name="Comma 27" xfId="2659" xr:uid="{00000000-0005-0000-0000-00005C0A0000}"/>
    <cellStyle name="Comma 28" xfId="2660" xr:uid="{00000000-0005-0000-0000-00005D0A0000}"/>
    <cellStyle name="Comma 29" xfId="2661" xr:uid="{00000000-0005-0000-0000-00005E0A0000}"/>
    <cellStyle name="Comma 3" xfId="13" xr:uid="{00000000-0005-0000-0000-00005F0A0000}"/>
    <cellStyle name="Comma 3 10" xfId="2662" xr:uid="{00000000-0005-0000-0000-0000600A0000}"/>
    <cellStyle name="Comma 3 10 2" xfId="2663" xr:uid="{00000000-0005-0000-0000-0000610A0000}"/>
    <cellStyle name="Comma 3 10 2 2" xfId="2664" xr:uid="{00000000-0005-0000-0000-0000620A0000}"/>
    <cellStyle name="Comma 3 10 2 2 2" xfId="2665" xr:uid="{00000000-0005-0000-0000-0000630A0000}"/>
    <cellStyle name="Comma 3 10 2 2 2 2" xfId="2666" xr:uid="{00000000-0005-0000-0000-0000640A0000}"/>
    <cellStyle name="Comma 3 10 2 2 2 3" xfId="2667" xr:uid="{00000000-0005-0000-0000-0000650A0000}"/>
    <cellStyle name="Comma 3 10 2 2 3" xfId="2668" xr:uid="{00000000-0005-0000-0000-0000660A0000}"/>
    <cellStyle name="Comma 3 10 2 2 4" xfId="2669" xr:uid="{00000000-0005-0000-0000-0000670A0000}"/>
    <cellStyle name="Comma 3 10 2 3" xfId="2670" xr:uid="{00000000-0005-0000-0000-0000680A0000}"/>
    <cellStyle name="Comma 3 10 2 3 2" xfId="2671" xr:uid="{00000000-0005-0000-0000-0000690A0000}"/>
    <cellStyle name="Comma 3 10 2 3 3" xfId="2672" xr:uid="{00000000-0005-0000-0000-00006A0A0000}"/>
    <cellStyle name="Comma 3 10 2 4" xfId="2673" xr:uid="{00000000-0005-0000-0000-00006B0A0000}"/>
    <cellStyle name="Comma 3 10 2 5" xfId="2674" xr:uid="{00000000-0005-0000-0000-00006C0A0000}"/>
    <cellStyle name="Comma 3 10 3" xfId="2675" xr:uid="{00000000-0005-0000-0000-00006D0A0000}"/>
    <cellStyle name="Comma 3 10 3 2" xfId="2676" xr:uid="{00000000-0005-0000-0000-00006E0A0000}"/>
    <cellStyle name="Comma 3 10 3 2 2" xfId="2677" xr:uid="{00000000-0005-0000-0000-00006F0A0000}"/>
    <cellStyle name="Comma 3 10 3 2 3" xfId="2678" xr:uid="{00000000-0005-0000-0000-0000700A0000}"/>
    <cellStyle name="Comma 3 10 3 3" xfId="2679" xr:uid="{00000000-0005-0000-0000-0000710A0000}"/>
    <cellStyle name="Comma 3 10 3 4" xfId="2680" xr:uid="{00000000-0005-0000-0000-0000720A0000}"/>
    <cellStyle name="Comma 3 10 4" xfId="2681" xr:uid="{00000000-0005-0000-0000-0000730A0000}"/>
    <cellStyle name="Comma 3 10 4 2" xfId="2682" xr:uid="{00000000-0005-0000-0000-0000740A0000}"/>
    <cellStyle name="Comma 3 10 4 3" xfId="2683" xr:uid="{00000000-0005-0000-0000-0000750A0000}"/>
    <cellStyle name="Comma 3 10 5" xfId="2684" xr:uid="{00000000-0005-0000-0000-0000760A0000}"/>
    <cellStyle name="Comma 3 10 6" xfId="2685" xr:uid="{00000000-0005-0000-0000-0000770A0000}"/>
    <cellStyle name="Comma 3 10 7" xfId="2686" xr:uid="{00000000-0005-0000-0000-0000780A0000}"/>
    <cellStyle name="Comma 3 11" xfId="2687" xr:uid="{00000000-0005-0000-0000-0000790A0000}"/>
    <cellStyle name="Comma 3 11 2" xfId="2688" xr:uid="{00000000-0005-0000-0000-00007A0A0000}"/>
    <cellStyle name="Comma 3 11 2 2" xfId="2689" xr:uid="{00000000-0005-0000-0000-00007B0A0000}"/>
    <cellStyle name="Comma 3 11 2 2 2" xfId="2690" xr:uid="{00000000-0005-0000-0000-00007C0A0000}"/>
    <cellStyle name="Comma 3 11 2 2 2 2" xfId="2691" xr:uid="{00000000-0005-0000-0000-00007D0A0000}"/>
    <cellStyle name="Comma 3 11 2 2 2 3" xfId="2692" xr:uid="{00000000-0005-0000-0000-00007E0A0000}"/>
    <cellStyle name="Comma 3 11 2 2 3" xfId="2693" xr:uid="{00000000-0005-0000-0000-00007F0A0000}"/>
    <cellStyle name="Comma 3 11 2 2 4" xfId="2694" xr:uid="{00000000-0005-0000-0000-0000800A0000}"/>
    <cellStyle name="Comma 3 11 2 3" xfId="2695" xr:uid="{00000000-0005-0000-0000-0000810A0000}"/>
    <cellStyle name="Comma 3 11 2 3 2" xfId="2696" xr:uid="{00000000-0005-0000-0000-0000820A0000}"/>
    <cellStyle name="Comma 3 11 2 3 3" xfId="2697" xr:uid="{00000000-0005-0000-0000-0000830A0000}"/>
    <cellStyle name="Comma 3 11 2 4" xfId="2698" xr:uid="{00000000-0005-0000-0000-0000840A0000}"/>
    <cellStyle name="Comma 3 11 2 5" xfId="2699" xr:uid="{00000000-0005-0000-0000-0000850A0000}"/>
    <cellStyle name="Comma 3 11 3" xfId="2700" xr:uid="{00000000-0005-0000-0000-0000860A0000}"/>
    <cellStyle name="Comma 3 11 3 2" xfId="2701" xr:uid="{00000000-0005-0000-0000-0000870A0000}"/>
    <cellStyle name="Comma 3 11 3 2 2" xfId="2702" xr:uid="{00000000-0005-0000-0000-0000880A0000}"/>
    <cellStyle name="Comma 3 11 3 2 3" xfId="2703" xr:uid="{00000000-0005-0000-0000-0000890A0000}"/>
    <cellStyle name="Comma 3 11 3 3" xfId="2704" xr:uid="{00000000-0005-0000-0000-00008A0A0000}"/>
    <cellStyle name="Comma 3 11 3 4" xfId="2705" xr:uid="{00000000-0005-0000-0000-00008B0A0000}"/>
    <cellStyle name="Comma 3 11 4" xfId="2706" xr:uid="{00000000-0005-0000-0000-00008C0A0000}"/>
    <cellStyle name="Comma 3 11 4 2" xfId="2707" xr:uid="{00000000-0005-0000-0000-00008D0A0000}"/>
    <cellStyle name="Comma 3 11 4 3" xfId="2708" xr:uid="{00000000-0005-0000-0000-00008E0A0000}"/>
    <cellStyle name="Comma 3 11 5" xfId="2709" xr:uid="{00000000-0005-0000-0000-00008F0A0000}"/>
    <cellStyle name="Comma 3 11 6" xfId="2710" xr:uid="{00000000-0005-0000-0000-0000900A0000}"/>
    <cellStyle name="Comma 3 12" xfId="2711" xr:uid="{00000000-0005-0000-0000-0000910A0000}"/>
    <cellStyle name="Comma 3 12 2" xfId="2712" xr:uid="{00000000-0005-0000-0000-0000920A0000}"/>
    <cellStyle name="Comma 3 12 2 2" xfId="2713" xr:uid="{00000000-0005-0000-0000-0000930A0000}"/>
    <cellStyle name="Comma 3 12 2 2 2" xfId="2714" xr:uid="{00000000-0005-0000-0000-0000940A0000}"/>
    <cellStyle name="Comma 3 12 2 2 2 2" xfId="2715" xr:uid="{00000000-0005-0000-0000-0000950A0000}"/>
    <cellStyle name="Comma 3 12 2 2 2 3" xfId="2716" xr:uid="{00000000-0005-0000-0000-0000960A0000}"/>
    <cellStyle name="Comma 3 12 2 2 3" xfId="2717" xr:uid="{00000000-0005-0000-0000-0000970A0000}"/>
    <cellStyle name="Comma 3 12 2 2 4" xfId="2718" xr:uid="{00000000-0005-0000-0000-0000980A0000}"/>
    <cellStyle name="Comma 3 12 2 3" xfId="2719" xr:uid="{00000000-0005-0000-0000-0000990A0000}"/>
    <cellStyle name="Comma 3 12 2 3 2" xfId="2720" xr:uid="{00000000-0005-0000-0000-00009A0A0000}"/>
    <cellStyle name="Comma 3 12 2 3 3" xfId="2721" xr:uid="{00000000-0005-0000-0000-00009B0A0000}"/>
    <cellStyle name="Comma 3 12 2 4" xfId="2722" xr:uid="{00000000-0005-0000-0000-00009C0A0000}"/>
    <cellStyle name="Comma 3 12 2 5" xfId="2723" xr:uid="{00000000-0005-0000-0000-00009D0A0000}"/>
    <cellStyle name="Comma 3 12 3" xfId="2724" xr:uid="{00000000-0005-0000-0000-00009E0A0000}"/>
    <cellStyle name="Comma 3 12 3 2" xfId="2725" xr:uid="{00000000-0005-0000-0000-00009F0A0000}"/>
    <cellStyle name="Comma 3 12 3 2 2" xfId="2726" xr:uid="{00000000-0005-0000-0000-0000A00A0000}"/>
    <cellStyle name="Comma 3 12 3 2 3" xfId="2727" xr:uid="{00000000-0005-0000-0000-0000A10A0000}"/>
    <cellStyle name="Comma 3 12 3 3" xfId="2728" xr:uid="{00000000-0005-0000-0000-0000A20A0000}"/>
    <cellStyle name="Comma 3 12 3 4" xfId="2729" xr:uid="{00000000-0005-0000-0000-0000A30A0000}"/>
    <cellStyle name="Comma 3 12 4" xfId="2730" xr:uid="{00000000-0005-0000-0000-0000A40A0000}"/>
    <cellStyle name="Comma 3 12 4 2" xfId="2731" xr:uid="{00000000-0005-0000-0000-0000A50A0000}"/>
    <cellStyle name="Comma 3 12 4 3" xfId="2732" xr:uid="{00000000-0005-0000-0000-0000A60A0000}"/>
    <cellStyle name="Comma 3 12 5" xfId="2733" xr:uid="{00000000-0005-0000-0000-0000A70A0000}"/>
    <cellStyle name="Comma 3 12 6" xfId="2734" xr:uid="{00000000-0005-0000-0000-0000A80A0000}"/>
    <cellStyle name="Comma 3 13" xfId="2735" xr:uid="{00000000-0005-0000-0000-0000A90A0000}"/>
    <cellStyle name="Comma 3 13 2" xfId="2736" xr:uid="{00000000-0005-0000-0000-0000AA0A0000}"/>
    <cellStyle name="Comma 3 13 2 2" xfId="2737" xr:uid="{00000000-0005-0000-0000-0000AB0A0000}"/>
    <cellStyle name="Comma 3 13 2 2 2" xfId="2738" xr:uid="{00000000-0005-0000-0000-0000AC0A0000}"/>
    <cellStyle name="Comma 3 13 2 2 2 2" xfId="2739" xr:uid="{00000000-0005-0000-0000-0000AD0A0000}"/>
    <cellStyle name="Comma 3 13 2 2 2 3" xfId="2740" xr:uid="{00000000-0005-0000-0000-0000AE0A0000}"/>
    <cellStyle name="Comma 3 13 2 2 3" xfId="2741" xr:uid="{00000000-0005-0000-0000-0000AF0A0000}"/>
    <cellStyle name="Comma 3 13 2 2 4" xfId="2742" xr:uid="{00000000-0005-0000-0000-0000B00A0000}"/>
    <cellStyle name="Comma 3 13 2 3" xfId="2743" xr:uid="{00000000-0005-0000-0000-0000B10A0000}"/>
    <cellStyle name="Comma 3 13 2 3 2" xfId="2744" xr:uid="{00000000-0005-0000-0000-0000B20A0000}"/>
    <cellStyle name="Comma 3 13 2 3 3" xfId="2745" xr:uid="{00000000-0005-0000-0000-0000B30A0000}"/>
    <cellStyle name="Comma 3 13 2 4" xfId="2746" xr:uid="{00000000-0005-0000-0000-0000B40A0000}"/>
    <cellStyle name="Comma 3 13 2 5" xfId="2747" xr:uid="{00000000-0005-0000-0000-0000B50A0000}"/>
    <cellStyle name="Comma 3 13 3" xfId="2748" xr:uid="{00000000-0005-0000-0000-0000B60A0000}"/>
    <cellStyle name="Comma 3 13 3 2" xfId="2749" xr:uid="{00000000-0005-0000-0000-0000B70A0000}"/>
    <cellStyle name="Comma 3 13 3 2 2" xfId="2750" xr:uid="{00000000-0005-0000-0000-0000B80A0000}"/>
    <cellStyle name="Comma 3 13 3 2 3" xfId="2751" xr:uid="{00000000-0005-0000-0000-0000B90A0000}"/>
    <cellStyle name="Comma 3 13 3 3" xfId="2752" xr:uid="{00000000-0005-0000-0000-0000BA0A0000}"/>
    <cellStyle name="Comma 3 13 3 4" xfId="2753" xr:uid="{00000000-0005-0000-0000-0000BB0A0000}"/>
    <cellStyle name="Comma 3 13 4" xfId="2754" xr:uid="{00000000-0005-0000-0000-0000BC0A0000}"/>
    <cellStyle name="Comma 3 13 4 2" xfId="2755" xr:uid="{00000000-0005-0000-0000-0000BD0A0000}"/>
    <cellStyle name="Comma 3 13 4 3" xfId="2756" xr:uid="{00000000-0005-0000-0000-0000BE0A0000}"/>
    <cellStyle name="Comma 3 13 5" xfId="2757" xr:uid="{00000000-0005-0000-0000-0000BF0A0000}"/>
    <cellStyle name="Comma 3 13 6" xfId="2758" xr:uid="{00000000-0005-0000-0000-0000C00A0000}"/>
    <cellStyle name="Comma 3 14" xfId="2759" xr:uid="{00000000-0005-0000-0000-0000C10A0000}"/>
    <cellStyle name="Comma 3 14 2" xfId="2760" xr:uid="{00000000-0005-0000-0000-0000C20A0000}"/>
    <cellStyle name="Comma 3 14 2 2" xfId="2761" xr:uid="{00000000-0005-0000-0000-0000C30A0000}"/>
    <cellStyle name="Comma 3 14 2 2 2" xfId="2762" xr:uid="{00000000-0005-0000-0000-0000C40A0000}"/>
    <cellStyle name="Comma 3 14 2 2 2 2" xfId="2763" xr:uid="{00000000-0005-0000-0000-0000C50A0000}"/>
    <cellStyle name="Comma 3 14 2 2 2 3" xfId="2764" xr:uid="{00000000-0005-0000-0000-0000C60A0000}"/>
    <cellStyle name="Comma 3 14 2 2 3" xfId="2765" xr:uid="{00000000-0005-0000-0000-0000C70A0000}"/>
    <cellStyle name="Comma 3 14 2 2 4" xfId="2766" xr:uid="{00000000-0005-0000-0000-0000C80A0000}"/>
    <cellStyle name="Comma 3 14 2 3" xfId="2767" xr:uid="{00000000-0005-0000-0000-0000C90A0000}"/>
    <cellStyle name="Comma 3 14 2 3 2" xfId="2768" xr:uid="{00000000-0005-0000-0000-0000CA0A0000}"/>
    <cellStyle name="Comma 3 14 2 3 3" xfId="2769" xr:uid="{00000000-0005-0000-0000-0000CB0A0000}"/>
    <cellStyle name="Comma 3 14 2 4" xfId="2770" xr:uid="{00000000-0005-0000-0000-0000CC0A0000}"/>
    <cellStyle name="Comma 3 14 2 5" xfId="2771" xr:uid="{00000000-0005-0000-0000-0000CD0A0000}"/>
    <cellStyle name="Comma 3 14 3" xfId="2772" xr:uid="{00000000-0005-0000-0000-0000CE0A0000}"/>
    <cellStyle name="Comma 3 14 3 2" xfId="2773" xr:uid="{00000000-0005-0000-0000-0000CF0A0000}"/>
    <cellStyle name="Comma 3 14 3 2 2" xfId="2774" xr:uid="{00000000-0005-0000-0000-0000D00A0000}"/>
    <cellStyle name="Comma 3 14 3 2 3" xfId="2775" xr:uid="{00000000-0005-0000-0000-0000D10A0000}"/>
    <cellStyle name="Comma 3 14 3 3" xfId="2776" xr:uid="{00000000-0005-0000-0000-0000D20A0000}"/>
    <cellStyle name="Comma 3 14 3 4" xfId="2777" xr:uid="{00000000-0005-0000-0000-0000D30A0000}"/>
    <cellStyle name="Comma 3 14 4" xfId="2778" xr:uid="{00000000-0005-0000-0000-0000D40A0000}"/>
    <cellStyle name="Comma 3 14 4 2" xfId="2779" xr:uid="{00000000-0005-0000-0000-0000D50A0000}"/>
    <cellStyle name="Comma 3 14 4 3" xfId="2780" xr:uid="{00000000-0005-0000-0000-0000D60A0000}"/>
    <cellStyle name="Comma 3 14 5" xfId="2781" xr:uid="{00000000-0005-0000-0000-0000D70A0000}"/>
    <cellStyle name="Comma 3 14 6" xfId="2782" xr:uid="{00000000-0005-0000-0000-0000D80A0000}"/>
    <cellStyle name="Comma 3 15" xfId="2783" xr:uid="{00000000-0005-0000-0000-0000D90A0000}"/>
    <cellStyle name="Comma 3 15 2" xfId="2784" xr:uid="{00000000-0005-0000-0000-0000DA0A0000}"/>
    <cellStyle name="Comma 3 15 2 2" xfId="2785" xr:uid="{00000000-0005-0000-0000-0000DB0A0000}"/>
    <cellStyle name="Comma 3 15 2 2 2" xfId="2786" xr:uid="{00000000-0005-0000-0000-0000DC0A0000}"/>
    <cellStyle name="Comma 3 15 2 2 2 2" xfId="2787" xr:uid="{00000000-0005-0000-0000-0000DD0A0000}"/>
    <cellStyle name="Comma 3 15 2 2 2 3" xfId="2788" xr:uid="{00000000-0005-0000-0000-0000DE0A0000}"/>
    <cellStyle name="Comma 3 15 2 2 3" xfId="2789" xr:uid="{00000000-0005-0000-0000-0000DF0A0000}"/>
    <cellStyle name="Comma 3 15 2 2 4" xfId="2790" xr:uid="{00000000-0005-0000-0000-0000E00A0000}"/>
    <cellStyle name="Comma 3 15 2 3" xfId="2791" xr:uid="{00000000-0005-0000-0000-0000E10A0000}"/>
    <cellStyle name="Comma 3 15 2 3 2" xfId="2792" xr:uid="{00000000-0005-0000-0000-0000E20A0000}"/>
    <cellStyle name="Comma 3 15 2 3 3" xfId="2793" xr:uid="{00000000-0005-0000-0000-0000E30A0000}"/>
    <cellStyle name="Comma 3 15 2 4" xfId="2794" xr:uid="{00000000-0005-0000-0000-0000E40A0000}"/>
    <cellStyle name="Comma 3 15 2 5" xfId="2795" xr:uid="{00000000-0005-0000-0000-0000E50A0000}"/>
    <cellStyle name="Comma 3 15 3" xfId="2796" xr:uid="{00000000-0005-0000-0000-0000E60A0000}"/>
    <cellStyle name="Comma 3 15 3 2" xfId="2797" xr:uid="{00000000-0005-0000-0000-0000E70A0000}"/>
    <cellStyle name="Comma 3 15 3 2 2" xfId="2798" xr:uid="{00000000-0005-0000-0000-0000E80A0000}"/>
    <cellStyle name="Comma 3 15 3 2 3" xfId="2799" xr:uid="{00000000-0005-0000-0000-0000E90A0000}"/>
    <cellStyle name="Comma 3 15 3 3" xfId="2800" xr:uid="{00000000-0005-0000-0000-0000EA0A0000}"/>
    <cellStyle name="Comma 3 15 3 4" xfId="2801" xr:uid="{00000000-0005-0000-0000-0000EB0A0000}"/>
    <cellStyle name="Comma 3 15 4" xfId="2802" xr:uid="{00000000-0005-0000-0000-0000EC0A0000}"/>
    <cellStyle name="Comma 3 15 4 2" xfId="2803" xr:uid="{00000000-0005-0000-0000-0000ED0A0000}"/>
    <cellStyle name="Comma 3 15 4 3" xfId="2804" xr:uid="{00000000-0005-0000-0000-0000EE0A0000}"/>
    <cellStyle name="Comma 3 15 5" xfId="2805" xr:uid="{00000000-0005-0000-0000-0000EF0A0000}"/>
    <cellStyle name="Comma 3 15 6" xfId="2806" xr:uid="{00000000-0005-0000-0000-0000F00A0000}"/>
    <cellStyle name="Comma 3 16" xfId="2807" xr:uid="{00000000-0005-0000-0000-0000F10A0000}"/>
    <cellStyle name="Comma 3 16 2" xfId="2808" xr:uid="{00000000-0005-0000-0000-0000F20A0000}"/>
    <cellStyle name="Comma 3 16 2 2" xfId="2809" xr:uid="{00000000-0005-0000-0000-0000F30A0000}"/>
    <cellStyle name="Comma 3 16 2 2 2" xfId="2810" xr:uid="{00000000-0005-0000-0000-0000F40A0000}"/>
    <cellStyle name="Comma 3 16 2 2 2 2" xfId="2811" xr:uid="{00000000-0005-0000-0000-0000F50A0000}"/>
    <cellStyle name="Comma 3 16 2 2 2 3" xfId="2812" xr:uid="{00000000-0005-0000-0000-0000F60A0000}"/>
    <cellStyle name="Comma 3 16 2 2 3" xfId="2813" xr:uid="{00000000-0005-0000-0000-0000F70A0000}"/>
    <cellStyle name="Comma 3 16 2 2 4" xfId="2814" xr:uid="{00000000-0005-0000-0000-0000F80A0000}"/>
    <cellStyle name="Comma 3 16 2 3" xfId="2815" xr:uid="{00000000-0005-0000-0000-0000F90A0000}"/>
    <cellStyle name="Comma 3 16 2 3 2" xfId="2816" xr:uid="{00000000-0005-0000-0000-0000FA0A0000}"/>
    <cellStyle name="Comma 3 16 2 3 3" xfId="2817" xr:uid="{00000000-0005-0000-0000-0000FB0A0000}"/>
    <cellStyle name="Comma 3 16 2 4" xfId="2818" xr:uid="{00000000-0005-0000-0000-0000FC0A0000}"/>
    <cellStyle name="Comma 3 16 2 5" xfId="2819" xr:uid="{00000000-0005-0000-0000-0000FD0A0000}"/>
    <cellStyle name="Comma 3 16 3" xfId="2820" xr:uid="{00000000-0005-0000-0000-0000FE0A0000}"/>
    <cellStyle name="Comma 3 16 3 2" xfId="2821" xr:uid="{00000000-0005-0000-0000-0000FF0A0000}"/>
    <cellStyle name="Comma 3 16 3 2 2" xfId="2822" xr:uid="{00000000-0005-0000-0000-0000000B0000}"/>
    <cellStyle name="Comma 3 16 3 2 3" xfId="2823" xr:uid="{00000000-0005-0000-0000-0000010B0000}"/>
    <cellStyle name="Comma 3 16 3 3" xfId="2824" xr:uid="{00000000-0005-0000-0000-0000020B0000}"/>
    <cellStyle name="Comma 3 16 3 4" xfId="2825" xr:uid="{00000000-0005-0000-0000-0000030B0000}"/>
    <cellStyle name="Comma 3 16 4" xfId="2826" xr:uid="{00000000-0005-0000-0000-0000040B0000}"/>
    <cellStyle name="Comma 3 16 4 2" xfId="2827" xr:uid="{00000000-0005-0000-0000-0000050B0000}"/>
    <cellStyle name="Comma 3 16 4 3" xfId="2828" xr:uid="{00000000-0005-0000-0000-0000060B0000}"/>
    <cellStyle name="Comma 3 16 5" xfId="2829" xr:uid="{00000000-0005-0000-0000-0000070B0000}"/>
    <cellStyle name="Comma 3 16 6" xfId="2830" xr:uid="{00000000-0005-0000-0000-0000080B0000}"/>
    <cellStyle name="Comma 3 17" xfId="2831" xr:uid="{00000000-0005-0000-0000-0000090B0000}"/>
    <cellStyle name="Comma 3 17 2" xfId="2832" xr:uid="{00000000-0005-0000-0000-00000A0B0000}"/>
    <cellStyle name="Comma 3 17 2 2" xfId="2833" xr:uid="{00000000-0005-0000-0000-00000B0B0000}"/>
    <cellStyle name="Comma 3 17 2 2 2" xfId="2834" xr:uid="{00000000-0005-0000-0000-00000C0B0000}"/>
    <cellStyle name="Comma 3 17 2 2 2 2" xfId="2835" xr:uid="{00000000-0005-0000-0000-00000D0B0000}"/>
    <cellStyle name="Comma 3 17 2 2 2 3" xfId="2836" xr:uid="{00000000-0005-0000-0000-00000E0B0000}"/>
    <cellStyle name="Comma 3 17 2 2 3" xfId="2837" xr:uid="{00000000-0005-0000-0000-00000F0B0000}"/>
    <cellStyle name="Comma 3 17 2 2 4" xfId="2838" xr:uid="{00000000-0005-0000-0000-0000100B0000}"/>
    <cellStyle name="Comma 3 17 2 3" xfId="2839" xr:uid="{00000000-0005-0000-0000-0000110B0000}"/>
    <cellStyle name="Comma 3 17 2 3 2" xfId="2840" xr:uid="{00000000-0005-0000-0000-0000120B0000}"/>
    <cellStyle name="Comma 3 17 2 3 3" xfId="2841" xr:uid="{00000000-0005-0000-0000-0000130B0000}"/>
    <cellStyle name="Comma 3 17 2 4" xfId="2842" xr:uid="{00000000-0005-0000-0000-0000140B0000}"/>
    <cellStyle name="Comma 3 17 2 5" xfId="2843" xr:uid="{00000000-0005-0000-0000-0000150B0000}"/>
    <cellStyle name="Comma 3 17 3" xfId="2844" xr:uid="{00000000-0005-0000-0000-0000160B0000}"/>
    <cellStyle name="Comma 3 17 3 2" xfId="2845" xr:uid="{00000000-0005-0000-0000-0000170B0000}"/>
    <cellStyle name="Comma 3 17 3 2 2" xfId="2846" xr:uid="{00000000-0005-0000-0000-0000180B0000}"/>
    <cellStyle name="Comma 3 17 3 2 3" xfId="2847" xr:uid="{00000000-0005-0000-0000-0000190B0000}"/>
    <cellStyle name="Comma 3 17 3 3" xfId="2848" xr:uid="{00000000-0005-0000-0000-00001A0B0000}"/>
    <cellStyle name="Comma 3 17 3 4" xfId="2849" xr:uid="{00000000-0005-0000-0000-00001B0B0000}"/>
    <cellStyle name="Comma 3 17 4" xfId="2850" xr:uid="{00000000-0005-0000-0000-00001C0B0000}"/>
    <cellStyle name="Comma 3 17 4 2" xfId="2851" xr:uid="{00000000-0005-0000-0000-00001D0B0000}"/>
    <cellStyle name="Comma 3 17 4 3" xfId="2852" xr:uid="{00000000-0005-0000-0000-00001E0B0000}"/>
    <cellStyle name="Comma 3 17 5" xfId="2853" xr:uid="{00000000-0005-0000-0000-00001F0B0000}"/>
    <cellStyle name="Comma 3 17 6" xfId="2854" xr:uid="{00000000-0005-0000-0000-0000200B0000}"/>
    <cellStyle name="Comma 3 18" xfId="2855" xr:uid="{00000000-0005-0000-0000-0000210B0000}"/>
    <cellStyle name="Comma 3 18 2" xfId="2856" xr:uid="{00000000-0005-0000-0000-0000220B0000}"/>
    <cellStyle name="Comma 3 18 2 2" xfId="2857" xr:uid="{00000000-0005-0000-0000-0000230B0000}"/>
    <cellStyle name="Comma 3 18 2 2 2" xfId="2858" xr:uid="{00000000-0005-0000-0000-0000240B0000}"/>
    <cellStyle name="Comma 3 18 2 2 2 2" xfId="2859" xr:uid="{00000000-0005-0000-0000-0000250B0000}"/>
    <cellStyle name="Comma 3 18 2 2 2 3" xfId="2860" xr:uid="{00000000-0005-0000-0000-0000260B0000}"/>
    <cellStyle name="Comma 3 18 2 2 3" xfId="2861" xr:uid="{00000000-0005-0000-0000-0000270B0000}"/>
    <cellStyle name="Comma 3 18 2 2 4" xfId="2862" xr:uid="{00000000-0005-0000-0000-0000280B0000}"/>
    <cellStyle name="Comma 3 18 2 3" xfId="2863" xr:uid="{00000000-0005-0000-0000-0000290B0000}"/>
    <cellStyle name="Comma 3 18 2 3 2" xfId="2864" xr:uid="{00000000-0005-0000-0000-00002A0B0000}"/>
    <cellStyle name="Comma 3 18 2 3 3" xfId="2865" xr:uid="{00000000-0005-0000-0000-00002B0B0000}"/>
    <cellStyle name="Comma 3 18 2 4" xfId="2866" xr:uid="{00000000-0005-0000-0000-00002C0B0000}"/>
    <cellStyle name="Comma 3 18 2 5" xfId="2867" xr:uid="{00000000-0005-0000-0000-00002D0B0000}"/>
    <cellStyle name="Comma 3 18 3" xfId="2868" xr:uid="{00000000-0005-0000-0000-00002E0B0000}"/>
    <cellStyle name="Comma 3 18 3 2" xfId="2869" xr:uid="{00000000-0005-0000-0000-00002F0B0000}"/>
    <cellStyle name="Comma 3 18 3 2 2" xfId="2870" xr:uid="{00000000-0005-0000-0000-0000300B0000}"/>
    <cellStyle name="Comma 3 18 3 2 3" xfId="2871" xr:uid="{00000000-0005-0000-0000-0000310B0000}"/>
    <cellStyle name="Comma 3 18 3 3" xfId="2872" xr:uid="{00000000-0005-0000-0000-0000320B0000}"/>
    <cellStyle name="Comma 3 18 3 4" xfId="2873" xr:uid="{00000000-0005-0000-0000-0000330B0000}"/>
    <cellStyle name="Comma 3 18 4" xfId="2874" xr:uid="{00000000-0005-0000-0000-0000340B0000}"/>
    <cellStyle name="Comma 3 18 4 2" xfId="2875" xr:uid="{00000000-0005-0000-0000-0000350B0000}"/>
    <cellStyle name="Comma 3 18 4 3" xfId="2876" xr:uid="{00000000-0005-0000-0000-0000360B0000}"/>
    <cellStyle name="Comma 3 18 5" xfId="2877" xr:uid="{00000000-0005-0000-0000-0000370B0000}"/>
    <cellStyle name="Comma 3 18 6" xfId="2878" xr:uid="{00000000-0005-0000-0000-0000380B0000}"/>
    <cellStyle name="Comma 3 19" xfId="2879" xr:uid="{00000000-0005-0000-0000-0000390B0000}"/>
    <cellStyle name="Comma 3 19 2" xfId="2880" xr:uid="{00000000-0005-0000-0000-00003A0B0000}"/>
    <cellStyle name="Comma 3 19 2 2" xfId="2881" xr:uid="{00000000-0005-0000-0000-00003B0B0000}"/>
    <cellStyle name="Comma 3 19 2 2 2" xfId="2882" xr:uid="{00000000-0005-0000-0000-00003C0B0000}"/>
    <cellStyle name="Comma 3 19 2 2 2 2" xfId="2883" xr:uid="{00000000-0005-0000-0000-00003D0B0000}"/>
    <cellStyle name="Comma 3 19 2 2 2 3" xfId="2884" xr:uid="{00000000-0005-0000-0000-00003E0B0000}"/>
    <cellStyle name="Comma 3 19 2 2 3" xfId="2885" xr:uid="{00000000-0005-0000-0000-00003F0B0000}"/>
    <cellStyle name="Comma 3 19 2 2 4" xfId="2886" xr:uid="{00000000-0005-0000-0000-0000400B0000}"/>
    <cellStyle name="Comma 3 19 2 3" xfId="2887" xr:uid="{00000000-0005-0000-0000-0000410B0000}"/>
    <cellStyle name="Comma 3 19 2 3 2" xfId="2888" xr:uid="{00000000-0005-0000-0000-0000420B0000}"/>
    <cellStyle name="Comma 3 19 2 3 3" xfId="2889" xr:uid="{00000000-0005-0000-0000-0000430B0000}"/>
    <cellStyle name="Comma 3 19 2 4" xfId="2890" xr:uid="{00000000-0005-0000-0000-0000440B0000}"/>
    <cellStyle name="Comma 3 19 2 5" xfId="2891" xr:uid="{00000000-0005-0000-0000-0000450B0000}"/>
    <cellStyle name="Comma 3 19 3" xfId="2892" xr:uid="{00000000-0005-0000-0000-0000460B0000}"/>
    <cellStyle name="Comma 3 19 3 2" xfId="2893" xr:uid="{00000000-0005-0000-0000-0000470B0000}"/>
    <cellStyle name="Comma 3 19 3 2 2" xfId="2894" xr:uid="{00000000-0005-0000-0000-0000480B0000}"/>
    <cellStyle name="Comma 3 19 3 2 3" xfId="2895" xr:uid="{00000000-0005-0000-0000-0000490B0000}"/>
    <cellStyle name="Comma 3 19 3 3" xfId="2896" xr:uid="{00000000-0005-0000-0000-00004A0B0000}"/>
    <cellStyle name="Comma 3 19 3 4" xfId="2897" xr:uid="{00000000-0005-0000-0000-00004B0B0000}"/>
    <cellStyle name="Comma 3 19 4" xfId="2898" xr:uid="{00000000-0005-0000-0000-00004C0B0000}"/>
    <cellStyle name="Comma 3 19 4 2" xfId="2899" xr:uid="{00000000-0005-0000-0000-00004D0B0000}"/>
    <cellStyle name="Comma 3 19 4 3" xfId="2900" xr:uid="{00000000-0005-0000-0000-00004E0B0000}"/>
    <cellStyle name="Comma 3 19 5" xfId="2901" xr:uid="{00000000-0005-0000-0000-00004F0B0000}"/>
    <cellStyle name="Comma 3 19 6" xfId="2902" xr:uid="{00000000-0005-0000-0000-0000500B0000}"/>
    <cellStyle name="Comma 3 2" xfId="19" xr:uid="{00000000-0005-0000-0000-0000510B0000}"/>
    <cellStyle name="Comma 3 2 2" xfId="2903" xr:uid="{00000000-0005-0000-0000-0000520B0000}"/>
    <cellStyle name="Comma 3 2 2 2" xfId="2904" xr:uid="{00000000-0005-0000-0000-0000530B0000}"/>
    <cellStyle name="Comma 3 2 2 2 2" xfId="2905" xr:uid="{00000000-0005-0000-0000-0000540B0000}"/>
    <cellStyle name="Comma 3 2 2 2 2 2" xfId="2906" xr:uid="{00000000-0005-0000-0000-0000550B0000}"/>
    <cellStyle name="Comma 3 2 2 2 2 2 2" xfId="2907" xr:uid="{00000000-0005-0000-0000-0000560B0000}"/>
    <cellStyle name="Comma 3 2 2 2 2 2 3" xfId="2908" xr:uid="{00000000-0005-0000-0000-0000570B0000}"/>
    <cellStyle name="Comma 3 2 2 2 2 3" xfId="2909" xr:uid="{00000000-0005-0000-0000-0000580B0000}"/>
    <cellStyle name="Comma 3 2 2 2 2 4" xfId="2910" xr:uid="{00000000-0005-0000-0000-0000590B0000}"/>
    <cellStyle name="Comma 3 2 2 2 3" xfId="2911" xr:uid="{00000000-0005-0000-0000-00005A0B0000}"/>
    <cellStyle name="Comma 3 2 2 2 3 2" xfId="2912" xr:uid="{00000000-0005-0000-0000-00005B0B0000}"/>
    <cellStyle name="Comma 3 2 2 2 3 3" xfId="2913" xr:uid="{00000000-0005-0000-0000-00005C0B0000}"/>
    <cellStyle name="Comma 3 2 2 2 4" xfId="2914" xr:uid="{00000000-0005-0000-0000-00005D0B0000}"/>
    <cellStyle name="Comma 3 2 2 2 5" xfId="2915" xr:uid="{00000000-0005-0000-0000-00005E0B0000}"/>
    <cellStyle name="Comma 3 2 2 3" xfId="2916" xr:uid="{00000000-0005-0000-0000-00005F0B0000}"/>
    <cellStyle name="Comma 3 2 2 3 2" xfId="2917" xr:uid="{00000000-0005-0000-0000-0000600B0000}"/>
    <cellStyle name="Comma 3 2 2 3 2 2" xfId="2918" xr:uid="{00000000-0005-0000-0000-0000610B0000}"/>
    <cellStyle name="Comma 3 2 2 3 2 3" xfId="2919" xr:uid="{00000000-0005-0000-0000-0000620B0000}"/>
    <cellStyle name="Comma 3 2 2 3 3" xfId="2920" xr:uid="{00000000-0005-0000-0000-0000630B0000}"/>
    <cellStyle name="Comma 3 2 2 3 4" xfId="2921" xr:uid="{00000000-0005-0000-0000-0000640B0000}"/>
    <cellStyle name="Comma 3 2 2 4" xfId="2922" xr:uid="{00000000-0005-0000-0000-0000650B0000}"/>
    <cellStyle name="Comma 3 2 2 4 2" xfId="2923" xr:uid="{00000000-0005-0000-0000-0000660B0000}"/>
    <cellStyle name="Comma 3 2 2 4 3" xfId="2924" xr:uid="{00000000-0005-0000-0000-0000670B0000}"/>
    <cellStyle name="Comma 3 2 2 5" xfId="2925" xr:uid="{00000000-0005-0000-0000-0000680B0000}"/>
    <cellStyle name="Comma 3 2 2 6" xfId="2926" xr:uid="{00000000-0005-0000-0000-0000690B0000}"/>
    <cellStyle name="Comma 3 2 3" xfId="2927" xr:uid="{00000000-0005-0000-0000-00006A0B0000}"/>
    <cellStyle name="Comma 3 2 3 2" xfId="2928" xr:uid="{00000000-0005-0000-0000-00006B0B0000}"/>
    <cellStyle name="Comma 3 2 3 2 2" xfId="2929" xr:uid="{00000000-0005-0000-0000-00006C0B0000}"/>
    <cellStyle name="Comma 3 2 3 2 2 2" xfId="2930" xr:uid="{00000000-0005-0000-0000-00006D0B0000}"/>
    <cellStyle name="Comma 3 2 3 2 2 2 2" xfId="2931" xr:uid="{00000000-0005-0000-0000-00006E0B0000}"/>
    <cellStyle name="Comma 3 2 3 2 2 2 3" xfId="2932" xr:uid="{00000000-0005-0000-0000-00006F0B0000}"/>
    <cellStyle name="Comma 3 2 3 2 2 3" xfId="2933" xr:uid="{00000000-0005-0000-0000-0000700B0000}"/>
    <cellStyle name="Comma 3 2 3 2 2 4" xfId="2934" xr:uid="{00000000-0005-0000-0000-0000710B0000}"/>
    <cellStyle name="Comma 3 2 3 2 3" xfId="2935" xr:uid="{00000000-0005-0000-0000-0000720B0000}"/>
    <cellStyle name="Comma 3 2 3 2 3 2" xfId="2936" xr:uid="{00000000-0005-0000-0000-0000730B0000}"/>
    <cellStyle name="Comma 3 2 3 2 3 3" xfId="2937" xr:uid="{00000000-0005-0000-0000-0000740B0000}"/>
    <cellStyle name="Comma 3 2 3 2 4" xfId="2938" xr:uid="{00000000-0005-0000-0000-0000750B0000}"/>
    <cellStyle name="Comma 3 2 3 2 5" xfId="2939" xr:uid="{00000000-0005-0000-0000-0000760B0000}"/>
    <cellStyle name="Comma 3 2 3 3" xfId="2940" xr:uid="{00000000-0005-0000-0000-0000770B0000}"/>
    <cellStyle name="Comma 3 2 3 3 2" xfId="2941" xr:uid="{00000000-0005-0000-0000-0000780B0000}"/>
    <cellStyle name="Comma 3 2 3 3 2 2" xfId="2942" xr:uid="{00000000-0005-0000-0000-0000790B0000}"/>
    <cellStyle name="Comma 3 2 3 3 2 3" xfId="2943" xr:uid="{00000000-0005-0000-0000-00007A0B0000}"/>
    <cellStyle name="Comma 3 2 3 3 3" xfId="2944" xr:uid="{00000000-0005-0000-0000-00007B0B0000}"/>
    <cellStyle name="Comma 3 2 3 3 4" xfId="2945" xr:uid="{00000000-0005-0000-0000-00007C0B0000}"/>
    <cellStyle name="Comma 3 2 3 4" xfId="2946" xr:uid="{00000000-0005-0000-0000-00007D0B0000}"/>
    <cellStyle name="Comma 3 2 3 4 2" xfId="2947" xr:uid="{00000000-0005-0000-0000-00007E0B0000}"/>
    <cellStyle name="Comma 3 2 3 4 3" xfId="2948" xr:uid="{00000000-0005-0000-0000-00007F0B0000}"/>
    <cellStyle name="Comma 3 2 3 5" xfId="2949" xr:uid="{00000000-0005-0000-0000-0000800B0000}"/>
    <cellStyle name="Comma 3 2 3 6" xfId="2950" xr:uid="{00000000-0005-0000-0000-0000810B0000}"/>
    <cellStyle name="Comma 3 2 4" xfId="2951" xr:uid="{00000000-0005-0000-0000-0000820B0000}"/>
    <cellStyle name="Comma 3 2 4 2" xfId="2952" xr:uid="{00000000-0005-0000-0000-0000830B0000}"/>
    <cellStyle name="Comma 3 2 4 2 2" xfId="2953" xr:uid="{00000000-0005-0000-0000-0000840B0000}"/>
    <cellStyle name="Comma 3 2 4 2 2 2" xfId="2954" xr:uid="{00000000-0005-0000-0000-0000850B0000}"/>
    <cellStyle name="Comma 3 2 4 2 2 2 2" xfId="2955" xr:uid="{00000000-0005-0000-0000-0000860B0000}"/>
    <cellStyle name="Comma 3 2 4 2 2 2 3" xfId="2956" xr:uid="{00000000-0005-0000-0000-0000870B0000}"/>
    <cellStyle name="Comma 3 2 4 2 2 3" xfId="2957" xr:uid="{00000000-0005-0000-0000-0000880B0000}"/>
    <cellStyle name="Comma 3 2 4 2 2 4" xfId="2958" xr:uid="{00000000-0005-0000-0000-0000890B0000}"/>
    <cellStyle name="Comma 3 2 4 2 3" xfId="2959" xr:uid="{00000000-0005-0000-0000-00008A0B0000}"/>
    <cellStyle name="Comma 3 2 4 2 3 2" xfId="2960" xr:uid="{00000000-0005-0000-0000-00008B0B0000}"/>
    <cellStyle name="Comma 3 2 4 2 3 3" xfId="2961" xr:uid="{00000000-0005-0000-0000-00008C0B0000}"/>
    <cellStyle name="Comma 3 2 4 2 4" xfId="2962" xr:uid="{00000000-0005-0000-0000-00008D0B0000}"/>
    <cellStyle name="Comma 3 2 4 2 5" xfId="2963" xr:uid="{00000000-0005-0000-0000-00008E0B0000}"/>
    <cellStyle name="Comma 3 2 4 3" xfId="2964" xr:uid="{00000000-0005-0000-0000-00008F0B0000}"/>
    <cellStyle name="Comma 3 2 4 3 2" xfId="2965" xr:uid="{00000000-0005-0000-0000-0000900B0000}"/>
    <cellStyle name="Comma 3 2 4 3 2 2" xfId="2966" xr:uid="{00000000-0005-0000-0000-0000910B0000}"/>
    <cellStyle name="Comma 3 2 4 3 2 3" xfId="2967" xr:uid="{00000000-0005-0000-0000-0000920B0000}"/>
    <cellStyle name="Comma 3 2 4 3 3" xfId="2968" xr:uid="{00000000-0005-0000-0000-0000930B0000}"/>
    <cellStyle name="Comma 3 2 4 3 4" xfId="2969" xr:uid="{00000000-0005-0000-0000-0000940B0000}"/>
    <cellStyle name="Comma 3 2 4 4" xfId="2970" xr:uid="{00000000-0005-0000-0000-0000950B0000}"/>
    <cellStyle name="Comma 3 2 4 4 2" xfId="2971" xr:uid="{00000000-0005-0000-0000-0000960B0000}"/>
    <cellStyle name="Comma 3 2 4 4 3" xfId="2972" xr:uid="{00000000-0005-0000-0000-0000970B0000}"/>
    <cellStyle name="Comma 3 2 4 5" xfId="2973" xr:uid="{00000000-0005-0000-0000-0000980B0000}"/>
    <cellStyle name="Comma 3 2 4 6" xfId="2974" xr:uid="{00000000-0005-0000-0000-0000990B0000}"/>
    <cellStyle name="Comma 3 2 5" xfId="2975" xr:uid="{00000000-0005-0000-0000-00009A0B0000}"/>
    <cellStyle name="Comma 3 2 5 2" xfId="2976" xr:uid="{00000000-0005-0000-0000-00009B0B0000}"/>
    <cellStyle name="Comma 3 2 5 2 2" xfId="2977" xr:uid="{00000000-0005-0000-0000-00009C0B0000}"/>
    <cellStyle name="Comma 3 2 5 2 2 2" xfId="2978" xr:uid="{00000000-0005-0000-0000-00009D0B0000}"/>
    <cellStyle name="Comma 3 2 5 2 2 2 2" xfId="2979" xr:uid="{00000000-0005-0000-0000-00009E0B0000}"/>
    <cellStyle name="Comma 3 2 5 2 2 2 3" xfId="2980" xr:uid="{00000000-0005-0000-0000-00009F0B0000}"/>
    <cellStyle name="Comma 3 2 5 2 2 3" xfId="2981" xr:uid="{00000000-0005-0000-0000-0000A00B0000}"/>
    <cellStyle name="Comma 3 2 5 2 2 4" xfId="2982" xr:uid="{00000000-0005-0000-0000-0000A10B0000}"/>
    <cellStyle name="Comma 3 2 5 2 3" xfId="2983" xr:uid="{00000000-0005-0000-0000-0000A20B0000}"/>
    <cellStyle name="Comma 3 2 5 2 3 2" xfId="2984" xr:uid="{00000000-0005-0000-0000-0000A30B0000}"/>
    <cellStyle name="Comma 3 2 5 2 3 3" xfId="2985" xr:uid="{00000000-0005-0000-0000-0000A40B0000}"/>
    <cellStyle name="Comma 3 2 5 2 4" xfId="2986" xr:uid="{00000000-0005-0000-0000-0000A50B0000}"/>
    <cellStyle name="Comma 3 2 5 2 5" xfId="2987" xr:uid="{00000000-0005-0000-0000-0000A60B0000}"/>
    <cellStyle name="Comma 3 2 5 3" xfId="2988" xr:uid="{00000000-0005-0000-0000-0000A70B0000}"/>
    <cellStyle name="Comma 3 2 5 3 2" xfId="2989" xr:uid="{00000000-0005-0000-0000-0000A80B0000}"/>
    <cellStyle name="Comma 3 2 5 3 2 2" xfId="2990" xr:uid="{00000000-0005-0000-0000-0000A90B0000}"/>
    <cellStyle name="Comma 3 2 5 3 2 3" xfId="2991" xr:uid="{00000000-0005-0000-0000-0000AA0B0000}"/>
    <cellStyle name="Comma 3 2 5 3 3" xfId="2992" xr:uid="{00000000-0005-0000-0000-0000AB0B0000}"/>
    <cellStyle name="Comma 3 2 5 3 4" xfId="2993" xr:uid="{00000000-0005-0000-0000-0000AC0B0000}"/>
    <cellStyle name="Comma 3 2 5 4" xfId="2994" xr:uid="{00000000-0005-0000-0000-0000AD0B0000}"/>
    <cellStyle name="Comma 3 2 5 4 2" xfId="2995" xr:uid="{00000000-0005-0000-0000-0000AE0B0000}"/>
    <cellStyle name="Comma 3 2 5 4 3" xfId="2996" xr:uid="{00000000-0005-0000-0000-0000AF0B0000}"/>
    <cellStyle name="Comma 3 2 5 5" xfId="2997" xr:uid="{00000000-0005-0000-0000-0000B00B0000}"/>
    <cellStyle name="Comma 3 2 5 6" xfId="2998" xr:uid="{00000000-0005-0000-0000-0000B10B0000}"/>
    <cellStyle name="Comma 3 2 6" xfId="2999" xr:uid="{00000000-0005-0000-0000-0000B20B0000}"/>
    <cellStyle name="Comma 3 2 7" xfId="3000" xr:uid="{00000000-0005-0000-0000-0000B30B0000}"/>
    <cellStyle name="Comma 3 2 7 2" xfId="3001" xr:uid="{00000000-0005-0000-0000-0000B40B0000}"/>
    <cellStyle name="Comma 3 2 7 3" xfId="3002" xr:uid="{00000000-0005-0000-0000-0000B50B0000}"/>
    <cellStyle name="Comma 3 2 7 4" xfId="3003" xr:uid="{00000000-0005-0000-0000-0000B60B0000}"/>
    <cellStyle name="Comma 3 2 8" xfId="3004" xr:uid="{00000000-0005-0000-0000-0000B70B0000}"/>
    <cellStyle name="Comma 3 20" xfId="3005" xr:uid="{00000000-0005-0000-0000-0000B80B0000}"/>
    <cellStyle name="Comma 3 20 2" xfId="3006" xr:uid="{00000000-0005-0000-0000-0000B90B0000}"/>
    <cellStyle name="Comma 3 20 2 2" xfId="3007" xr:uid="{00000000-0005-0000-0000-0000BA0B0000}"/>
    <cellStyle name="Comma 3 20 2 2 2" xfId="3008" xr:uid="{00000000-0005-0000-0000-0000BB0B0000}"/>
    <cellStyle name="Comma 3 20 2 2 2 2" xfId="3009" xr:uid="{00000000-0005-0000-0000-0000BC0B0000}"/>
    <cellStyle name="Comma 3 20 2 2 2 3" xfId="3010" xr:uid="{00000000-0005-0000-0000-0000BD0B0000}"/>
    <cellStyle name="Comma 3 20 2 2 3" xfId="3011" xr:uid="{00000000-0005-0000-0000-0000BE0B0000}"/>
    <cellStyle name="Comma 3 20 2 2 4" xfId="3012" xr:uid="{00000000-0005-0000-0000-0000BF0B0000}"/>
    <cellStyle name="Comma 3 20 2 3" xfId="3013" xr:uid="{00000000-0005-0000-0000-0000C00B0000}"/>
    <cellStyle name="Comma 3 20 2 3 2" xfId="3014" xr:uid="{00000000-0005-0000-0000-0000C10B0000}"/>
    <cellStyle name="Comma 3 20 2 3 3" xfId="3015" xr:uid="{00000000-0005-0000-0000-0000C20B0000}"/>
    <cellStyle name="Comma 3 20 2 4" xfId="3016" xr:uid="{00000000-0005-0000-0000-0000C30B0000}"/>
    <cellStyle name="Comma 3 20 2 5" xfId="3017" xr:uid="{00000000-0005-0000-0000-0000C40B0000}"/>
    <cellStyle name="Comma 3 20 3" xfId="3018" xr:uid="{00000000-0005-0000-0000-0000C50B0000}"/>
    <cellStyle name="Comma 3 20 3 2" xfId="3019" xr:uid="{00000000-0005-0000-0000-0000C60B0000}"/>
    <cellStyle name="Comma 3 20 3 2 2" xfId="3020" xr:uid="{00000000-0005-0000-0000-0000C70B0000}"/>
    <cellStyle name="Comma 3 20 3 2 3" xfId="3021" xr:uid="{00000000-0005-0000-0000-0000C80B0000}"/>
    <cellStyle name="Comma 3 20 3 3" xfId="3022" xr:uid="{00000000-0005-0000-0000-0000C90B0000}"/>
    <cellStyle name="Comma 3 20 3 4" xfId="3023" xr:uid="{00000000-0005-0000-0000-0000CA0B0000}"/>
    <cellStyle name="Comma 3 20 4" xfId="3024" xr:uid="{00000000-0005-0000-0000-0000CB0B0000}"/>
    <cellStyle name="Comma 3 20 4 2" xfId="3025" xr:uid="{00000000-0005-0000-0000-0000CC0B0000}"/>
    <cellStyle name="Comma 3 20 4 3" xfId="3026" xr:uid="{00000000-0005-0000-0000-0000CD0B0000}"/>
    <cellStyle name="Comma 3 20 5" xfId="3027" xr:uid="{00000000-0005-0000-0000-0000CE0B0000}"/>
    <cellStyle name="Comma 3 20 6" xfId="3028" xr:uid="{00000000-0005-0000-0000-0000CF0B0000}"/>
    <cellStyle name="Comma 3 21" xfId="3029" xr:uid="{00000000-0005-0000-0000-0000D00B0000}"/>
    <cellStyle name="Comma 3 21 2" xfId="3030" xr:uid="{00000000-0005-0000-0000-0000D10B0000}"/>
    <cellStyle name="Comma 3 21 2 2" xfId="3031" xr:uid="{00000000-0005-0000-0000-0000D20B0000}"/>
    <cellStyle name="Comma 3 21 2 2 2" xfId="3032" xr:uid="{00000000-0005-0000-0000-0000D30B0000}"/>
    <cellStyle name="Comma 3 21 2 2 2 2" xfId="3033" xr:uid="{00000000-0005-0000-0000-0000D40B0000}"/>
    <cellStyle name="Comma 3 21 2 2 2 3" xfId="3034" xr:uid="{00000000-0005-0000-0000-0000D50B0000}"/>
    <cellStyle name="Comma 3 21 2 2 3" xfId="3035" xr:uid="{00000000-0005-0000-0000-0000D60B0000}"/>
    <cellStyle name="Comma 3 21 2 2 4" xfId="3036" xr:uid="{00000000-0005-0000-0000-0000D70B0000}"/>
    <cellStyle name="Comma 3 21 2 3" xfId="3037" xr:uid="{00000000-0005-0000-0000-0000D80B0000}"/>
    <cellStyle name="Comma 3 21 2 3 2" xfId="3038" xr:uid="{00000000-0005-0000-0000-0000D90B0000}"/>
    <cellStyle name="Comma 3 21 2 3 3" xfId="3039" xr:uid="{00000000-0005-0000-0000-0000DA0B0000}"/>
    <cellStyle name="Comma 3 21 2 4" xfId="3040" xr:uid="{00000000-0005-0000-0000-0000DB0B0000}"/>
    <cellStyle name="Comma 3 21 2 5" xfId="3041" xr:uid="{00000000-0005-0000-0000-0000DC0B0000}"/>
    <cellStyle name="Comma 3 21 3" xfId="3042" xr:uid="{00000000-0005-0000-0000-0000DD0B0000}"/>
    <cellStyle name="Comma 3 21 3 2" xfId="3043" xr:uid="{00000000-0005-0000-0000-0000DE0B0000}"/>
    <cellStyle name="Comma 3 21 3 2 2" xfId="3044" xr:uid="{00000000-0005-0000-0000-0000DF0B0000}"/>
    <cellStyle name="Comma 3 21 3 2 3" xfId="3045" xr:uid="{00000000-0005-0000-0000-0000E00B0000}"/>
    <cellStyle name="Comma 3 21 3 3" xfId="3046" xr:uid="{00000000-0005-0000-0000-0000E10B0000}"/>
    <cellStyle name="Comma 3 21 3 4" xfId="3047" xr:uid="{00000000-0005-0000-0000-0000E20B0000}"/>
    <cellStyle name="Comma 3 21 4" xfId="3048" xr:uid="{00000000-0005-0000-0000-0000E30B0000}"/>
    <cellStyle name="Comma 3 21 4 2" xfId="3049" xr:uid="{00000000-0005-0000-0000-0000E40B0000}"/>
    <cellStyle name="Comma 3 21 4 3" xfId="3050" xr:uid="{00000000-0005-0000-0000-0000E50B0000}"/>
    <cellStyle name="Comma 3 21 5" xfId="3051" xr:uid="{00000000-0005-0000-0000-0000E60B0000}"/>
    <cellStyle name="Comma 3 21 6" xfId="3052" xr:uid="{00000000-0005-0000-0000-0000E70B0000}"/>
    <cellStyle name="Comma 3 22" xfId="3053" xr:uid="{00000000-0005-0000-0000-0000E80B0000}"/>
    <cellStyle name="Comma 3 23" xfId="3054" xr:uid="{00000000-0005-0000-0000-0000E90B0000}"/>
    <cellStyle name="Comma 3 24" xfId="3055" xr:uid="{00000000-0005-0000-0000-0000EA0B0000}"/>
    <cellStyle name="Comma 3 25" xfId="3056" xr:uid="{00000000-0005-0000-0000-0000EB0B0000}"/>
    <cellStyle name="Comma 3 26" xfId="3057" xr:uid="{00000000-0005-0000-0000-0000EC0B0000}"/>
    <cellStyle name="Comma 3 27" xfId="3058" xr:uid="{00000000-0005-0000-0000-0000ED0B0000}"/>
    <cellStyle name="Comma 3 28" xfId="3059" xr:uid="{00000000-0005-0000-0000-0000EE0B0000}"/>
    <cellStyle name="Comma 3 29" xfId="3060" xr:uid="{00000000-0005-0000-0000-0000EF0B0000}"/>
    <cellStyle name="Comma 3 3" xfId="3061" xr:uid="{00000000-0005-0000-0000-0000F00B0000}"/>
    <cellStyle name="Comma 3 3 10" xfId="3062" xr:uid="{00000000-0005-0000-0000-0000F10B0000}"/>
    <cellStyle name="Comma 3 3 2" xfId="3063" xr:uid="{00000000-0005-0000-0000-0000F20B0000}"/>
    <cellStyle name="Comma 3 3 2 2" xfId="3064" xr:uid="{00000000-0005-0000-0000-0000F30B0000}"/>
    <cellStyle name="Comma 3 3 2 2 2" xfId="3065" xr:uid="{00000000-0005-0000-0000-0000F40B0000}"/>
    <cellStyle name="Comma 3 3 2 2 2 2" xfId="3066" xr:uid="{00000000-0005-0000-0000-0000F50B0000}"/>
    <cellStyle name="Comma 3 3 2 2 2 2 2" xfId="3067" xr:uid="{00000000-0005-0000-0000-0000F60B0000}"/>
    <cellStyle name="Comma 3 3 2 2 2 2 3" xfId="3068" xr:uid="{00000000-0005-0000-0000-0000F70B0000}"/>
    <cellStyle name="Comma 3 3 2 2 2 3" xfId="3069" xr:uid="{00000000-0005-0000-0000-0000F80B0000}"/>
    <cellStyle name="Comma 3 3 2 2 2 4" xfId="3070" xr:uid="{00000000-0005-0000-0000-0000F90B0000}"/>
    <cellStyle name="Comma 3 3 2 2 3" xfId="3071" xr:uid="{00000000-0005-0000-0000-0000FA0B0000}"/>
    <cellStyle name="Comma 3 3 2 2 3 2" xfId="3072" xr:uid="{00000000-0005-0000-0000-0000FB0B0000}"/>
    <cellStyle name="Comma 3 3 2 2 3 3" xfId="3073" xr:uid="{00000000-0005-0000-0000-0000FC0B0000}"/>
    <cellStyle name="Comma 3 3 2 2 4" xfId="3074" xr:uid="{00000000-0005-0000-0000-0000FD0B0000}"/>
    <cellStyle name="Comma 3 3 2 2 5" xfId="3075" xr:uid="{00000000-0005-0000-0000-0000FE0B0000}"/>
    <cellStyle name="Comma 3 3 2 3" xfId="3076" xr:uid="{00000000-0005-0000-0000-0000FF0B0000}"/>
    <cellStyle name="Comma 3 3 2 3 2" xfId="3077" xr:uid="{00000000-0005-0000-0000-0000000C0000}"/>
    <cellStyle name="Comma 3 3 2 3 2 2" xfId="3078" xr:uid="{00000000-0005-0000-0000-0000010C0000}"/>
    <cellStyle name="Comma 3 3 2 3 2 3" xfId="3079" xr:uid="{00000000-0005-0000-0000-0000020C0000}"/>
    <cellStyle name="Comma 3 3 2 3 3" xfId="3080" xr:uid="{00000000-0005-0000-0000-0000030C0000}"/>
    <cellStyle name="Comma 3 3 2 3 4" xfId="3081" xr:uid="{00000000-0005-0000-0000-0000040C0000}"/>
    <cellStyle name="Comma 3 3 2 4" xfId="3082" xr:uid="{00000000-0005-0000-0000-0000050C0000}"/>
    <cellStyle name="Comma 3 3 2 4 2" xfId="3083" xr:uid="{00000000-0005-0000-0000-0000060C0000}"/>
    <cellStyle name="Comma 3 3 2 4 3" xfId="3084" xr:uid="{00000000-0005-0000-0000-0000070C0000}"/>
    <cellStyle name="Comma 3 3 2 5" xfId="3085" xr:uid="{00000000-0005-0000-0000-0000080C0000}"/>
    <cellStyle name="Comma 3 3 2 6" xfId="3086" xr:uid="{00000000-0005-0000-0000-0000090C0000}"/>
    <cellStyle name="Comma 3 3 3" xfId="3087" xr:uid="{00000000-0005-0000-0000-00000A0C0000}"/>
    <cellStyle name="Comma 3 3 3 2" xfId="3088" xr:uid="{00000000-0005-0000-0000-00000B0C0000}"/>
    <cellStyle name="Comma 3 3 3 2 2" xfId="3089" xr:uid="{00000000-0005-0000-0000-00000C0C0000}"/>
    <cellStyle name="Comma 3 3 3 2 2 2" xfId="3090" xr:uid="{00000000-0005-0000-0000-00000D0C0000}"/>
    <cellStyle name="Comma 3 3 3 2 2 2 2" xfId="3091" xr:uid="{00000000-0005-0000-0000-00000E0C0000}"/>
    <cellStyle name="Comma 3 3 3 2 2 2 3" xfId="3092" xr:uid="{00000000-0005-0000-0000-00000F0C0000}"/>
    <cellStyle name="Comma 3 3 3 2 2 3" xfId="3093" xr:uid="{00000000-0005-0000-0000-0000100C0000}"/>
    <cellStyle name="Comma 3 3 3 2 2 4" xfId="3094" xr:uid="{00000000-0005-0000-0000-0000110C0000}"/>
    <cellStyle name="Comma 3 3 3 2 3" xfId="3095" xr:uid="{00000000-0005-0000-0000-0000120C0000}"/>
    <cellStyle name="Comma 3 3 3 2 3 2" xfId="3096" xr:uid="{00000000-0005-0000-0000-0000130C0000}"/>
    <cellStyle name="Comma 3 3 3 2 3 3" xfId="3097" xr:uid="{00000000-0005-0000-0000-0000140C0000}"/>
    <cellStyle name="Comma 3 3 3 2 4" xfId="3098" xr:uid="{00000000-0005-0000-0000-0000150C0000}"/>
    <cellStyle name="Comma 3 3 3 2 5" xfId="3099" xr:uid="{00000000-0005-0000-0000-0000160C0000}"/>
    <cellStyle name="Comma 3 3 3 3" xfId="3100" xr:uid="{00000000-0005-0000-0000-0000170C0000}"/>
    <cellStyle name="Comma 3 3 3 3 2" xfId="3101" xr:uid="{00000000-0005-0000-0000-0000180C0000}"/>
    <cellStyle name="Comma 3 3 3 3 2 2" xfId="3102" xr:uid="{00000000-0005-0000-0000-0000190C0000}"/>
    <cellStyle name="Comma 3 3 3 3 2 3" xfId="3103" xr:uid="{00000000-0005-0000-0000-00001A0C0000}"/>
    <cellStyle name="Comma 3 3 3 3 3" xfId="3104" xr:uid="{00000000-0005-0000-0000-00001B0C0000}"/>
    <cellStyle name="Comma 3 3 3 3 4" xfId="3105" xr:uid="{00000000-0005-0000-0000-00001C0C0000}"/>
    <cellStyle name="Comma 3 3 3 4" xfId="3106" xr:uid="{00000000-0005-0000-0000-00001D0C0000}"/>
    <cellStyle name="Comma 3 3 3 4 2" xfId="3107" xr:uid="{00000000-0005-0000-0000-00001E0C0000}"/>
    <cellStyle name="Comma 3 3 3 4 3" xfId="3108" xr:uid="{00000000-0005-0000-0000-00001F0C0000}"/>
    <cellStyle name="Comma 3 3 3 5" xfId="3109" xr:uid="{00000000-0005-0000-0000-0000200C0000}"/>
    <cellStyle name="Comma 3 3 3 6" xfId="3110" xr:uid="{00000000-0005-0000-0000-0000210C0000}"/>
    <cellStyle name="Comma 3 3 4" xfId="3111" xr:uid="{00000000-0005-0000-0000-0000220C0000}"/>
    <cellStyle name="Comma 3 3 4 2" xfId="3112" xr:uid="{00000000-0005-0000-0000-0000230C0000}"/>
    <cellStyle name="Comma 3 3 4 2 2" xfId="3113" xr:uid="{00000000-0005-0000-0000-0000240C0000}"/>
    <cellStyle name="Comma 3 3 4 2 2 2" xfId="3114" xr:uid="{00000000-0005-0000-0000-0000250C0000}"/>
    <cellStyle name="Comma 3 3 4 2 2 2 2" xfId="3115" xr:uid="{00000000-0005-0000-0000-0000260C0000}"/>
    <cellStyle name="Comma 3 3 4 2 2 2 3" xfId="3116" xr:uid="{00000000-0005-0000-0000-0000270C0000}"/>
    <cellStyle name="Comma 3 3 4 2 2 3" xfId="3117" xr:uid="{00000000-0005-0000-0000-0000280C0000}"/>
    <cellStyle name="Comma 3 3 4 2 2 4" xfId="3118" xr:uid="{00000000-0005-0000-0000-0000290C0000}"/>
    <cellStyle name="Comma 3 3 4 2 3" xfId="3119" xr:uid="{00000000-0005-0000-0000-00002A0C0000}"/>
    <cellStyle name="Comma 3 3 4 2 3 2" xfId="3120" xr:uid="{00000000-0005-0000-0000-00002B0C0000}"/>
    <cellStyle name="Comma 3 3 4 2 3 3" xfId="3121" xr:uid="{00000000-0005-0000-0000-00002C0C0000}"/>
    <cellStyle name="Comma 3 3 4 2 4" xfId="3122" xr:uid="{00000000-0005-0000-0000-00002D0C0000}"/>
    <cellStyle name="Comma 3 3 4 2 5" xfId="3123" xr:uid="{00000000-0005-0000-0000-00002E0C0000}"/>
    <cellStyle name="Comma 3 3 4 3" xfId="3124" xr:uid="{00000000-0005-0000-0000-00002F0C0000}"/>
    <cellStyle name="Comma 3 3 4 3 2" xfId="3125" xr:uid="{00000000-0005-0000-0000-0000300C0000}"/>
    <cellStyle name="Comma 3 3 4 3 2 2" xfId="3126" xr:uid="{00000000-0005-0000-0000-0000310C0000}"/>
    <cellStyle name="Comma 3 3 4 3 2 3" xfId="3127" xr:uid="{00000000-0005-0000-0000-0000320C0000}"/>
    <cellStyle name="Comma 3 3 4 3 3" xfId="3128" xr:uid="{00000000-0005-0000-0000-0000330C0000}"/>
    <cellStyle name="Comma 3 3 4 3 4" xfId="3129" xr:uid="{00000000-0005-0000-0000-0000340C0000}"/>
    <cellStyle name="Comma 3 3 4 4" xfId="3130" xr:uid="{00000000-0005-0000-0000-0000350C0000}"/>
    <cellStyle name="Comma 3 3 4 4 2" xfId="3131" xr:uid="{00000000-0005-0000-0000-0000360C0000}"/>
    <cellStyle name="Comma 3 3 4 4 3" xfId="3132" xr:uid="{00000000-0005-0000-0000-0000370C0000}"/>
    <cellStyle name="Comma 3 3 4 5" xfId="3133" xr:uid="{00000000-0005-0000-0000-0000380C0000}"/>
    <cellStyle name="Comma 3 3 4 6" xfId="3134" xr:uid="{00000000-0005-0000-0000-0000390C0000}"/>
    <cellStyle name="Comma 3 3 5" xfId="3135" xr:uid="{00000000-0005-0000-0000-00003A0C0000}"/>
    <cellStyle name="Comma 3 3 5 2" xfId="3136" xr:uid="{00000000-0005-0000-0000-00003B0C0000}"/>
    <cellStyle name="Comma 3 3 5 2 2" xfId="3137" xr:uid="{00000000-0005-0000-0000-00003C0C0000}"/>
    <cellStyle name="Comma 3 3 5 2 2 2" xfId="3138" xr:uid="{00000000-0005-0000-0000-00003D0C0000}"/>
    <cellStyle name="Comma 3 3 5 2 2 2 2" xfId="3139" xr:uid="{00000000-0005-0000-0000-00003E0C0000}"/>
    <cellStyle name="Comma 3 3 5 2 2 2 3" xfId="3140" xr:uid="{00000000-0005-0000-0000-00003F0C0000}"/>
    <cellStyle name="Comma 3 3 5 2 2 3" xfId="3141" xr:uid="{00000000-0005-0000-0000-0000400C0000}"/>
    <cellStyle name="Comma 3 3 5 2 2 4" xfId="3142" xr:uid="{00000000-0005-0000-0000-0000410C0000}"/>
    <cellStyle name="Comma 3 3 5 2 3" xfId="3143" xr:uid="{00000000-0005-0000-0000-0000420C0000}"/>
    <cellStyle name="Comma 3 3 5 2 3 2" xfId="3144" xr:uid="{00000000-0005-0000-0000-0000430C0000}"/>
    <cellStyle name="Comma 3 3 5 2 3 3" xfId="3145" xr:uid="{00000000-0005-0000-0000-0000440C0000}"/>
    <cellStyle name="Comma 3 3 5 2 4" xfId="3146" xr:uid="{00000000-0005-0000-0000-0000450C0000}"/>
    <cellStyle name="Comma 3 3 5 2 5" xfId="3147" xr:uid="{00000000-0005-0000-0000-0000460C0000}"/>
    <cellStyle name="Comma 3 3 5 3" xfId="3148" xr:uid="{00000000-0005-0000-0000-0000470C0000}"/>
    <cellStyle name="Comma 3 3 5 3 2" xfId="3149" xr:uid="{00000000-0005-0000-0000-0000480C0000}"/>
    <cellStyle name="Comma 3 3 5 3 2 2" xfId="3150" xr:uid="{00000000-0005-0000-0000-0000490C0000}"/>
    <cellStyle name="Comma 3 3 5 3 2 3" xfId="3151" xr:uid="{00000000-0005-0000-0000-00004A0C0000}"/>
    <cellStyle name="Comma 3 3 5 3 3" xfId="3152" xr:uid="{00000000-0005-0000-0000-00004B0C0000}"/>
    <cellStyle name="Comma 3 3 5 3 4" xfId="3153" xr:uid="{00000000-0005-0000-0000-00004C0C0000}"/>
    <cellStyle name="Comma 3 3 5 4" xfId="3154" xr:uid="{00000000-0005-0000-0000-00004D0C0000}"/>
    <cellStyle name="Comma 3 3 5 4 2" xfId="3155" xr:uid="{00000000-0005-0000-0000-00004E0C0000}"/>
    <cellStyle name="Comma 3 3 5 4 3" xfId="3156" xr:uid="{00000000-0005-0000-0000-00004F0C0000}"/>
    <cellStyle name="Comma 3 3 5 5" xfId="3157" xr:uid="{00000000-0005-0000-0000-0000500C0000}"/>
    <cellStyle name="Comma 3 3 5 6" xfId="3158" xr:uid="{00000000-0005-0000-0000-0000510C0000}"/>
    <cellStyle name="Comma 3 3 6" xfId="3159" xr:uid="{00000000-0005-0000-0000-0000520C0000}"/>
    <cellStyle name="Comma 3 3 6 2" xfId="3160" xr:uid="{00000000-0005-0000-0000-0000530C0000}"/>
    <cellStyle name="Comma 3 3 6 2 2" xfId="3161" xr:uid="{00000000-0005-0000-0000-0000540C0000}"/>
    <cellStyle name="Comma 3 3 6 2 2 2" xfId="3162" xr:uid="{00000000-0005-0000-0000-0000550C0000}"/>
    <cellStyle name="Comma 3 3 6 2 2 3" xfId="3163" xr:uid="{00000000-0005-0000-0000-0000560C0000}"/>
    <cellStyle name="Comma 3 3 6 2 3" xfId="3164" xr:uid="{00000000-0005-0000-0000-0000570C0000}"/>
    <cellStyle name="Comma 3 3 6 2 4" xfId="3165" xr:uid="{00000000-0005-0000-0000-0000580C0000}"/>
    <cellStyle name="Comma 3 3 6 3" xfId="3166" xr:uid="{00000000-0005-0000-0000-0000590C0000}"/>
    <cellStyle name="Comma 3 3 6 3 2" xfId="3167" xr:uid="{00000000-0005-0000-0000-00005A0C0000}"/>
    <cellStyle name="Comma 3 3 6 3 3" xfId="3168" xr:uid="{00000000-0005-0000-0000-00005B0C0000}"/>
    <cellStyle name="Comma 3 3 6 4" xfId="3169" xr:uid="{00000000-0005-0000-0000-00005C0C0000}"/>
    <cellStyle name="Comma 3 3 6 5" xfId="3170" xr:uid="{00000000-0005-0000-0000-00005D0C0000}"/>
    <cellStyle name="Comma 3 3 7" xfId="3171" xr:uid="{00000000-0005-0000-0000-00005E0C0000}"/>
    <cellStyle name="Comma 3 3 7 2" xfId="3172" xr:uid="{00000000-0005-0000-0000-00005F0C0000}"/>
    <cellStyle name="Comma 3 3 7 2 2" xfId="3173" xr:uid="{00000000-0005-0000-0000-0000600C0000}"/>
    <cellStyle name="Comma 3 3 7 2 3" xfId="3174" xr:uid="{00000000-0005-0000-0000-0000610C0000}"/>
    <cellStyle name="Comma 3 3 7 3" xfId="3175" xr:uid="{00000000-0005-0000-0000-0000620C0000}"/>
    <cellStyle name="Comma 3 3 7 4" xfId="3176" xr:uid="{00000000-0005-0000-0000-0000630C0000}"/>
    <cellStyle name="Comma 3 3 8" xfId="3177" xr:uid="{00000000-0005-0000-0000-0000640C0000}"/>
    <cellStyle name="Comma 3 3 8 2" xfId="3178" xr:uid="{00000000-0005-0000-0000-0000650C0000}"/>
    <cellStyle name="Comma 3 3 8 3" xfId="3179" xr:uid="{00000000-0005-0000-0000-0000660C0000}"/>
    <cellStyle name="Comma 3 3 9" xfId="3180" xr:uid="{00000000-0005-0000-0000-0000670C0000}"/>
    <cellStyle name="Comma 3 30" xfId="3181" xr:uid="{00000000-0005-0000-0000-0000680C0000}"/>
    <cellStyle name="Comma 3 31" xfId="3182" xr:uid="{00000000-0005-0000-0000-0000690C0000}"/>
    <cellStyle name="Comma 3 32" xfId="3183" xr:uid="{00000000-0005-0000-0000-00006A0C0000}"/>
    <cellStyle name="Comma 3 33" xfId="3184" xr:uid="{00000000-0005-0000-0000-00006B0C0000}"/>
    <cellStyle name="Comma 3 34" xfId="3185" xr:uid="{00000000-0005-0000-0000-00006C0C0000}"/>
    <cellStyle name="Comma 3 35" xfId="3186" xr:uid="{00000000-0005-0000-0000-00006D0C0000}"/>
    <cellStyle name="Comma 3 36" xfId="3187" xr:uid="{00000000-0005-0000-0000-00006E0C0000}"/>
    <cellStyle name="Comma 3 37" xfId="3188" xr:uid="{00000000-0005-0000-0000-00006F0C0000}"/>
    <cellStyle name="Comma 3 4" xfId="3189" xr:uid="{00000000-0005-0000-0000-0000700C0000}"/>
    <cellStyle name="Comma 3 4 2" xfId="3190" xr:uid="{00000000-0005-0000-0000-0000710C0000}"/>
    <cellStyle name="Comma 3 4 2 2" xfId="3191" xr:uid="{00000000-0005-0000-0000-0000720C0000}"/>
    <cellStyle name="Comma 3 4 2 2 2" xfId="3192" xr:uid="{00000000-0005-0000-0000-0000730C0000}"/>
    <cellStyle name="Comma 3 4 2 2 2 2" xfId="3193" xr:uid="{00000000-0005-0000-0000-0000740C0000}"/>
    <cellStyle name="Comma 3 4 2 2 2 2 2" xfId="3194" xr:uid="{00000000-0005-0000-0000-0000750C0000}"/>
    <cellStyle name="Comma 3 4 2 2 2 2 3" xfId="3195" xr:uid="{00000000-0005-0000-0000-0000760C0000}"/>
    <cellStyle name="Comma 3 4 2 2 2 3" xfId="3196" xr:uid="{00000000-0005-0000-0000-0000770C0000}"/>
    <cellStyle name="Comma 3 4 2 2 2 4" xfId="3197" xr:uid="{00000000-0005-0000-0000-0000780C0000}"/>
    <cellStyle name="Comma 3 4 2 2 3" xfId="3198" xr:uid="{00000000-0005-0000-0000-0000790C0000}"/>
    <cellStyle name="Comma 3 4 2 2 3 2" xfId="3199" xr:uid="{00000000-0005-0000-0000-00007A0C0000}"/>
    <cellStyle name="Comma 3 4 2 2 3 3" xfId="3200" xr:uid="{00000000-0005-0000-0000-00007B0C0000}"/>
    <cellStyle name="Comma 3 4 2 2 4" xfId="3201" xr:uid="{00000000-0005-0000-0000-00007C0C0000}"/>
    <cellStyle name="Comma 3 4 2 2 5" xfId="3202" xr:uid="{00000000-0005-0000-0000-00007D0C0000}"/>
    <cellStyle name="Comma 3 4 2 3" xfId="3203" xr:uid="{00000000-0005-0000-0000-00007E0C0000}"/>
    <cellStyle name="Comma 3 4 2 3 2" xfId="3204" xr:uid="{00000000-0005-0000-0000-00007F0C0000}"/>
    <cellStyle name="Comma 3 4 2 3 2 2" xfId="3205" xr:uid="{00000000-0005-0000-0000-0000800C0000}"/>
    <cellStyle name="Comma 3 4 2 3 2 3" xfId="3206" xr:uid="{00000000-0005-0000-0000-0000810C0000}"/>
    <cellStyle name="Comma 3 4 2 3 3" xfId="3207" xr:uid="{00000000-0005-0000-0000-0000820C0000}"/>
    <cellStyle name="Comma 3 4 2 3 4" xfId="3208" xr:uid="{00000000-0005-0000-0000-0000830C0000}"/>
    <cellStyle name="Comma 3 4 2 4" xfId="3209" xr:uid="{00000000-0005-0000-0000-0000840C0000}"/>
    <cellStyle name="Comma 3 4 2 4 2" xfId="3210" xr:uid="{00000000-0005-0000-0000-0000850C0000}"/>
    <cellStyle name="Comma 3 4 2 4 3" xfId="3211" xr:uid="{00000000-0005-0000-0000-0000860C0000}"/>
    <cellStyle name="Comma 3 4 2 5" xfId="3212" xr:uid="{00000000-0005-0000-0000-0000870C0000}"/>
    <cellStyle name="Comma 3 4 2 6" xfId="3213" xr:uid="{00000000-0005-0000-0000-0000880C0000}"/>
    <cellStyle name="Comma 3 4 3" xfId="3214" xr:uid="{00000000-0005-0000-0000-0000890C0000}"/>
    <cellStyle name="Comma 3 4 3 2" xfId="3215" xr:uid="{00000000-0005-0000-0000-00008A0C0000}"/>
    <cellStyle name="Comma 3 4 3 2 2" xfId="3216" xr:uid="{00000000-0005-0000-0000-00008B0C0000}"/>
    <cellStyle name="Comma 3 4 3 2 2 2" xfId="3217" xr:uid="{00000000-0005-0000-0000-00008C0C0000}"/>
    <cellStyle name="Comma 3 4 3 2 2 3" xfId="3218" xr:uid="{00000000-0005-0000-0000-00008D0C0000}"/>
    <cellStyle name="Comma 3 4 3 2 3" xfId="3219" xr:uid="{00000000-0005-0000-0000-00008E0C0000}"/>
    <cellStyle name="Comma 3 4 3 2 4" xfId="3220" xr:uid="{00000000-0005-0000-0000-00008F0C0000}"/>
    <cellStyle name="Comma 3 4 3 3" xfId="3221" xr:uid="{00000000-0005-0000-0000-0000900C0000}"/>
    <cellStyle name="Comma 3 4 3 3 2" xfId="3222" xr:uid="{00000000-0005-0000-0000-0000910C0000}"/>
    <cellStyle name="Comma 3 4 3 3 3" xfId="3223" xr:uid="{00000000-0005-0000-0000-0000920C0000}"/>
    <cellStyle name="Comma 3 4 3 4" xfId="3224" xr:uid="{00000000-0005-0000-0000-0000930C0000}"/>
    <cellStyle name="Comma 3 4 3 5" xfId="3225" xr:uid="{00000000-0005-0000-0000-0000940C0000}"/>
    <cellStyle name="Comma 3 4 4" xfId="3226" xr:uid="{00000000-0005-0000-0000-0000950C0000}"/>
    <cellStyle name="Comma 3 4 4 2" xfId="3227" xr:uid="{00000000-0005-0000-0000-0000960C0000}"/>
    <cellStyle name="Comma 3 4 4 2 2" xfId="3228" xr:uid="{00000000-0005-0000-0000-0000970C0000}"/>
    <cellStyle name="Comma 3 4 4 2 3" xfId="3229" xr:uid="{00000000-0005-0000-0000-0000980C0000}"/>
    <cellStyle name="Comma 3 4 4 3" xfId="3230" xr:uid="{00000000-0005-0000-0000-0000990C0000}"/>
    <cellStyle name="Comma 3 4 4 4" xfId="3231" xr:uid="{00000000-0005-0000-0000-00009A0C0000}"/>
    <cellStyle name="Comma 3 4 5" xfId="3232" xr:uid="{00000000-0005-0000-0000-00009B0C0000}"/>
    <cellStyle name="Comma 3 4 5 2" xfId="3233" xr:uid="{00000000-0005-0000-0000-00009C0C0000}"/>
    <cellStyle name="Comma 3 4 5 3" xfId="3234" xr:uid="{00000000-0005-0000-0000-00009D0C0000}"/>
    <cellStyle name="Comma 3 4 6" xfId="3235" xr:uid="{00000000-0005-0000-0000-00009E0C0000}"/>
    <cellStyle name="Comma 3 4 7" xfId="3236" xr:uid="{00000000-0005-0000-0000-00009F0C0000}"/>
    <cellStyle name="Comma 3 5" xfId="3237" xr:uid="{00000000-0005-0000-0000-0000A00C0000}"/>
    <cellStyle name="Comma 3 5 2" xfId="3238" xr:uid="{00000000-0005-0000-0000-0000A10C0000}"/>
    <cellStyle name="Comma 3 5 2 2" xfId="3239" xr:uid="{00000000-0005-0000-0000-0000A20C0000}"/>
    <cellStyle name="Comma 3 5 2 2 2" xfId="3240" xr:uid="{00000000-0005-0000-0000-0000A30C0000}"/>
    <cellStyle name="Comma 3 5 2 2 2 2" xfId="3241" xr:uid="{00000000-0005-0000-0000-0000A40C0000}"/>
    <cellStyle name="Comma 3 5 2 2 2 2 2" xfId="3242" xr:uid="{00000000-0005-0000-0000-0000A50C0000}"/>
    <cellStyle name="Comma 3 5 2 2 2 2 3" xfId="3243" xr:uid="{00000000-0005-0000-0000-0000A60C0000}"/>
    <cellStyle name="Comma 3 5 2 2 2 3" xfId="3244" xr:uid="{00000000-0005-0000-0000-0000A70C0000}"/>
    <cellStyle name="Comma 3 5 2 2 2 4" xfId="3245" xr:uid="{00000000-0005-0000-0000-0000A80C0000}"/>
    <cellStyle name="Comma 3 5 2 2 3" xfId="3246" xr:uid="{00000000-0005-0000-0000-0000A90C0000}"/>
    <cellStyle name="Comma 3 5 2 2 3 2" xfId="3247" xr:uid="{00000000-0005-0000-0000-0000AA0C0000}"/>
    <cellStyle name="Comma 3 5 2 2 3 3" xfId="3248" xr:uid="{00000000-0005-0000-0000-0000AB0C0000}"/>
    <cellStyle name="Comma 3 5 2 2 4" xfId="3249" xr:uid="{00000000-0005-0000-0000-0000AC0C0000}"/>
    <cellStyle name="Comma 3 5 2 2 5" xfId="3250" xr:uid="{00000000-0005-0000-0000-0000AD0C0000}"/>
    <cellStyle name="Comma 3 5 2 3" xfId="3251" xr:uid="{00000000-0005-0000-0000-0000AE0C0000}"/>
    <cellStyle name="Comma 3 5 2 3 2" xfId="3252" xr:uid="{00000000-0005-0000-0000-0000AF0C0000}"/>
    <cellStyle name="Comma 3 5 2 3 2 2" xfId="3253" xr:uid="{00000000-0005-0000-0000-0000B00C0000}"/>
    <cellStyle name="Comma 3 5 2 3 2 3" xfId="3254" xr:uid="{00000000-0005-0000-0000-0000B10C0000}"/>
    <cellStyle name="Comma 3 5 2 3 3" xfId="3255" xr:uid="{00000000-0005-0000-0000-0000B20C0000}"/>
    <cellStyle name="Comma 3 5 2 3 4" xfId="3256" xr:uid="{00000000-0005-0000-0000-0000B30C0000}"/>
    <cellStyle name="Comma 3 5 2 4" xfId="3257" xr:uid="{00000000-0005-0000-0000-0000B40C0000}"/>
    <cellStyle name="Comma 3 5 2 4 2" xfId="3258" xr:uid="{00000000-0005-0000-0000-0000B50C0000}"/>
    <cellStyle name="Comma 3 5 2 4 3" xfId="3259" xr:uid="{00000000-0005-0000-0000-0000B60C0000}"/>
    <cellStyle name="Comma 3 5 2 5" xfId="3260" xr:uid="{00000000-0005-0000-0000-0000B70C0000}"/>
    <cellStyle name="Comma 3 5 2 6" xfId="3261" xr:uid="{00000000-0005-0000-0000-0000B80C0000}"/>
    <cellStyle name="Comma 3 5 3" xfId="3262" xr:uid="{00000000-0005-0000-0000-0000B90C0000}"/>
    <cellStyle name="Comma 3 5 3 2" xfId="3263" xr:uid="{00000000-0005-0000-0000-0000BA0C0000}"/>
    <cellStyle name="Comma 3 5 3 2 2" xfId="3264" xr:uid="{00000000-0005-0000-0000-0000BB0C0000}"/>
    <cellStyle name="Comma 3 5 3 2 2 2" xfId="3265" xr:uid="{00000000-0005-0000-0000-0000BC0C0000}"/>
    <cellStyle name="Comma 3 5 3 2 2 3" xfId="3266" xr:uid="{00000000-0005-0000-0000-0000BD0C0000}"/>
    <cellStyle name="Comma 3 5 3 2 3" xfId="3267" xr:uid="{00000000-0005-0000-0000-0000BE0C0000}"/>
    <cellStyle name="Comma 3 5 3 2 4" xfId="3268" xr:uid="{00000000-0005-0000-0000-0000BF0C0000}"/>
    <cellStyle name="Comma 3 5 3 3" xfId="3269" xr:uid="{00000000-0005-0000-0000-0000C00C0000}"/>
    <cellStyle name="Comma 3 5 3 3 2" xfId="3270" xr:uid="{00000000-0005-0000-0000-0000C10C0000}"/>
    <cellStyle name="Comma 3 5 3 3 3" xfId="3271" xr:uid="{00000000-0005-0000-0000-0000C20C0000}"/>
    <cellStyle name="Comma 3 5 3 4" xfId="3272" xr:uid="{00000000-0005-0000-0000-0000C30C0000}"/>
    <cellStyle name="Comma 3 5 3 5" xfId="3273" xr:uid="{00000000-0005-0000-0000-0000C40C0000}"/>
    <cellStyle name="Comma 3 5 4" xfId="3274" xr:uid="{00000000-0005-0000-0000-0000C50C0000}"/>
    <cellStyle name="Comma 3 5 4 2" xfId="3275" xr:uid="{00000000-0005-0000-0000-0000C60C0000}"/>
    <cellStyle name="Comma 3 5 4 2 2" xfId="3276" xr:uid="{00000000-0005-0000-0000-0000C70C0000}"/>
    <cellStyle name="Comma 3 5 4 2 3" xfId="3277" xr:uid="{00000000-0005-0000-0000-0000C80C0000}"/>
    <cellStyle name="Comma 3 5 4 3" xfId="3278" xr:uid="{00000000-0005-0000-0000-0000C90C0000}"/>
    <cellStyle name="Comma 3 5 4 4" xfId="3279" xr:uid="{00000000-0005-0000-0000-0000CA0C0000}"/>
    <cellStyle name="Comma 3 5 5" xfId="3280" xr:uid="{00000000-0005-0000-0000-0000CB0C0000}"/>
    <cellStyle name="Comma 3 5 5 2" xfId="3281" xr:uid="{00000000-0005-0000-0000-0000CC0C0000}"/>
    <cellStyle name="Comma 3 5 5 3" xfId="3282" xr:uid="{00000000-0005-0000-0000-0000CD0C0000}"/>
    <cellStyle name="Comma 3 5 6" xfId="3283" xr:uid="{00000000-0005-0000-0000-0000CE0C0000}"/>
    <cellStyle name="Comma 3 5 7" xfId="3284" xr:uid="{00000000-0005-0000-0000-0000CF0C0000}"/>
    <cellStyle name="Comma 3 6" xfId="3285" xr:uid="{00000000-0005-0000-0000-0000D00C0000}"/>
    <cellStyle name="Comma 3 6 2" xfId="3286" xr:uid="{00000000-0005-0000-0000-0000D10C0000}"/>
    <cellStyle name="Comma 3 6 2 2" xfId="3287" xr:uid="{00000000-0005-0000-0000-0000D20C0000}"/>
    <cellStyle name="Comma 3 6 2 2 2" xfId="3288" xr:uid="{00000000-0005-0000-0000-0000D30C0000}"/>
    <cellStyle name="Comma 3 6 2 2 2 2" xfId="3289" xr:uid="{00000000-0005-0000-0000-0000D40C0000}"/>
    <cellStyle name="Comma 3 6 2 2 2 2 2" xfId="3290" xr:uid="{00000000-0005-0000-0000-0000D50C0000}"/>
    <cellStyle name="Comma 3 6 2 2 2 2 3" xfId="3291" xr:uid="{00000000-0005-0000-0000-0000D60C0000}"/>
    <cellStyle name="Comma 3 6 2 2 2 3" xfId="3292" xr:uid="{00000000-0005-0000-0000-0000D70C0000}"/>
    <cellStyle name="Comma 3 6 2 2 2 4" xfId="3293" xr:uid="{00000000-0005-0000-0000-0000D80C0000}"/>
    <cellStyle name="Comma 3 6 2 2 3" xfId="3294" xr:uid="{00000000-0005-0000-0000-0000D90C0000}"/>
    <cellStyle name="Comma 3 6 2 2 3 2" xfId="3295" xr:uid="{00000000-0005-0000-0000-0000DA0C0000}"/>
    <cellStyle name="Comma 3 6 2 2 3 3" xfId="3296" xr:uid="{00000000-0005-0000-0000-0000DB0C0000}"/>
    <cellStyle name="Comma 3 6 2 2 4" xfId="3297" xr:uid="{00000000-0005-0000-0000-0000DC0C0000}"/>
    <cellStyle name="Comma 3 6 2 2 5" xfId="3298" xr:uid="{00000000-0005-0000-0000-0000DD0C0000}"/>
    <cellStyle name="Comma 3 6 2 3" xfId="3299" xr:uid="{00000000-0005-0000-0000-0000DE0C0000}"/>
    <cellStyle name="Comma 3 6 2 3 2" xfId="3300" xr:uid="{00000000-0005-0000-0000-0000DF0C0000}"/>
    <cellStyle name="Comma 3 6 2 3 2 2" xfId="3301" xr:uid="{00000000-0005-0000-0000-0000E00C0000}"/>
    <cellStyle name="Comma 3 6 2 3 2 3" xfId="3302" xr:uid="{00000000-0005-0000-0000-0000E10C0000}"/>
    <cellStyle name="Comma 3 6 2 3 3" xfId="3303" xr:uid="{00000000-0005-0000-0000-0000E20C0000}"/>
    <cellStyle name="Comma 3 6 2 3 4" xfId="3304" xr:uid="{00000000-0005-0000-0000-0000E30C0000}"/>
    <cellStyle name="Comma 3 6 2 4" xfId="3305" xr:uid="{00000000-0005-0000-0000-0000E40C0000}"/>
    <cellStyle name="Comma 3 6 2 4 2" xfId="3306" xr:uid="{00000000-0005-0000-0000-0000E50C0000}"/>
    <cellStyle name="Comma 3 6 2 4 3" xfId="3307" xr:uid="{00000000-0005-0000-0000-0000E60C0000}"/>
    <cellStyle name="Comma 3 6 2 5" xfId="3308" xr:uid="{00000000-0005-0000-0000-0000E70C0000}"/>
    <cellStyle name="Comma 3 6 2 6" xfId="3309" xr:uid="{00000000-0005-0000-0000-0000E80C0000}"/>
    <cellStyle name="Comma 3 6 3" xfId="3310" xr:uid="{00000000-0005-0000-0000-0000E90C0000}"/>
    <cellStyle name="Comma 3 6 3 2" xfId="3311" xr:uid="{00000000-0005-0000-0000-0000EA0C0000}"/>
    <cellStyle name="Comma 3 6 3 2 2" xfId="3312" xr:uid="{00000000-0005-0000-0000-0000EB0C0000}"/>
    <cellStyle name="Comma 3 6 3 2 2 2" xfId="3313" xr:uid="{00000000-0005-0000-0000-0000EC0C0000}"/>
    <cellStyle name="Comma 3 6 3 2 2 3" xfId="3314" xr:uid="{00000000-0005-0000-0000-0000ED0C0000}"/>
    <cellStyle name="Comma 3 6 3 2 3" xfId="3315" xr:uid="{00000000-0005-0000-0000-0000EE0C0000}"/>
    <cellStyle name="Comma 3 6 3 2 4" xfId="3316" xr:uid="{00000000-0005-0000-0000-0000EF0C0000}"/>
    <cellStyle name="Comma 3 6 3 3" xfId="3317" xr:uid="{00000000-0005-0000-0000-0000F00C0000}"/>
    <cellStyle name="Comma 3 6 3 3 2" xfId="3318" xr:uid="{00000000-0005-0000-0000-0000F10C0000}"/>
    <cellStyle name="Comma 3 6 3 3 3" xfId="3319" xr:uid="{00000000-0005-0000-0000-0000F20C0000}"/>
    <cellStyle name="Comma 3 6 3 4" xfId="3320" xr:uid="{00000000-0005-0000-0000-0000F30C0000}"/>
    <cellStyle name="Comma 3 6 3 5" xfId="3321" xr:uid="{00000000-0005-0000-0000-0000F40C0000}"/>
    <cellStyle name="Comma 3 6 4" xfId="3322" xr:uid="{00000000-0005-0000-0000-0000F50C0000}"/>
    <cellStyle name="Comma 3 6 4 2" xfId="3323" xr:uid="{00000000-0005-0000-0000-0000F60C0000}"/>
    <cellStyle name="Comma 3 6 4 2 2" xfId="3324" xr:uid="{00000000-0005-0000-0000-0000F70C0000}"/>
    <cellStyle name="Comma 3 6 4 2 3" xfId="3325" xr:uid="{00000000-0005-0000-0000-0000F80C0000}"/>
    <cellStyle name="Comma 3 6 4 3" xfId="3326" xr:uid="{00000000-0005-0000-0000-0000F90C0000}"/>
    <cellStyle name="Comma 3 6 4 4" xfId="3327" xr:uid="{00000000-0005-0000-0000-0000FA0C0000}"/>
    <cellStyle name="Comma 3 6 5" xfId="3328" xr:uid="{00000000-0005-0000-0000-0000FB0C0000}"/>
    <cellStyle name="Comma 3 6 5 2" xfId="3329" xr:uid="{00000000-0005-0000-0000-0000FC0C0000}"/>
    <cellStyle name="Comma 3 6 5 3" xfId="3330" xr:uid="{00000000-0005-0000-0000-0000FD0C0000}"/>
    <cellStyle name="Comma 3 6 6" xfId="3331" xr:uid="{00000000-0005-0000-0000-0000FE0C0000}"/>
    <cellStyle name="Comma 3 6 7" xfId="3332" xr:uid="{00000000-0005-0000-0000-0000FF0C0000}"/>
    <cellStyle name="Comma 3 7" xfId="3333" xr:uid="{00000000-0005-0000-0000-0000000D0000}"/>
    <cellStyle name="Comma 3 7 2" xfId="3334" xr:uid="{00000000-0005-0000-0000-0000010D0000}"/>
    <cellStyle name="Comma 3 7 2 2" xfId="3335" xr:uid="{00000000-0005-0000-0000-0000020D0000}"/>
    <cellStyle name="Comma 3 7 2 2 2" xfId="3336" xr:uid="{00000000-0005-0000-0000-0000030D0000}"/>
    <cellStyle name="Comma 3 7 2 2 2 2" xfId="3337" xr:uid="{00000000-0005-0000-0000-0000040D0000}"/>
    <cellStyle name="Comma 3 7 2 2 2 3" xfId="3338" xr:uid="{00000000-0005-0000-0000-0000050D0000}"/>
    <cellStyle name="Comma 3 7 2 2 3" xfId="3339" xr:uid="{00000000-0005-0000-0000-0000060D0000}"/>
    <cellStyle name="Comma 3 7 2 2 4" xfId="3340" xr:uid="{00000000-0005-0000-0000-0000070D0000}"/>
    <cellStyle name="Comma 3 7 2 3" xfId="3341" xr:uid="{00000000-0005-0000-0000-0000080D0000}"/>
    <cellStyle name="Comma 3 7 2 3 2" xfId="3342" xr:uid="{00000000-0005-0000-0000-0000090D0000}"/>
    <cellStyle name="Comma 3 7 2 3 3" xfId="3343" xr:uid="{00000000-0005-0000-0000-00000A0D0000}"/>
    <cellStyle name="Comma 3 7 2 4" xfId="3344" xr:uid="{00000000-0005-0000-0000-00000B0D0000}"/>
    <cellStyle name="Comma 3 7 2 5" xfId="3345" xr:uid="{00000000-0005-0000-0000-00000C0D0000}"/>
    <cellStyle name="Comma 3 7 3" xfId="3346" xr:uid="{00000000-0005-0000-0000-00000D0D0000}"/>
    <cellStyle name="Comma 3 7 3 2" xfId="3347" xr:uid="{00000000-0005-0000-0000-00000E0D0000}"/>
    <cellStyle name="Comma 3 7 3 2 2" xfId="3348" xr:uid="{00000000-0005-0000-0000-00000F0D0000}"/>
    <cellStyle name="Comma 3 7 3 2 3" xfId="3349" xr:uid="{00000000-0005-0000-0000-0000100D0000}"/>
    <cellStyle name="Comma 3 7 3 3" xfId="3350" xr:uid="{00000000-0005-0000-0000-0000110D0000}"/>
    <cellStyle name="Comma 3 7 3 4" xfId="3351" xr:uid="{00000000-0005-0000-0000-0000120D0000}"/>
    <cellStyle name="Comma 3 7 4" xfId="3352" xr:uid="{00000000-0005-0000-0000-0000130D0000}"/>
    <cellStyle name="Comma 3 7 4 2" xfId="3353" xr:uid="{00000000-0005-0000-0000-0000140D0000}"/>
    <cellStyle name="Comma 3 7 4 3" xfId="3354" xr:uid="{00000000-0005-0000-0000-0000150D0000}"/>
    <cellStyle name="Comma 3 7 5" xfId="3355" xr:uid="{00000000-0005-0000-0000-0000160D0000}"/>
    <cellStyle name="Comma 3 7 6" xfId="3356" xr:uid="{00000000-0005-0000-0000-0000170D0000}"/>
    <cellStyle name="Comma 3 8" xfId="3357" xr:uid="{00000000-0005-0000-0000-0000180D0000}"/>
    <cellStyle name="Comma 3 8 2" xfId="3358" xr:uid="{00000000-0005-0000-0000-0000190D0000}"/>
    <cellStyle name="Comma 3 8 2 2" xfId="3359" xr:uid="{00000000-0005-0000-0000-00001A0D0000}"/>
    <cellStyle name="Comma 3 8 2 2 2" xfId="3360" xr:uid="{00000000-0005-0000-0000-00001B0D0000}"/>
    <cellStyle name="Comma 3 8 2 2 2 2" xfId="3361" xr:uid="{00000000-0005-0000-0000-00001C0D0000}"/>
    <cellStyle name="Comma 3 8 2 2 2 3" xfId="3362" xr:uid="{00000000-0005-0000-0000-00001D0D0000}"/>
    <cellStyle name="Comma 3 8 2 2 3" xfId="3363" xr:uid="{00000000-0005-0000-0000-00001E0D0000}"/>
    <cellStyle name="Comma 3 8 2 2 4" xfId="3364" xr:uid="{00000000-0005-0000-0000-00001F0D0000}"/>
    <cellStyle name="Comma 3 8 2 3" xfId="3365" xr:uid="{00000000-0005-0000-0000-0000200D0000}"/>
    <cellStyle name="Comma 3 8 2 3 2" xfId="3366" xr:uid="{00000000-0005-0000-0000-0000210D0000}"/>
    <cellStyle name="Comma 3 8 2 3 3" xfId="3367" xr:uid="{00000000-0005-0000-0000-0000220D0000}"/>
    <cellStyle name="Comma 3 8 2 4" xfId="3368" xr:uid="{00000000-0005-0000-0000-0000230D0000}"/>
    <cellStyle name="Comma 3 8 2 5" xfId="3369" xr:uid="{00000000-0005-0000-0000-0000240D0000}"/>
    <cellStyle name="Comma 3 8 3" xfId="3370" xr:uid="{00000000-0005-0000-0000-0000250D0000}"/>
    <cellStyle name="Comma 3 8 3 2" xfId="3371" xr:uid="{00000000-0005-0000-0000-0000260D0000}"/>
    <cellStyle name="Comma 3 8 3 2 2" xfId="3372" xr:uid="{00000000-0005-0000-0000-0000270D0000}"/>
    <cellStyle name="Comma 3 8 3 2 3" xfId="3373" xr:uid="{00000000-0005-0000-0000-0000280D0000}"/>
    <cellStyle name="Comma 3 8 3 3" xfId="3374" xr:uid="{00000000-0005-0000-0000-0000290D0000}"/>
    <cellStyle name="Comma 3 8 3 4" xfId="3375" xr:uid="{00000000-0005-0000-0000-00002A0D0000}"/>
    <cellStyle name="Comma 3 8 4" xfId="3376" xr:uid="{00000000-0005-0000-0000-00002B0D0000}"/>
    <cellStyle name="Comma 3 8 4 2" xfId="3377" xr:uid="{00000000-0005-0000-0000-00002C0D0000}"/>
    <cellStyle name="Comma 3 8 4 3" xfId="3378" xr:uid="{00000000-0005-0000-0000-00002D0D0000}"/>
    <cellStyle name="Comma 3 8 5" xfId="3379" xr:uid="{00000000-0005-0000-0000-00002E0D0000}"/>
    <cellStyle name="Comma 3 8 6" xfId="3380" xr:uid="{00000000-0005-0000-0000-00002F0D0000}"/>
    <cellStyle name="Comma 3 9" xfId="3381" xr:uid="{00000000-0005-0000-0000-0000300D0000}"/>
    <cellStyle name="Comma 3 9 2" xfId="3382" xr:uid="{00000000-0005-0000-0000-0000310D0000}"/>
    <cellStyle name="Comma 3 9 2 2" xfId="3383" xr:uid="{00000000-0005-0000-0000-0000320D0000}"/>
    <cellStyle name="Comma 3 9 2 2 2" xfId="3384" xr:uid="{00000000-0005-0000-0000-0000330D0000}"/>
    <cellStyle name="Comma 3 9 2 2 2 2" xfId="3385" xr:uid="{00000000-0005-0000-0000-0000340D0000}"/>
    <cellStyle name="Comma 3 9 2 2 2 3" xfId="3386" xr:uid="{00000000-0005-0000-0000-0000350D0000}"/>
    <cellStyle name="Comma 3 9 2 2 3" xfId="3387" xr:uid="{00000000-0005-0000-0000-0000360D0000}"/>
    <cellStyle name="Comma 3 9 2 2 4" xfId="3388" xr:uid="{00000000-0005-0000-0000-0000370D0000}"/>
    <cellStyle name="Comma 3 9 2 3" xfId="3389" xr:uid="{00000000-0005-0000-0000-0000380D0000}"/>
    <cellStyle name="Comma 3 9 2 3 2" xfId="3390" xr:uid="{00000000-0005-0000-0000-0000390D0000}"/>
    <cellStyle name="Comma 3 9 2 3 3" xfId="3391" xr:uid="{00000000-0005-0000-0000-00003A0D0000}"/>
    <cellStyle name="Comma 3 9 2 4" xfId="3392" xr:uid="{00000000-0005-0000-0000-00003B0D0000}"/>
    <cellStyle name="Comma 3 9 2 5" xfId="3393" xr:uid="{00000000-0005-0000-0000-00003C0D0000}"/>
    <cellStyle name="Comma 3 9 3" xfId="3394" xr:uid="{00000000-0005-0000-0000-00003D0D0000}"/>
    <cellStyle name="Comma 3 9 3 2" xfId="3395" xr:uid="{00000000-0005-0000-0000-00003E0D0000}"/>
    <cellStyle name="Comma 3 9 3 2 2" xfId="3396" xr:uid="{00000000-0005-0000-0000-00003F0D0000}"/>
    <cellStyle name="Comma 3 9 3 2 3" xfId="3397" xr:uid="{00000000-0005-0000-0000-0000400D0000}"/>
    <cellStyle name="Comma 3 9 3 3" xfId="3398" xr:uid="{00000000-0005-0000-0000-0000410D0000}"/>
    <cellStyle name="Comma 3 9 3 4" xfId="3399" xr:uid="{00000000-0005-0000-0000-0000420D0000}"/>
    <cellStyle name="Comma 3 9 4" xfId="3400" xr:uid="{00000000-0005-0000-0000-0000430D0000}"/>
    <cellStyle name="Comma 3 9 4 2" xfId="3401" xr:uid="{00000000-0005-0000-0000-0000440D0000}"/>
    <cellStyle name="Comma 3 9 4 3" xfId="3402" xr:uid="{00000000-0005-0000-0000-0000450D0000}"/>
    <cellStyle name="Comma 3 9 5" xfId="3403" xr:uid="{00000000-0005-0000-0000-0000460D0000}"/>
    <cellStyle name="Comma 3 9 6" xfId="3404" xr:uid="{00000000-0005-0000-0000-0000470D0000}"/>
    <cellStyle name="Comma 30" xfId="3405" xr:uid="{00000000-0005-0000-0000-0000480D0000}"/>
    <cellStyle name="Comma 31" xfId="3406" xr:uid="{00000000-0005-0000-0000-0000490D0000}"/>
    <cellStyle name="Comma 32" xfId="3407" xr:uid="{00000000-0005-0000-0000-00004A0D0000}"/>
    <cellStyle name="Comma 33" xfId="3408" xr:uid="{00000000-0005-0000-0000-00004B0D0000}"/>
    <cellStyle name="Comma 34" xfId="3409" xr:uid="{00000000-0005-0000-0000-00004C0D0000}"/>
    <cellStyle name="Comma 35" xfId="3410" xr:uid="{00000000-0005-0000-0000-00004D0D0000}"/>
    <cellStyle name="Comma 36" xfId="3411" xr:uid="{00000000-0005-0000-0000-00004E0D0000}"/>
    <cellStyle name="Comma 37" xfId="3412" xr:uid="{00000000-0005-0000-0000-00004F0D0000}"/>
    <cellStyle name="Comma 38" xfId="3413" xr:uid="{00000000-0005-0000-0000-0000500D0000}"/>
    <cellStyle name="Comma 39" xfId="3414" xr:uid="{00000000-0005-0000-0000-0000510D0000}"/>
    <cellStyle name="Comma 4" xfId="3415" xr:uid="{00000000-0005-0000-0000-0000520D0000}"/>
    <cellStyle name="Comma 4 10" xfId="3416" xr:uid="{00000000-0005-0000-0000-0000530D0000}"/>
    <cellStyle name="Comma 4 11" xfId="3417" xr:uid="{00000000-0005-0000-0000-0000540D0000}"/>
    <cellStyle name="Comma 4 12" xfId="3418" xr:uid="{00000000-0005-0000-0000-0000550D0000}"/>
    <cellStyle name="Comma 4 13" xfId="3419" xr:uid="{00000000-0005-0000-0000-0000560D0000}"/>
    <cellStyle name="Comma 4 14" xfId="3420" xr:uid="{00000000-0005-0000-0000-0000570D0000}"/>
    <cellStyle name="Comma 4 15" xfId="3421" xr:uid="{00000000-0005-0000-0000-0000580D0000}"/>
    <cellStyle name="Comma 4 16" xfId="3422" xr:uid="{00000000-0005-0000-0000-0000590D0000}"/>
    <cellStyle name="Comma 4 17" xfId="3423" xr:uid="{00000000-0005-0000-0000-00005A0D0000}"/>
    <cellStyle name="Comma 4 18" xfId="3424" xr:uid="{00000000-0005-0000-0000-00005B0D0000}"/>
    <cellStyle name="Comma 4 19" xfId="3425" xr:uid="{00000000-0005-0000-0000-00005C0D0000}"/>
    <cellStyle name="Comma 4 2" xfId="3426" xr:uid="{00000000-0005-0000-0000-00005D0D0000}"/>
    <cellStyle name="Comma 4 2 2" xfId="3427" xr:uid="{00000000-0005-0000-0000-00005E0D0000}"/>
    <cellStyle name="Comma 4 2 2 2" xfId="3428" xr:uid="{00000000-0005-0000-0000-00005F0D0000}"/>
    <cellStyle name="Comma 4 2 2 3" xfId="3429" xr:uid="{00000000-0005-0000-0000-0000600D0000}"/>
    <cellStyle name="Comma 4 2 3" xfId="3430" xr:uid="{00000000-0005-0000-0000-0000610D0000}"/>
    <cellStyle name="Comma 4 2 3 2" xfId="3431" xr:uid="{00000000-0005-0000-0000-0000620D0000}"/>
    <cellStyle name="Comma 4 2 3 3" xfId="3432" xr:uid="{00000000-0005-0000-0000-0000630D0000}"/>
    <cellStyle name="Comma 4 20" xfId="3433" xr:uid="{00000000-0005-0000-0000-0000640D0000}"/>
    <cellStyle name="Comma 4 21" xfId="3434" xr:uid="{00000000-0005-0000-0000-0000650D0000}"/>
    <cellStyle name="Comma 4 22" xfId="3435" xr:uid="{00000000-0005-0000-0000-0000660D0000}"/>
    <cellStyle name="Comma 4 23" xfId="3436" xr:uid="{00000000-0005-0000-0000-0000670D0000}"/>
    <cellStyle name="Comma 4 24" xfId="3437" xr:uid="{00000000-0005-0000-0000-0000680D0000}"/>
    <cellStyle name="Comma 4 25" xfId="3438" xr:uid="{00000000-0005-0000-0000-0000690D0000}"/>
    <cellStyle name="Comma 4 26" xfId="3439" xr:uid="{00000000-0005-0000-0000-00006A0D0000}"/>
    <cellStyle name="Comma 4 27" xfId="3440" xr:uid="{00000000-0005-0000-0000-00006B0D0000}"/>
    <cellStyle name="Comma 4 28" xfId="3441" xr:uid="{00000000-0005-0000-0000-00006C0D0000}"/>
    <cellStyle name="Comma 4 29" xfId="3442" xr:uid="{00000000-0005-0000-0000-00006D0D0000}"/>
    <cellStyle name="Comma 4 3" xfId="3443" xr:uid="{00000000-0005-0000-0000-00006E0D0000}"/>
    <cellStyle name="Comma 4 30" xfId="3444" xr:uid="{00000000-0005-0000-0000-00006F0D0000}"/>
    <cellStyle name="Comma 4 31" xfId="3445" xr:uid="{00000000-0005-0000-0000-0000700D0000}"/>
    <cellStyle name="Comma 4 32" xfId="3446" xr:uid="{00000000-0005-0000-0000-0000710D0000}"/>
    <cellStyle name="Comma 4 33" xfId="3447" xr:uid="{00000000-0005-0000-0000-0000720D0000}"/>
    <cellStyle name="Comma 4 34" xfId="3448" xr:uid="{00000000-0005-0000-0000-0000730D0000}"/>
    <cellStyle name="Comma 4 35" xfId="3449" xr:uid="{00000000-0005-0000-0000-0000740D0000}"/>
    <cellStyle name="Comma 4 36" xfId="3450" xr:uid="{00000000-0005-0000-0000-0000750D0000}"/>
    <cellStyle name="Comma 4 4" xfId="3451" xr:uid="{00000000-0005-0000-0000-0000760D0000}"/>
    <cellStyle name="Comma 4 5" xfId="3452" xr:uid="{00000000-0005-0000-0000-0000770D0000}"/>
    <cellStyle name="Comma 4 6" xfId="3453" xr:uid="{00000000-0005-0000-0000-0000780D0000}"/>
    <cellStyle name="Comma 4 7" xfId="3454" xr:uid="{00000000-0005-0000-0000-0000790D0000}"/>
    <cellStyle name="Comma 4 7 2" xfId="3455" xr:uid="{00000000-0005-0000-0000-00007A0D0000}"/>
    <cellStyle name="Comma 4 7 3" xfId="3456" xr:uid="{00000000-0005-0000-0000-00007B0D0000}"/>
    <cellStyle name="Comma 4 8" xfId="3457" xr:uid="{00000000-0005-0000-0000-00007C0D0000}"/>
    <cellStyle name="Comma 4 9" xfId="3458" xr:uid="{00000000-0005-0000-0000-00007D0D0000}"/>
    <cellStyle name="Comma 40" xfId="3459" xr:uid="{00000000-0005-0000-0000-00007E0D0000}"/>
    <cellStyle name="Comma 41" xfId="3460" xr:uid="{00000000-0005-0000-0000-00007F0D0000}"/>
    <cellStyle name="Comma 42" xfId="3461" xr:uid="{00000000-0005-0000-0000-0000800D0000}"/>
    <cellStyle name="Comma 43" xfId="3462" xr:uid="{00000000-0005-0000-0000-0000810D0000}"/>
    <cellStyle name="Comma 43 10" xfId="3463" xr:uid="{00000000-0005-0000-0000-0000820D0000}"/>
    <cellStyle name="Comma 43 10 2" xfId="3464" xr:uid="{00000000-0005-0000-0000-0000830D0000}"/>
    <cellStyle name="Comma 43 11" xfId="3465" xr:uid="{00000000-0005-0000-0000-0000840D0000}"/>
    <cellStyle name="Comma 43 11 2" xfId="3466" xr:uid="{00000000-0005-0000-0000-0000850D0000}"/>
    <cellStyle name="Comma 43 12" xfId="3467" xr:uid="{00000000-0005-0000-0000-0000860D0000}"/>
    <cellStyle name="Comma 43 2" xfId="3468" xr:uid="{00000000-0005-0000-0000-0000870D0000}"/>
    <cellStyle name="Comma 43 2 2" xfId="3469" xr:uid="{00000000-0005-0000-0000-0000880D0000}"/>
    <cellStyle name="Comma 43 2 2 2" xfId="3470" xr:uid="{00000000-0005-0000-0000-0000890D0000}"/>
    <cellStyle name="Comma 43 2 2 2 2" xfId="3471" xr:uid="{00000000-0005-0000-0000-00008A0D0000}"/>
    <cellStyle name="Comma 43 2 2 3" xfId="3472" xr:uid="{00000000-0005-0000-0000-00008B0D0000}"/>
    <cellStyle name="Comma 43 2 3" xfId="3473" xr:uid="{00000000-0005-0000-0000-00008C0D0000}"/>
    <cellStyle name="Comma 43 2 3 2" xfId="3474" xr:uid="{00000000-0005-0000-0000-00008D0D0000}"/>
    <cellStyle name="Comma 43 2 4" xfId="3475" xr:uid="{00000000-0005-0000-0000-00008E0D0000}"/>
    <cellStyle name="Comma 43 2 4 2" xfId="3476" xr:uid="{00000000-0005-0000-0000-00008F0D0000}"/>
    <cellStyle name="Comma 43 2 5" xfId="3477" xr:uid="{00000000-0005-0000-0000-0000900D0000}"/>
    <cellStyle name="Comma 43 3" xfId="3478" xr:uid="{00000000-0005-0000-0000-0000910D0000}"/>
    <cellStyle name="Comma 43 3 2" xfId="3479" xr:uid="{00000000-0005-0000-0000-0000920D0000}"/>
    <cellStyle name="Comma 43 3 2 2" xfId="3480" xr:uid="{00000000-0005-0000-0000-0000930D0000}"/>
    <cellStyle name="Comma 43 3 2 2 2" xfId="3481" xr:uid="{00000000-0005-0000-0000-0000940D0000}"/>
    <cellStyle name="Comma 43 3 2 3" xfId="3482" xr:uid="{00000000-0005-0000-0000-0000950D0000}"/>
    <cellStyle name="Comma 43 3 3" xfId="3483" xr:uid="{00000000-0005-0000-0000-0000960D0000}"/>
    <cellStyle name="Comma 43 3 3 2" xfId="3484" xr:uid="{00000000-0005-0000-0000-0000970D0000}"/>
    <cellStyle name="Comma 43 3 4" xfId="3485" xr:uid="{00000000-0005-0000-0000-0000980D0000}"/>
    <cellStyle name="Comma 43 3 4 2" xfId="3486" xr:uid="{00000000-0005-0000-0000-0000990D0000}"/>
    <cellStyle name="Comma 43 3 5" xfId="3487" xr:uid="{00000000-0005-0000-0000-00009A0D0000}"/>
    <cellStyle name="Comma 43 4" xfId="3488" xr:uid="{00000000-0005-0000-0000-00009B0D0000}"/>
    <cellStyle name="Comma 43 4 2" xfId="3489" xr:uid="{00000000-0005-0000-0000-00009C0D0000}"/>
    <cellStyle name="Comma 43 4 2 2" xfId="3490" xr:uid="{00000000-0005-0000-0000-00009D0D0000}"/>
    <cellStyle name="Comma 43 4 2 2 2" xfId="3491" xr:uid="{00000000-0005-0000-0000-00009E0D0000}"/>
    <cellStyle name="Comma 43 4 2 3" xfId="3492" xr:uid="{00000000-0005-0000-0000-00009F0D0000}"/>
    <cellStyle name="Comma 43 4 3" xfId="3493" xr:uid="{00000000-0005-0000-0000-0000A00D0000}"/>
    <cellStyle name="Comma 43 4 3 2" xfId="3494" xr:uid="{00000000-0005-0000-0000-0000A10D0000}"/>
    <cellStyle name="Comma 43 4 4" xfId="3495" xr:uid="{00000000-0005-0000-0000-0000A20D0000}"/>
    <cellStyle name="Comma 43 4 4 2" xfId="3496" xr:uid="{00000000-0005-0000-0000-0000A30D0000}"/>
    <cellStyle name="Comma 43 4 5" xfId="3497" xr:uid="{00000000-0005-0000-0000-0000A40D0000}"/>
    <cellStyle name="Comma 43 5" xfId="3498" xr:uid="{00000000-0005-0000-0000-0000A50D0000}"/>
    <cellStyle name="Comma 43 5 2" xfId="3499" xr:uid="{00000000-0005-0000-0000-0000A60D0000}"/>
    <cellStyle name="Comma 43 5 2 2" xfId="3500" xr:uid="{00000000-0005-0000-0000-0000A70D0000}"/>
    <cellStyle name="Comma 43 5 2 2 2" xfId="3501" xr:uid="{00000000-0005-0000-0000-0000A80D0000}"/>
    <cellStyle name="Comma 43 5 2 3" xfId="3502" xr:uid="{00000000-0005-0000-0000-0000A90D0000}"/>
    <cellStyle name="Comma 43 5 3" xfId="3503" xr:uid="{00000000-0005-0000-0000-0000AA0D0000}"/>
    <cellStyle name="Comma 43 5 3 2" xfId="3504" xr:uid="{00000000-0005-0000-0000-0000AB0D0000}"/>
    <cellStyle name="Comma 43 5 4" xfId="3505" xr:uid="{00000000-0005-0000-0000-0000AC0D0000}"/>
    <cellStyle name="Comma 43 5 4 2" xfId="3506" xr:uid="{00000000-0005-0000-0000-0000AD0D0000}"/>
    <cellStyle name="Comma 43 5 5" xfId="3507" xr:uid="{00000000-0005-0000-0000-0000AE0D0000}"/>
    <cellStyle name="Comma 43 6" xfId="3508" xr:uid="{00000000-0005-0000-0000-0000AF0D0000}"/>
    <cellStyle name="Comma 43 6 2" xfId="3509" xr:uid="{00000000-0005-0000-0000-0000B00D0000}"/>
    <cellStyle name="Comma 43 6 2 2" xfId="3510" xr:uid="{00000000-0005-0000-0000-0000B10D0000}"/>
    <cellStyle name="Comma 43 6 2 2 2" xfId="3511" xr:uid="{00000000-0005-0000-0000-0000B20D0000}"/>
    <cellStyle name="Comma 43 6 2 3" xfId="3512" xr:uid="{00000000-0005-0000-0000-0000B30D0000}"/>
    <cellStyle name="Comma 43 6 3" xfId="3513" xr:uid="{00000000-0005-0000-0000-0000B40D0000}"/>
    <cellStyle name="Comma 43 6 3 2" xfId="3514" xr:uid="{00000000-0005-0000-0000-0000B50D0000}"/>
    <cellStyle name="Comma 43 6 4" xfId="3515" xr:uid="{00000000-0005-0000-0000-0000B60D0000}"/>
    <cellStyle name="Comma 43 6 4 2" xfId="3516" xr:uid="{00000000-0005-0000-0000-0000B70D0000}"/>
    <cellStyle name="Comma 43 6 5" xfId="3517" xr:uid="{00000000-0005-0000-0000-0000B80D0000}"/>
    <cellStyle name="Comma 43 7" xfId="3518" xr:uid="{00000000-0005-0000-0000-0000B90D0000}"/>
    <cellStyle name="Comma 43 7 2" xfId="3519" xr:uid="{00000000-0005-0000-0000-0000BA0D0000}"/>
    <cellStyle name="Comma 43 7 2 2" xfId="3520" xr:uid="{00000000-0005-0000-0000-0000BB0D0000}"/>
    <cellStyle name="Comma 43 7 2 2 2" xfId="3521" xr:uid="{00000000-0005-0000-0000-0000BC0D0000}"/>
    <cellStyle name="Comma 43 7 2 3" xfId="3522" xr:uid="{00000000-0005-0000-0000-0000BD0D0000}"/>
    <cellStyle name="Comma 43 7 3" xfId="3523" xr:uid="{00000000-0005-0000-0000-0000BE0D0000}"/>
    <cellStyle name="Comma 43 7 3 2" xfId="3524" xr:uid="{00000000-0005-0000-0000-0000BF0D0000}"/>
    <cellStyle name="Comma 43 7 4" xfId="3525" xr:uid="{00000000-0005-0000-0000-0000C00D0000}"/>
    <cellStyle name="Comma 43 8" xfId="3526" xr:uid="{00000000-0005-0000-0000-0000C10D0000}"/>
    <cellStyle name="Comma 43 8 2" xfId="3527" xr:uid="{00000000-0005-0000-0000-0000C20D0000}"/>
    <cellStyle name="Comma 43 8 2 2" xfId="3528" xr:uid="{00000000-0005-0000-0000-0000C30D0000}"/>
    <cellStyle name="Comma 43 8 2 2 2" xfId="3529" xr:uid="{00000000-0005-0000-0000-0000C40D0000}"/>
    <cellStyle name="Comma 43 8 2 3" xfId="3530" xr:uid="{00000000-0005-0000-0000-0000C50D0000}"/>
    <cellStyle name="Comma 43 8 3" xfId="3531" xr:uid="{00000000-0005-0000-0000-0000C60D0000}"/>
    <cellStyle name="Comma 43 8 3 2" xfId="3532" xr:uid="{00000000-0005-0000-0000-0000C70D0000}"/>
    <cellStyle name="Comma 43 8 4" xfId="3533" xr:uid="{00000000-0005-0000-0000-0000C80D0000}"/>
    <cellStyle name="Comma 43 9" xfId="3534" xr:uid="{00000000-0005-0000-0000-0000C90D0000}"/>
    <cellStyle name="Comma 43 9 2" xfId="3535" xr:uid="{00000000-0005-0000-0000-0000CA0D0000}"/>
    <cellStyle name="Comma 43 9 2 2" xfId="3536" xr:uid="{00000000-0005-0000-0000-0000CB0D0000}"/>
    <cellStyle name="Comma 43 9 3" xfId="3537" xr:uid="{00000000-0005-0000-0000-0000CC0D0000}"/>
    <cellStyle name="Comma 44" xfId="3538" xr:uid="{00000000-0005-0000-0000-0000CD0D0000}"/>
    <cellStyle name="Comma 44 10" xfId="3539" xr:uid="{00000000-0005-0000-0000-0000CE0D0000}"/>
    <cellStyle name="Comma 44 10 2" xfId="3540" xr:uid="{00000000-0005-0000-0000-0000CF0D0000}"/>
    <cellStyle name="Comma 44 11" xfId="3541" xr:uid="{00000000-0005-0000-0000-0000D00D0000}"/>
    <cellStyle name="Comma 44 11 2" xfId="3542" xr:uid="{00000000-0005-0000-0000-0000D10D0000}"/>
    <cellStyle name="Comma 44 12" xfId="3543" xr:uid="{00000000-0005-0000-0000-0000D20D0000}"/>
    <cellStyle name="Comma 44 2" xfId="3544" xr:uid="{00000000-0005-0000-0000-0000D30D0000}"/>
    <cellStyle name="Comma 44 2 2" xfId="3545" xr:uid="{00000000-0005-0000-0000-0000D40D0000}"/>
    <cellStyle name="Comma 44 2 2 2" xfId="3546" xr:uid="{00000000-0005-0000-0000-0000D50D0000}"/>
    <cellStyle name="Comma 44 2 2 2 2" xfId="3547" xr:uid="{00000000-0005-0000-0000-0000D60D0000}"/>
    <cellStyle name="Comma 44 2 2 3" xfId="3548" xr:uid="{00000000-0005-0000-0000-0000D70D0000}"/>
    <cellStyle name="Comma 44 2 3" xfId="3549" xr:uid="{00000000-0005-0000-0000-0000D80D0000}"/>
    <cellStyle name="Comma 44 2 3 2" xfId="3550" xr:uid="{00000000-0005-0000-0000-0000D90D0000}"/>
    <cellStyle name="Comma 44 2 4" xfId="3551" xr:uid="{00000000-0005-0000-0000-0000DA0D0000}"/>
    <cellStyle name="Comma 44 2 4 2" xfId="3552" xr:uid="{00000000-0005-0000-0000-0000DB0D0000}"/>
    <cellStyle name="Comma 44 2 5" xfId="3553" xr:uid="{00000000-0005-0000-0000-0000DC0D0000}"/>
    <cellStyle name="Comma 44 3" xfId="3554" xr:uid="{00000000-0005-0000-0000-0000DD0D0000}"/>
    <cellStyle name="Comma 44 3 2" xfId="3555" xr:uid="{00000000-0005-0000-0000-0000DE0D0000}"/>
    <cellStyle name="Comma 44 3 2 2" xfId="3556" xr:uid="{00000000-0005-0000-0000-0000DF0D0000}"/>
    <cellStyle name="Comma 44 3 2 2 2" xfId="3557" xr:uid="{00000000-0005-0000-0000-0000E00D0000}"/>
    <cellStyle name="Comma 44 3 2 3" xfId="3558" xr:uid="{00000000-0005-0000-0000-0000E10D0000}"/>
    <cellStyle name="Comma 44 3 3" xfId="3559" xr:uid="{00000000-0005-0000-0000-0000E20D0000}"/>
    <cellStyle name="Comma 44 3 3 2" xfId="3560" xr:uid="{00000000-0005-0000-0000-0000E30D0000}"/>
    <cellStyle name="Comma 44 3 4" xfId="3561" xr:uid="{00000000-0005-0000-0000-0000E40D0000}"/>
    <cellStyle name="Comma 44 3 4 2" xfId="3562" xr:uid="{00000000-0005-0000-0000-0000E50D0000}"/>
    <cellStyle name="Comma 44 3 5" xfId="3563" xr:uid="{00000000-0005-0000-0000-0000E60D0000}"/>
    <cellStyle name="Comma 44 4" xfId="3564" xr:uid="{00000000-0005-0000-0000-0000E70D0000}"/>
    <cellStyle name="Comma 44 4 2" xfId="3565" xr:uid="{00000000-0005-0000-0000-0000E80D0000}"/>
    <cellStyle name="Comma 44 4 2 2" xfId="3566" xr:uid="{00000000-0005-0000-0000-0000E90D0000}"/>
    <cellStyle name="Comma 44 4 2 2 2" xfId="3567" xr:uid="{00000000-0005-0000-0000-0000EA0D0000}"/>
    <cellStyle name="Comma 44 4 2 3" xfId="3568" xr:uid="{00000000-0005-0000-0000-0000EB0D0000}"/>
    <cellStyle name="Comma 44 4 3" xfId="3569" xr:uid="{00000000-0005-0000-0000-0000EC0D0000}"/>
    <cellStyle name="Comma 44 4 3 2" xfId="3570" xr:uid="{00000000-0005-0000-0000-0000ED0D0000}"/>
    <cellStyle name="Comma 44 4 4" xfId="3571" xr:uid="{00000000-0005-0000-0000-0000EE0D0000}"/>
    <cellStyle name="Comma 44 4 4 2" xfId="3572" xr:uid="{00000000-0005-0000-0000-0000EF0D0000}"/>
    <cellStyle name="Comma 44 4 5" xfId="3573" xr:uid="{00000000-0005-0000-0000-0000F00D0000}"/>
    <cellStyle name="Comma 44 5" xfId="3574" xr:uid="{00000000-0005-0000-0000-0000F10D0000}"/>
    <cellStyle name="Comma 44 5 2" xfId="3575" xr:uid="{00000000-0005-0000-0000-0000F20D0000}"/>
    <cellStyle name="Comma 44 5 2 2" xfId="3576" xr:uid="{00000000-0005-0000-0000-0000F30D0000}"/>
    <cellStyle name="Comma 44 5 2 2 2" xfId="3577" xr:uid="{00000000-0005-0000-0000-0000F40D0000}"/>
    <cellStyle name="Comma 44 5 2 3" xfId="3578" xr:uid="{00000000-0005-0000-0000-0000F50D0000}"/>
    <cellStyle name="Comma 44 5 3" xfId="3579" xr:uid="{00000000-0005-0000-0000-0000F60D0000}"/>
    <cellStyle name="Comma 44 5 3 2" xfId="3580" xr:uid="{00000000-0005-0000-0000-0000F70D0000}"/>
    <cellStyle name="Comma 44 5 4" xfId="3581" xr:uid="{00000000-0005-0000-0000-0000F80D0000}"/>
    <cellStyle name="Comma 44 5 4 2" xfId="3582" xr:uid="{00000000-0005-0000-0000-0000F90D0000}"/>
    <cellStyle name="Comma 44 5 5" xfId="3583" xr:uid="{00000000-0005-0000-0000-0000FA0D0000}"/>
    <cellStyle name="Comma 44 6" xfId="3584" xr:uid="{00000000-0005-0000-0000-0000FB0D0000}"/>
    <cellStyle name="Comma 44 6 2" xfId="3585" xr:uid="{00000000-0005-0000-0000-0000FC0D0000}"/>
    <cellStyle name="Comma 44 6 2 2" xfId="3586" xr:uid="{00000000-0005-0000-0000-0000FD0D0000}"/>
    <cellStyle name="Comma 44 6 2 2 2" xfId="3587" xr:uid="{00000000-0005-0000-0000-0000FE0D0000}"/>
    <cellStyle name="Comma 44 6 2 3" xfId="3588" xr:uid="{00000000-0005-0000-0000-0000FF0D0000}"/>
    <cellStyle name="Comma 44 6 3" xfId="3589" xr:uid="{00000000-0005-0000-0000-0000000E0000}"/>
    <cellStyle name="Comma 44 6 3 2" xfId="3590" xr:uid="{00000000-0005-0000-0000-0000010E0000}"/>
    <cellStyle name="Comma 44 6 4" xfId="3591" xr:uid="{00000000-0005-0000-0000-0000020E0000}"/>
    <cellStyle name="Comma 44 6 4 2" xfId="3592" xr:uid="{00000000-0005-0000-0000-0000030E0000}"/>
    <cellStyle name="Comma 44 6 5" xfId="3593" xr:uid="{00000000-0005-0000-0000-0000040E0000}"/>
    <cellStyle name="Comma 44 7" xfId="3594" xr:uid="{00000000-0005-0000-0000-0000050E0000}"/>
    <cellStyle name="Comma 44 7 2" xfId="3595" xr:uid="{00000000-0005-0000-0000-0000060E0000}"/>
    <cellStyle name="Comma 44 7 2 2" xfId="3596" xr:uid="{00000000-0005-0000-0000-0000070E0000}"/>
    <cellStyle name="Comma 44 7 2 2 2" xfId="3597" xr:uid="{00000000-0005-0000-0000-0000080E0000}"/>
    <cellStyle name="Comma 44 7 2 3" xfId="3598" xr:uid="{00000000-0005-0000-0000-0000090E0000}"/>
    <cellStyle name="Comma 44 7 3" xfId="3599" xr:uid="{00000000-0005-0000-0000-00000A0E0000}"/>
    <cellStyle name="Comma 44 7 3 2" xfId="3600" xr:uid="{00000000-0005-0000-0000-00000B0E0000}"/>
    <cellStyle name="Comma 44 7 4" xfId="3601" xr:uid="{00000000-0005-0000-0000-00000C0E0000}"/>
    <cellStyle name="Comma 44 8" xfId="3602" xr:uid="{00000000-0005-0000-0000-00000D0E0000}"/>
    <cellStyle name="Comma 44 8 2" xfId="3603" xr:uid="{00000000-0005-0000-0000-00000E0E0000}"/>
    <cellStyle name="Comma 44 8 2 2" xfId="3604" xr:uid="{00000000-0005-0000-0000-00000F0E0000}"/>
    <cellStyle name="Comma 44 8 2 2 2" xfId="3605" xr:uid="{00000000-0005-0000-0000-0000100E0000}"/>
    <cellStyle name="Comma 44 8 2 3" xfId="3606" xr:uid="{00000000-0005-0000-0000-0000110E0000}"/>
    <cellStyle name="Comma 44 8 3" xfId="3607" xr:uid="{00000000-0005-0000-0000-0000120E0000}"/>
    <cellStyle name="Comma 44 8 3 2" xfId="3608" xr:uid="{00000000-0005-0000-0000-0000130E0000}"/>
    <cellStyle name="Comma 44 8 4" xfId="3609" xr:uid="{00000000-0005-0000-0000-0000140E0000}"/>
    <cellStyle name="Comma 44 9" xfId="3610" xr:uid="{00000000-0005-0000-0000-0000150E0000}"/>
    <cellStyle name="Comma 44 9 2" xfId="3611" xr:uid="{00000000-0005-0000-0000-0000160E0000}"/>
    <cellStyle name="Comma 44 9 2 2" xfId="3612" xr:uid="{00000000-0005-0000-0000-0000170E0000}"/>
    <cellStyle name="Comma 44 9 3" xfId="3613" xr:uid="{00000000-0005-0000-0000-0000180E0000}"/>
    <cellStyle name="Comma 45" xfId="3614" xr:uid="{00000000-0005-0000-0000-0000190E0000}"/>
    <cellStyle name="Comma 45 10" xfId="3615" xr:uid="{00000000-0005-0000-0000-00001A0E0000}"/>
    <cellStyle name="Comma 45 10 2" xfId="3616" xr:uid="{00000000-0005-0000-0000-00001B0E0000}"/>
    <cellStyle name="Comma 45 11" xfId="3617" xr:uid="{00000000-0005-0000-0000-00001C0E0000}"/>
    <cellStyle name="Comma 45 11 2" xfId="3618" xr:uid="{00000000-0005-0000-0000-00001D0E0000}"/>
    <cellStyle name="Comma 45 12" xfId="3619" xr:uid="{00000000-0005-0000-0000-00001E0E0000}"/>
    <cellStyle name="Comma 45 2" xfId="3620" xr:uid="{00000000-0005-0000-0000-00001F0E0000}"/>
    <cellStyle name="Comma 45 2 2" xfId="3621" xr:uid="{00000000-0005-0000-0000-0000200E0000}"/>
    <cellStyle name="Comma 45 2 2 2" xfId="3622" xr:uid="{00000000-0005-0000-0000-0000210E0000}"/>
    <cellStyle name="Comma 45 2 2 2 2" xfId="3623" xr:uid="{00000000-0005-0000-0000-0000220E0000}"/>
    <cellStyle name="Comma 45 2 2 3" xfId="3624" xr:uid="{00000000-0005-0000-0000-0000230E0000}"/>
    <cellStyle name="Comma 45 2 3" xfId="3625" xr:uid="{00000000-0005-0000-0000-0000240E0000}"/>
    <cellStyle name="Comma 45 2 3 2" xfId="3626" xr:uid="{00000000-0005-0000-0000-0000250E0000}"/>
    <cellStyle name="Comma 45 2 4" xfId="3627" xr:uid="{00000000-0005-0000-0000-0000260E0000}"/>
    <cellStyle name="Comma 45 2 4 2" xfId="3628" xr:uid="{00000000-0005-0000-0000-0000270E0000}"/>
    <cellStyle name="Comma 45 2 5" xfId="3629" xr:uid="{00000000-0005-0000-0000-0000280E0000}"/>
    <cellStyle name="Comma 45 3" xfId="3630" xr:uid="{00000000-0005-0000-0000-0000290E0000}"/>
    <cellStyle name="Comma 45 3 2" xfId="3631" xr:uid="{00000000-0005-0000-0000-00002A0E0000}"/>
    <cellStyle name="Comma 45 3 2 2" xfId="3632" xr:uid="{00000000-0005-0000-0000-00002B0E0000}"/>
    <cellStyle name="Comma 45 3 2 2 2" xfId="3633" xr:uid="{00000000-0005-0000-0000-00002C0E0000}"/>
    <cellStyle name="Comma 45 3 2 3" xfId="3634" xr:uid="{00000000-0005-0000-0000-00002D0E0000}"/>
    <cellStyle name="Comma 45 3 3" xfId="3635" xr:uid="{00000000-0005-0000-0000-00002E0E0000}"/>
    <cellStyle name="Comma 45 3 3 2" xfId="3636" xr:uid="{00000000-0005-0000-0000-00002F0E0000}"/>
    <cellStyle name="Comma 45 3 4" xfId="3637" xr:uid="{00000000-0005-0000-0000-0000300E0000}"/>
    <cellStyle name="Comma 45 3 4 2" xfId="3638" xr:uid="{00000000-0005-0000-0000-0000310E0000}"/>
    <cellStyle name="Comma 45 3 5" xfId="3639" xr:uid="{00000000-0005-0000-0000-0000320E0000}"/>
    <cellStyle name="Comma 45 4" xfId="3640" xr:uid="{00000000-0005-0000-0000-0000330E0000}"/>
    <cellStyle name="Comma 45 4 2" xfId="3641" xr:uid="{00000000-0005-0000-0000-0000340E0000}"/>
    <cellStyle name="Comma 45 4 2 2" xfId="3642" xr:uid="{00000000-0005-0000-0000-0000350E0000}"/>
    <cellStyle name="Comma 45 4 2 2 2" xfId="3643" xr:uid="{00000000-0005-0000-0000-0000360E0000}"/>
    <cellStyle name="Comma 45 4 2 3" xfId="3644" xr:uid="{00000000-0005-0000-0000-0000370E0000}"/>
    <cellStyle name="Comma 45 4 3" xfId="3645" xr:uid="{00000000-0005-0000-0000-0000380E0000}"/>
    <cellStyle name="Comma 45 4 3 2" xfId="3646" xr:uid="{00000000-0005-0000-0000-0000390E0000}"/>
    <cellStyle name="Comma 45 4 4" xfId="3647" xr:uid="{00000000-0005-0000-0000-00003A0E0000}"/>
    <cellStyle name="Comma 45 4 4 2" xfId="3648" xr:uid="{00000000-0005-0000-0000-00003B0E0000}"/>
    <cellStyle name="Comma 45 4 5" xfId="3649" xr:uid="{00000000-0005-0000-0000-00003C0E0000}"/>
    <cellStyle name="Comma 45 5" xfId="3650" xr:uid="{00000000-0005-0000-0000-00003D0E0000}"/>
    <cellStyle name="Comma 45 5 2" xfId="3651" xr:uid="{00000000-0005-0000-0000-00003E0E0000}"/>
    <cellStyle name="Comma 45 5 2 2" xfId="3652" xr:uid="{00000000-0005-0000-0000-00003F0E0000}"/>
    <cellStyle name="Comma 45 5 2 2 2" xfId="3653" xr:uid="{00000000-0005-0000-0000-0000400E0000}"/>
    <cellStyle name="Comma 45 5 2 3" xfId="3654" xr:uid="{00000000-0005-0000-0000-0000410E0000}"/>
    <cellStyle name="Comma 45 5 3" xfId="3655" xr:uid="{00000000-0005-0000-0000-0000420E0000}"/>
    <cellStyle name="Comma 45 5 3 2" xfId="3656" xr:uid="{00000000-0005-0000-0000-0000430E0000}"/>
    <cellStyle name="Comma 45 5 4" xfId="3657" xr:uid="{00000000-0005-0000-0000-0000440E0000}"/>
    <cellStyle name="Comma 45 5 4 2" xfId="3658" xr:uid="{00000000-0005-0000-0000-0000450E0000}"/>
    <cellStyle name="Comma 45 5 5" xfId="3659" xr:uid="{00000000-0005-0000-0000-0000460E0000}"/>
    <cellStyle name="Comma 45 6" xfId="3660" xr:uid="{00000000-0005-0000-0000-0000470E0000}"/>
    <cellStyle name="Comma 45 6 2" xfId="3661" xr:uid="{00000000-0005-0000-0000-0000480E0000}"/>
    <cellStyle name="Comma 45 6 2 2" xfId="3662" xr:uid="{00000000-0005-0000-0000-0000490E0000}"/>
    <cellStyle name="Comma 45 6 2 2 2" xfId="3663" xr:uid="{00000000-0005-0000-0000-00004A0E0000}"/>
    <cellStyle name="Comma 45 6 2 3" xfId="3664" xr:uid="{00000000-0005-0000-0000-00004B0E0000}"/>
    <cellStyle name="Comma 45 6 3" xfId="3665" xr:uid="{00000000-0005-0000-0000-00004C0E0000}"/>
    <cellStyle name="Comma 45 6 3 2" xfId="3666" xr:uid="{00000000-0005-0000-0000-00004D0E0000}"/>
    <cellStyle name="Comma 45 6 4" xfId="3667" xr:uid="{00000000-0005-0000-0000-00004E0E0000}"/>
    <cellStyle name="Comma 45 6 4 2" xfId="3668" xr:uid="{00000000-0005-0000-0000-00004F0E0000}"/>
    <cellStyle name="Comma 45 6 5" xfId="3669" xr:uid="{00000000-0005-0000-0000-0000500E0000}"/>
    <cellStyle name="Comma 45 7" xfId="3670" xr:uid="{00000000-0005-0000-0000-0000510E0000}"/>
    <cellStyle name="Comma 45 7 2" xfId="3671" xr:uid="{00000000-0005-0000-0000-0000520E0000}"/>
    <cellStyle name="Comma 45 7 2 2" xfId="3672" xr:uid="{00000000-0005-0000-0000-0000530E0000}"/>
    <cellStyle name="Comma 45 7 2 2 2" xfId="3673" xr:uid="{00000000-0005-0000-0000-0000540E0000}"/>
    <cellStyle name="Comma 45 7 2 3" xfId="3674" xr:uid="{00000000-0005-0000-0000-0000550E0000}"/>
    <cellStyle name="Comma 45 7 3" xfId="3675" xr:uid="{00000000-0005-0000-0000-0000560E0000}"/>
    <cellStyle name="Comma 45 7 3 2" xfId="3676" xr:uid="{00000000-0005-0000-0000-0000570E0000}"/>
    <cellStyle name="Comma 45 7 4" xfId="3677" xr:uid="{00000000-0005-0000-0000-0000580E0000}"/>
    <cellStyle name="Comma 45 8" xfId="3678" xr:uid="{00000000-0005-0000-0000-0000590E0000}"/>
    <cellStyle name="Comma 45 8 2" xfId="3679" xr:uid="{00000000-0005-0000-0000-00005A0E0000}"/>
    <cellStyle name="Comma 45 8 2 2" xfId="3680" xr:uid="{00000000-0005-0000-0000-00005B0E0000}"/>
    <cellStyle name="Comma 45 8 2 2 2" xfId="3681" xr:uid="{00000000-0005-0000-0000-00005C0E0000}"/>
    <cellStyle name="Comma 45 8 2 3" xfId="3682" xr:uid="{00000000-0005-0000-0000-00005D0E0000}"/>
    <cellStyle name="Comma 45 8 3" xfId="3683" xr:uid="{00000000-0005-0000-0000-00005E0E0000}"/>
    <cellStyle name="Comma 45 8 3 2" xfId="3684" xr:uid="{00000000-0005-0000-0000-00005F0E0000}"/>
    <cellStyle name="Comma 45 8 4" xfId="3685" xr:uid="{00000000-0005-0000-0000-0000600E0000}"/>
    <cellStyle name="Comma 45 9" xfId="3686" xr:uid="{00000000-0005-0000-0000-0000610E0000}"/>
    <cellStyle name="Comma 45 9 2" xfId="3687" xr:uid="{00000000-0005-0000-0000-0000620E0000}"/>
    <cellStyle name="Comma 45 9 2 2" xfId="3688" xr:uid="{00000000-0005-0000-0000-0000630E0000}"/>
    <cellStyle name="Comma 45 9 3" xfId="3689" xr:uid="{00000000-0005-0000-0000-0000640E0000}"/>
    <cellStyle name="Comma 46" xfId="3690" xr:uid="{00000000-0005-0000-0000-0000650E0000}"/>
    <cellStyle name="Comma 46 10" xfId="3691" xr:uid="{00000000-0005-0000-0000-0000660E0000}"/>
    <cellStyle name="Comma 46 10 2" xfId="3692" xr:uid="{00000000-0005-0000-0000-0000670E0000}"/>
    <cellStyle name="Comma 46 11" xfId="3693" xr:uid="{00000000-0005-0000-0000-0000680E0000}"/>
    <cellStyle name="Comma 46 11 2" xfId="3694" xr:uid="{00000000-0005-0000-0000-0000690E0000}"/>
    <cellStyle name="Comma 46 12" xfId="3695" xr:uid="{00000000-0005-0000-0000-00006A0E0000}"/>
    <cellStyle name="Comma 46 2" xfId="3696" xr:uid="{00000000-0005-0000-0000-00006B0E0000}"/>
    <cellStyle name="Comma 46 2 2" xfId="3697" xr:uid="{00000000-0005-0000-0000-00006C0E0000}"/>
    <cellStyle name="Comma 46 2 2 2" xfId="3698" xr:uid="{00000000-0005-0000-0000-00006D0E0000}"/>
    <cellStyle name="Comma 46 2 2 2 2" xfId="3699" xr:uid="{00000000-0005-0000-0000-00006E0E0000}"/>
    <cellStyle name="Comma 46 2 2 3" xfId="3700" xr:uid="{00000000-0005-0000-0000-00006F0E0000}"/>
    <cellStyle name="Comma 46 2 3" xfId="3701" xr:uid="{00000000-0005-0000-0000-0000700E0000}"/>
    <cellStyle name="Comma 46 2 3 2" xfId="3702" xr:uid="{00000000-0005-0000-0000-0000710E0000}"/>
    <cellStyle name="Comma 46 2 4" xfId="3703" xr:uid="{00000000-0005-0000-0000-0000720E0000}"/>
    <cellStyle name="Comma 46 2 4 2" xfId="3704" xr:uid="{00000000-0005-0000-0000-0000730E0000}"/>
    <cellStyle name="Comma 46 2 5" xfId="3705" xr:uid="{00000000-0005-0000-0000-0000740E0000}"/>
    <cellStyle name="Comma 46 3" xfId="3706" xr:uid="{00000000-0005-0000-0000-0000750E0000}"/>
    <cellStyle name="Comma 46 3 2" xfId="3707" xr:uid="{00000000-0005-0000-0000-0000760E0000}"/>
    <cellStyle name="Comma 46 3 2 2" xfId="3708" xr:uid="{00000000-0005-0000-0000-0000770E0000}"/>
    <cellStyle name="Comma 46 3 2 2 2" xfId="3709" xr:uid="{00000000-0005-0000-0000-0000780E0000}"/>
    <cellStyle name="Comma 46 3 2 3" xfId="3710" xr:uid="{00000000-0005-0000-0000-0000790E0000}"/>
    <cellStyle name="Comma 46 3 3" xfId="3711" xr:uid="{00000000-0005-0000-0000-00007A0E0000}"/>
    <cellStyle name="Comma 46 3 3 2" xfId="3712" xr:uid="{00000000-0005-0000-0000-00007B0E0000}"/>
    <cellStyle name="Comma 46 3 4" xfId="3713" xr:uid="{00000000-0005-0000-0000-00007C0E0000}"/>
    <cellStyle name="Comma 46 3 4 2" xfId="3714" xr:uid="{00000000-0005-0000-0000-00007D0E0000}"/>
    <cellStyle name="Comma 46 3 5" xfId="3715" xr:uid="{00000000-0005-0000-0000-00007E0E0000}"/>
    <cellStyle name="Comma 46 4" xfId="3716" xr:uid="{00000000-0005-0000-0000-00007F0E0000}"/>
    <cellStyle name="Comma 46 4 2" xfId="3717" xr:uid="{00000000-0005-0000-0000-0000800E0000}"/>
    <cellStyle name="Comma 46 4 2 2" xfId="3718" xr:uid="{00000000-0005-0000-0000-0000810E0000}"/>
    <cellStyle name="Comma 46 4 2 2 2" xfId="3719" xr:uid="{00000000-0005-0000-0000-0000820E0000}"/>
    <cellStyle name="Comma 46 4 2 3" xfId="3720" xr:uid="{00000000-0005-0000-0000-0000830E0000}"/>
    <cellStyle name="Comma 46 4 3" xfId="3721" xr:uid="{00000000-0005-0000-0000-0000840E0000}"/>
    <cellStyle name="Comma 46 4 3 2" xfId="3722" xr:uid="{00000000-0005-0000-0000-0000850E0000}"/>
    <cellStyle name="Comma 46 4 4" xfId="3723" xr:uid="{00000000-0005-0000-0000-0000860E0000}"/>
    <cellStyle name="Comma 46 4 4 2" xfId="3724" xr:uid="{00000000-0005-0000-0000-0000870E0000}"/>
    <cellStyle name="Comma 46 4 5" xfId="3725" xr:uid="{00000000-0005-0000-0000-0000880E0000}"/>
    <cellStyle name="Comma 46 5" xfId="3726" xr:uid="{00000000-0005-0000-0000-0000890E0000}"/>
    <cellStyle name="Comma 46 5 2" xfId="3727" xr:uid="{00000000-0005-0000-0000-00008A0E0000}"/>
    <cellStyle name="Comma 46 5 2 2" xfId="3728" xr:uid="{00000000-0005-0000-0000-00008B0E0000}"/>
    <cellStyle name="Comma 46 5 2 2 2" xfId="3729" xr:uid="{00000000-0005-0000-0000-00008C0E0000}"/>
    <cellStyle name="Comma 46 5 2 3" xfId="3730" xr:uid="{00000000-0005-0000-0000-00008D0E0000}"/>
    <cellStyle name="Comma 46 5 3" xfId="3731" xr:uid="{00000000-0005-0000-0000-00008E0E0000}"/>
    <cellStyle name="Comma 46 5 3 2" xfId="3732" xr:uid="{00000000-0005-0000-0000-00008F0E0000}"/>
    <cellStyle name="Comma 46 5 4" xfId="3733" xr:uid="{00000000-0005-0000-0000-0000900E0000}"/>
    <cellStyle name="Comma 46 5 4 2" xfId="3734" xr:uid="{00000000-0005-0000-0000-0000910E0000}"/>
    <cellStyle name="Comma 46 5 5" xfId="3735" xr:uid="{00000000-0005-0000-0000-0000920E0000}"/>
    <cellStyle name="Comma 46 6" xfId="3736" xr:uid="{00000000-0005-0000-0000-0000930E0000}"/>
    <cellStyle name="Comma 46 6 2" xfId="3737" xr:uid="{00000000-0005-0000-0000-0000940E0000}"/>
    <cellStyle name="Comma 46 6 2 2" xfId="3738" xr:uid="{00000000-0005-0000-0000-0000950E0000}"/>
    <cellStyle name="Comma 46 6 2 2 2" xfId="3739" xr:uid="{00000000-0005-0000-0000-0000960E0000}"/>
    <cellStyle name="Comma 46 6 2 3" xfId="3740" xr:uid="{00000000-0005-0000-0000-0000970E0000}"/>
    <cellStyle name="Comma 46 6 3" xfId="3741" xr:uid="{00000000-0005-0000-0000-0000980E0000}"/>
    <cellStyle name="Comma 46 6 3 2" xfId="3742" xr:uid="{00000000-0005-0000-0000-0000990E0000}"/>
    <cellStyle name="Comma 46 6 4" xfId="3743" xr:uid="{00000000-0005-0000-0000-00009A0E0000}"/>
    <cellStyle name="Comma 46 6 4 2" xfId="3744" xr:uid="{00000000-0005-0000-0000-00009B0E0000}"/>
    <cellStyle name="Comma 46 6 5" xfId="3745" xr:uid="{00000000-0005-0000-0000-00009C0E0000}"/>
    <cellStyle name="Comma 46 7" xfId="3746" xr:uid="{00000000-0005-0000-0000-00009D0E0000}"/>
    <cellStyle name="Comma 46 7 2" xfId="3747" xr:uid="{00000000-0005-0000-0000-00009E0E0000}"/>
    <cellStyle name="Comma 46 7 2 2" xfId="3748" xr:uid="{00000000-0005-0000-0000-00009F0E0000}"/>
    <cellStyle name="Comma 46 7 2 2 2" xfId="3749" xr:uid="{00000000-0005-0000-0000-0000A00E0000}"/>
    <cellStyle name="Comma 46 7 2 3" xfId="3750" xr:uid="{00000000-0005-0000-0000-0000A10E0000}"/>
    <cellStyle name="Comma 46 7 3" xfId="3751" xr:uid="{00000000-0005-0000-0000-0000A20E0000}"/>
    <cellStyle name="Comma 46 7 3 2" xfId="3752" xr:uid="{00000000-0005-0000-0000-0000A30E0000}"/>
    <cellStyle name="Comma 46 7 4" xfId="3753" xr:uid="{00000000-0005-0000-0000-0000A40E0000}"/>
    <cellStyle name="Comma 46 8" xfId="3754" xr:uid="{00000000-0005-0000-0000-0000A50E0000}"/>
    <cellStyle name="Comma 46 8 2" xfId="3755" xr:uid="{00000000-0005-0000-0000-0000A60E0000}"/>
    <cellStyle name="Comma 46 8 2 2" xfId="3756" xr:uid="{00000000-0005-0000-0000-0000A70E0000}"/>
    <cellStyle name="Comma 46 8 2 2 2" xfId="3757" xr:uid="{00000000-0005-0000-0000-0000A80E0000}"/>
    <cellStyle name="Comma 46 8 2 3" xfId="3758" xr:uid="{00000000-0005-0000-0000-0000A90E0000}"/>
    <cellStyle name="Comma 46 8 3" xfId="3759" xr:uid="{00000000-0005-0000-0000-0000AA0E0000}"/>
    <cellStyle name="Comma 46 8 3 2" xfId="3760" xr:uid="{00000000-0005-0000-0000-0000AB0E0000}"/>
    <cellStyle name="Comma 46 8 4" xfId="3761" xr:uid="{00000000-0005-0000-0000-0000AC0E0000}"/>
    <cellStyle name="Comma 46 9" xfId="3762" xr:uid="{00000000-0005-0000-0000-0000AD0E0000}"/>
    <cellStyle name="Comma 46 9 2" xfId="3763" xr:uid="{00000000-0005-0000-0000-0000AE0E0000}"/>
    <cellStyle name="Comma 46 9 2 2" xfId="3764" xr:uid="{00000000-0005-0000-0000-0000AF0E0000}"/>
    <cellStyle name="Comma 46 9 3" xfId="3765" xr:uid="{00000000-0005-0000-0000-0000B00E0000}"/>
    <cellStyle name="Comma 47" xfId="3766" xr:uid="{00000000-0005-0000-0000-0000B10E0000}"/>
    <cellStyle name="Comma 47 10" xfId="3767" xr:uid="{00000000-0005-0000-0000-0000B20E0000}"/>
    <cellStyle name="Comma 47 10 2" xfId="3768" xr:uid="{00000000-0005-0000-0000-0000B30E0000}"/>
    <cellStyle name="Comma 47 11" xfId="3769" xr:uid="{00000000-0005-0000-0000-0000B40E0000}"/>
    <cellStyle name="Comma 47 11 2" xfId="3770" xr:uid="{00000000-0005-0000-0000-0000B50E0000}"/>
    <cellStyle name="Comma 47 12" xfId="3771" xr:uid="{00000000-0005-0000-0000-0000B60E0000}"/>
    <cellStyle name="Comma 47 2" xfId="3772" xr:uid="{00000000-0005-0000-0000-0000B70E0000}"/>
    <cellStyle name="Comma 47 2 2" xfId="3773" xr:uid="{00000000-0005-0000-0000-0000B80E0000}"/>
    <cellStyle name="Comma 47 2 2 2" xfId="3774" xr:uid="{00000000-0005-0000-0000-0000B90E0000}"/>
    <cellStyle name="Comma 47 2 2 2 2" xfId="3775" xr:uid="{00000000-0005-0000-0000-0000BA0E0000}"/>
    <cellStyle name="Comma 47 2 2 3" xfId="3776" xr:uid="{00000000-0005-0000-0000-0000BB0E0000}"/>
    <cellStyle name="Comma 47 2 3" xfId="3777" xr:uid="{00000000-0005-0000-0000-0000BC0E0000}"/>
    <cellStyle name="Comma 47 2 3 2" xfId="3778" xr:uid="{00000000-0005-0000-0000-0000BD0E0000}"/>
    <cellStyle name="Comma 47 2 4" xfId="3779" xr:uid="{00000000-0005-0000-0000-0000BE0E0000}"/>
    <cellStyle name="Comma 47 2 4 2" xfId="3780" xr:uid="{00000000-0005-0000-0000-0000BF0E0000}"/>
    <cellStyle name="Comma 47 2 5" xfId="3781" xr:uid="{00000000-0005-0000-0000-0000C00E0000}"/>
    <cellStyle name="Comma 47 3" xfId="3782" xr:uid="{00000000-0005-0000-0000-0000C10E0000}"/>
    <cellStyle name="Comma 47 3 2" xfId="3783" xr:uid="{00000000-0005-0000-0000-0000C20E0000}"/>
    <cellStyle name="Comma 47 3 2 2" xfId="3784" xr:uid="{00000000-0005-0000-0000-0000C30E0000}"/>
    <cellStyle name="Comma 47 3 2 2 2" xfId="3785" xr:uid="{00000000-0005-0000-0000-0000C40E0000}"/>
    <cellStyle name="Comma 47 3 2 3" xfId="3786" xr:uid="{00000000-0005-0000-0000-0000C50E0000}"/>
    <cellStyle name="Comma 47 3 3" xfId="3787" xr:uid="{00000000-0005-0000-0000-0000C60E0000}"/>
    <cellStyle name="Comma 47 3 3 2" xfId="3788" xr:uid="{00000000-0005-0000-0000-0000C70E0000}"/>
    <cellStyle name="Comma 47 3 4" xfId="3789" xr:uid="{00000000-0005-0000-0000-0000C80E0000}"/>
    <cellStyle name="Comma 47 3 4 2" xfId="3790" xr:uid="{00000000-0005-0000-0000-0000C90E0000}"/>
    <cellStyle name="Comma 47 3 5" xfId="3791" xr:uid="{00000000-0005-0000-0000-0000CA0E0000}"/>
    <cellStyle name="Comma 47 4" xfId="3792" xr:uid="{00000000-0005-0000-0000-0000CB0E0000}"/>
    <cellStyle name="Comma 47 4 2" xfId="3793" xr:uid="{00000000-0005-0000-0000-0000CC0E0000}"/>
    <cellStyle name="Comma 47 4 2 2" xfId="3794" xr:uid="{00000000-0005-0000-0000-0000CD0E0000}"/>
    <cellStyle name="Comma 47 4 2 2 2" xfId="3795" xr:uid="{00000000-0005-0000-0000-0000CE0E0000}"/>
    <cellStyle name="Comma 47 4 2 3" xfId="3796" xr:uid="{00000000-0005-0000-0000-0000CF0E0000}"/>
    <cellStyle name="Comma 47 4 3" xfId="3797" xr:uid="{00000000-0005-0000-0000-0000D00E0000}"/>
    <cellStyle name="Comma 47 4 3 2" xfId="3798" xr:uid="{00000000-0005-0000-0000-0000D10E0000}"/>
    <cellStyle name="Comma 47 4 4" xfId="3799" xr:uid="{00000000-0005-0000-0000-0000D20E0000}"/>
    <cellStyle name="Comma 47 4 4 2" xfId="3800" xr:uid="{00000000-0005-0000-0000-0000D30E0000}"/>
    <cellStyle name="Comma 47 4 5" xfId="3801" xr:uid="{00000000-0005-0000-0000-0000D40E0000}"/>
    <cellStyle name="Comma 47 5" xfId="3802" xr:uid="{00000000-0005-0000-0000-0000D50E0000}"/>
    <cellStyle name="Comma 47 5 2" xfId="3803" xr:uid="{00000000-0005-0000-0000-0000D60E0000}"/>
    <cellStyle name="Comma 47 5 2 2" xfId="3804" xr:uid="{00000000-0005-0000-0000-0000D70E0000}"/>
    <cellStyle name="Comma 47 5 2 2 2" xfId="3805" xr:uid="{00000000-0005-0000-0000-0000D80E0000}"/>
    <cellStyle name="Comma 47 5 2 3" xfId="3806" xr:uid="{00000000-0005-0000-0000-0000D90E0000}"/>
    <cellStyle name="Comma 47 5 3" xfId="3807" xr:uid="{00000000-0005-0000-0000-0000DA0E0000}"/>
    <cellStyle name="Comma 47 5 3 2" xfId="3808" xr:uid="{00000000-0005-0000-0000-0000DB0E0000}"/>
    <cellStyle name="Comma 47 5 4" xfId="3809" xr:uid="{00000000-0005-0000-0000-0000DC0E0000}"/>
    <cellStyle name="Comma 47 5 4 2" xfId="3810" xr:uid="{00000000-0005-0000-0000-0000DD0E0000}"/>
    <cellStyle name="Comma 47 5 5" xfId="3811" xr:uid="{00000000-0005-0000-0000-0000DE0E0000}"/>
    <cellStyle name="Comma 47 6" xfId="3812" xr:uid="{00000000-0005-0000-0000-0000DF0E0000}"/>
    <cellStyle name="Comma 47 6 2" xfId="3813" xr:uid="{00000000-0005-0000-0000-0000E00E0000}"/>
    <cellStyle name="Comma 47 6 2 2" xfId="3814" xr:uid="{00000000-0005-0000-0000-0000E10E0000}"/>
    <cellStyle name="Comma 47 6 2 2 2" xfId="3815" xr:uid="{00000000-0005-0000-0000-0000E20E0000}"/>
    <cellStyle name="Comma 47 6 2 3" xfId="3816" xr:uid="{00000000-0005-0000-0000-0000E30E0000}"/>
    <cellStyle name="Comma 47 6 3" xfId="3817" xr:uid="{00000000-0005-0000-0000-0000E40E0000}"/>
    <cellStyle name="Comma 47 6 3 2" xfId="3818" xr:uid="{00000000-0005-0000-0000-0000E50E0000}"/>
    <cellStyle name="Comma 47 6 4" xfId="3819" xr:uid="{00000000-0005-0000-0000-0000E60E0000}"/>
    <cellStyle name="Comma 47 6 4 2" xfId="3820" xr:uid="{00000000-0005-0000-0000-0000E70E0000}"/>
    <cellStyle name="Comma 47 6 5" xfId="3821" xr:uid="{00000000-0005-0000-0000-0000E80E0000}"/>
    <cellStyle name="Comma 47 7" xfId="3822" xr:uid="{00000000-0005-0000-0000-0000E90E0000}"/>
    <cellStyle name="Comma 47 7 2" xfId="3823" xr:uid="{00000000-0005-0000-0000-0000EA0E0000}"/>
    <cellStyle name="Comma 47 7 2 2" xfId="3824" xr:uid="{00000000-0005-0000-0000-0000EB0E0000}"/>
    <cellStyle name="Comma 47 7 2 2 2" xfId="3825" xr:uid="{00000000-0005-0000-0000-0000EC0E0000}"/>
    <cellStyle name="Comma 47 7 2 3" xfId="3826" xr:uid="{00000000-0005-0000-0000-0000ED0E0000}"/>
    <cellStyle name="Comma 47 7 3" xfId="3827" xr:uid="{00000000-0005-0000-0000-0000EE0E0000}"/>
    <cellStyle name="Comma 47 7 3 2" xfId="3828" xr:uid="{00000000-0005-0000-0000-0000EF0E0000}"/>
    <cellStyle name="Comma 47 7 4" xfId="3829" xr:uid="{00000000-0005-0000-0000-0000F00E0000}"/>
    <cellStyle name="Comma 47 8" xfId="3830" xr:uid="{00000000-0005-0000-0000-0000F10E0000}"/>
    <cellStyle name="Comma 47 8 2" xfId="3831" xr:uid="{00000000-0005-0000-0000-0000F20E0000}"/>
    <cellStyle name="Comma 47 8 2 2" xfId="3832" xr:uid="{00000000-0005-0000-0000-0000F30E0000}"/>
    <cellStyle name="Comma 47 8 2 2 2" xfId="3833" xr:uid="{00000000-0005-0000-0000-0000F40E0000}"/>
    <cellStyle name="Comma 47 8 2 3" xfId="3834" xr:uid="{00000000-0005-0000-0000-0000F50E0000}"/>
    <cellStyle name="Comma 47 8 3" xfId="3835" xr:uid="{00000000-0005-0000-0000-0000F60E0000}"/>
    <cellStyle name="Comma 47 8 3 2" xfId="3836" xr:uid="{00000000-0005-0000-0000-0000F70E0000}"/>
    <cellStyle name="Comma 47 8 4" xfId="3837" xr:uid="{00000000-0005-0000-0000-0000F80E0000}"/>
    <cellStyle name="Comma 47 9" xfId="3838" xr:uid="{00000000-0005-0000-0000-0000F90E0000}"/>
    <cellStyle name="Comma 47 9 2" xfId="3839" xr:uid="{00000000-0005-0000-0000-0000FA0E0000}"/>
    <cellStyle name="Comma 47 9 2 2" xfId="3840" xr:uid="{00000000-0005-0000-0000-0000FB0E0000}"/>
    <cellStyle name="Comma 47 9 3" xfId="3841" xr:uid="{00000000-0005-0000-0000-0000FC0E0000}"/>
    <cellStyle name="Comma 48" xfId="3842" xr:uid="{00000000-0005-0000-0000-0000FD0E0000}"/>
    <cellStyle name="Comma 48 10" xfId="3843" xr:uid="{00000000-0005-0000-0000-0000FE0E0000}"/>
    <cellStyle name="Comma 48 10 2" xfId="3844" xr:uid="{00000000-0005-0000-0000-0000FF0E0000}"/>
    <cellStyle name="Comma 48 11" xfId="3845" xr:uid="{00000000-0005-0000-0000-0000000F0000}"/>
    <cellStyle name="Comma 48 11 2" xfId="3846" xr:uid="{00000000-0005-0000-0000-0000010F0000}"/>
    <cellStyle name="Comma 48 12" xfId="3847" xr:uid="{00000000-0005-0000-0000-0000020F0000}"/>
    <cellStyle name="Comma 48 2" xfId="3848" xr:uid="{00000000-0005-0000-0000-0000030F0000}"/>
    <cellStyle name="Comma 48 2 2" xfId="3849" xr:uid="{00000000-0005-0000-0000-0000040F0000}"/>
    <cellStyle name="Comma 48 2 2 2" xfId="3850" xr:uid="{00000000-0005-0000-0000-0000050F0000}"/>
    <cellStyle name="Comma 48 2 2 2 2" xfId="3851" xr:uid="{00000000-0005-0000-0000-0000060F0000}"/>
    <cellStyle name="Comma 48 2 2 3" xfId="3852" xr:uid="{00000000-0005-0000-0000-0000070F0000}"/>
    <cellStyle name="Comma 48 2 3" xfId="3853" xr:uid="{00000000-0005-0000-0000-0000080F0000}"/>
    <cellStyle name="Comma 48 2 3 2" xfId="3854" xr:uid="{00000000-0005-0000-0000-0000090F0000}"/>
    <cellStyle name="Comma 48 2 4" xfId="3855" xr:uid="{00000000-0005-0000-0000-00000A0F0000}"/>
    <cellStyle name="Comma 48 2 4 2" xfId="3856" xr:uid="{00000000-0005-0000-0000-00000B0F0000}"/>
    <cellStyle name="Comma 48 2 5" xfId="3857" xr:uid="{00000000-0005-0000-0000-00000C0F0000}"/>
    <cellStyle name="Comma 48 3" xfId="3858" xr:uid="{00000000-0005-0000-0000-00000D0F0000}"/>
    <cellStyle name="Comma 48 3 2" xfId="3859" xr:uid="{00000000-0005-0000-0000-00000E0F0000}"/>
    <cellStyle name="Comma 48 3 2 2" xfId="3860" xr:uid="{00000000-0005-0000-0000-00000F0F0000}"/>
    <cellStyle name="Comma 48 3 2 2 2" xfId="3861" xr:uid="{00000000-0005-0000-0000-0000100F0000}"/>
    <cellStyle name="Comma 48 3 2 3" xfId="3862" xr:uid="{00000000-0005-0000-0000-0000110F0000}"/>
    <cellStyle name="Comma 48 3 3" xfId="3863" xr:uid="{00000000-0005-0000-0000-0000120F0000}"/>
    <cellStyle name="Comma 48 3 3 2" xfId="3864" xr:uid="{00000000-0005-0000-0000-0000130F0000}"/>
    <cellStyle name="Comma 48 3 4" xfId="3865" xr:uid="{00000000-0005-0000-0000-0000140F0000}"/>
    <cellStyle name="Comma 48 3 4 2" xfId="3866" xr:uid="{00000000-0005-0000-0000-0000150F0000}"/>
    <cellStyle name="Comma 48 3 5" xfId="3867" xr:uid="{00000000-0005-0000-0000-0000160F0000}"/>
    <cellStyle name="Comma 48 4" xfId="3868" xr:uid="{00000000-0005-0000-0000-0000170F0000}"/>
    <cellStyle name="Comma 48 4 2" xfId="3869" xr:uid="{00000000-0005-0000-0000-0000180F0000}"/>
    <cellStyle name="Comma 48 4 2 2" xfId="3870" xr:uid="{00000000-0005-0000-0000-0000190F0000}"/>
    <cellStyle name="Comma 48 4 2 2 2" xfId="3871" xr:uid="{00000000-0005-0000-0000-00001A0F0000}"/>
    <cellStyle name="Comma 48 4 2 3" xfId="3872" xr:uid="{00000000-0005-0000-0000-00001B0F0000}"/>
    <cellStyle name="Comma 48 4 3" xfId="3873" xr:uid="{00000000-0005-0000-0000-00001C0F0000}"/>
    <cellStyle name="Comma 48 4 3 2" xfId="3874" xr:uid="{00000000-0005-0000-0000-00001D0F0000}"/>
    <cellStyle name="Comma 48 4 4" xfId="3875" xr:uid="{00000000-0005-0000-0000-00001E0F0000}"/>
    <cellStyle name="Comma 48 4 4 2" xfId="3876" xr:uid="{00000000-0005-0000-0000-00001F0F0000}"/>
    <cellStyle name="Comma 48 4 5" xfId="3877" xr:uid="{00000000-0005-0000-0000-0000200F0000}"/>
    <cellStyle name="Comma 48 5" xfId="3878" xr:uid="{00000000-0005-0000-0000-0000210F0000}"/>
    <cellStyle name="Comma 48 5 2" xfId="3879" xr:uid="{00000000-0005-0000-0000-0000220F0000}"/>
    <cellStyle name="Comma 48 5 2 2" xfId="3880" xr:uid="{00000000-0005-0000-0000-0000230F0000}"/>
    <cellStyle name="Comma 48 5 2 2 2" xfId="3881" xr:uid="{00000000-0005-0000-0000-0000240F0000}"/>
    <cellStyle name="Comma 48 5 2 3" xfId="3882" xr:uid="{00000000-0005-0000-0000-0000250F0000}"/>
    <cellStyle name="Comma 48 5 3" xfId="3883" xr:uid="{00000000-0005-0000-0000-0000260F0000}"/>
    <cellStyle name="Comma 48 5 3 2" xfId="3884" xr:uid="{00000000-0005-0000-0000-0000270F0000}"/>
    <cellStyle name="Comma 48 5 4" xfId="3885" xr:uid="{00000000-0005-0000-0000-0000280F0000}"/>
    <cellStyle name="Comma 48 5 4 2" xfId="3886" xr:uid="{00000000-0005-0000-0000-0000290F0000}"/>
    <cellStyle name="Comma 48 5 5" xfId="3887" xr:uid="{00000000-0005-0000-0000-00002A0F0000}"/>
    <cellStyle name="Comma 48 6" xfId="3888" xr:uid="{00000000-0005-0000-0000-00002B0F0000}"/>
    <cellStyle name="Comma 48 6 2" xfId="3889" xr:uid="{00000000-0005-0000-0000-00002C0F0000}"/>
    <cellStyle name="Comma 48 6 2 2" xfId="3890" xr:uid="{00000000-0005-0000-0000-00002D0F0000}"/>
    <cellStyle name="Comma 48 6 2 2 2" xfId="3891" xr:uid="{00000000-0005-0000-0000-00002E0F0000}"/>
    <cellStyle name="Comma 48 6 2 3" xfId="3892" xr:uid="{00000000-0005-0000-0000-00002F0F0000}"/>
    <cellStyle name="Comma 48 6 3" xfId="3893" xr:uid="{00000000-0005-0000-0000-0000300F0000}"/>
    <cellStyle name="Comma 48 6 3 2" xfId="3894" xr:uid="{00000000-0005-0000-0000-0000310F0000}"/>
    <cellStyle name="Comma 48 6 4" xfId="3895" xr:uid="{00000000-0005-0000-0000-0000320F0000}"/>
    <cellStyle name="Comma 48 6 4 2" xfId="3896" xr:uid="{00000000-0005-0000-0000-0000330F0000}"/>
    <cellStyle name="Comma 48 6 5" xfId="3897" xr:uid="{00000000-0005-0000-0000-0000340F0000}"/>
    <cellStyle name="Comma 48 7" xfId="3898" xr:uid="{00000000-0005-0000-0000-0000350F0000}"/>
    <cellStyle name="Comma 48 7 2" xfId="3899" xr:uid="{00000000-0005-0000-0000-0000360F0000}"/>
    <cellStyle name="Comma 48 7 2 2" xfId="3900" xr:uid="{00000000-0005-0000-0000-0000370F0000}"/>
    <cellStyle name="Comma 48 7 2 2 2" xfId="3901" xr:uid="{00000000-0005-0000-0000-0000380F0000}"/>
    <cellStyle name="Comma 48 7 2 3" xfId="3902" xr:uid="{00000000-0005-0000-0000-0000390F0000}"/>
    <cellStyle name="Comma 48 7 3" xfId="3903" xr:uid="{00000000-0005-0000-0000-00003A0F0000}"/>
    <cellStyle name="Comma 48 7 3 2" xfId="3904" xr:uid="{00000000-0005-0000-0000-00003B0F0000}"/>
    <cellStyle name="Comma 48 7 4" xfId="3905" xr:uid="{00000000-0005-0000-0000-00003C0F0000}"/>
    <cellStyle name="Comma 48 8" xfId="3906" xr:uid="{00000000-0005-0000-0000-00003D0F0000}"/>
    <cellStyle name="Comma 48 8 2" xfId="3907" xr:uid="{00000000-0005-0000-0000-00003E0F0000}"/>
    <cellStyle name="Comma 48 8 2 2" xfId="3908" xr:uid="{00000000-0005-0000-0000-00003F0F0000}"/>
    <cellStyle name="Comma 48 8 2 2 2" xfId="3909" xr:uid="{00000000-0005-0000-0000-0000400F0000}"/>
    <cellStyle name="Comma 48 8 2 3" xfId="3910" xr:uid="{00000000-0005-0000-0000-0000410F0000}"/>
    <cellStyle name="Comma 48 8 3" xfId="3911" xr:uid="{00000000-0005-0000-0000-0000420F0000}"/>
    <cellStyle name="Comma 48 8 3 2" xfId="3912" xr:uid="{00000000-0005-0000-0000-0000430F0000}"/>
    <cellStyle name="Comma 48 8 4" xfId="3913" xr:uid="{00000000-0005-0000-0000-0000440F0000}"/>
    <cellStyle name="Comma 48 9" xfId="3914" xr:uid="{00000000-0005-0000-0000-0000450F0000}"/>
    <cellStyle name="Comma 48 9 2" xfId="3915" xr:uid="{00000000-0005-0000-0000-0000460F0000}"/>
    <cellStyle name="Comma 48 9 2 2" xfId="3916" xr:uid="{00000000-0005-0000-0000-0000470F0000}"/>
    <cellStyle name="Comma 48 9 3" xfId="3917" xr:uid="{00000000-0005-0000-0000-0000480F0000}"/>
    <cellStyle name="Comma 49" xfId="3918" xr:uid="{00000000-0005-0000-0000-0000490F0000}"/>
    <cellStyle name="Comma 49 10" xfId="3919" xr:uid="{00000000-0005-0000-0000-00004A0F0000}"/>
    <cellStyle name="Comma 49 10 2" xfId="3920" xr:uid="{00000000-0005-0000-0000-00004B0F0000}"/>
    <cellStyle name="Comma 49 11" xfId="3921" xr:uid="{00000000-0005-0000-0000-00004C0F0000}"/>
    <cellStyle name="Comma 49 11 2" xfId="3922" xr:uid="{00000000-0005-0000-0000-00004D0F0000}"/>
    <cellStyle name="Comma 49 12" xfId="3923" xr:uid="{00000000-0005-0000-0000-00004E0F0000}"/>
    <cellStyle name="Comma 49 2" xfId="3924" xr:uid="{00000000-0005-0000-0000-00004F0F0000}"/>
    <cellStyle name="Comma 49 2 2" xfId="3925" xr:uid="{00000000-0005-0000-0000-0000500F0000}"/>
    <cellStyle name="Comma 49 2 2 2" xfId="3926" xr:uid="{00000000-0005-0000-0000-0000510F0000}"/>
    <cellStyle name="Comma 49 2 2 2 2" xfId="3927" xr:uid="{00000000-0005-0000-0000-0000520F0000}"/>
    <cellStyle name="Comma 49 2 2 3" xfId="3928" xr:uid="{00000000-0005-0000-0000-0000530F0000}"/>
    <cellStyle name="Comma 49 2 3" xfId="3929" xr:uid="{00000000-0005-0000-0000-0000540F0000}"/>
    <cellStyle name="Comma 49 2 3 2" xfId="3930" xr:uid="{00000000-0005-0000-0000-0000550F0000}"/>
    <cellStyle name="Comma 49 2 4" xfId="3931" xr:uid="{00000000-0005-0000-0000-0000560F0000}"/>
    <cellStyle name="Comma 49 2 4 2" xfId="3932" xr:uid="{00000000-0005-0000-0000-0000570F0000}"/>
    <cellStyle name="Comma 49 2 5" xfId="3933" xr:uid="{00000000-0005-0000-0000-0000580F0000}"/>
    <cellStyle name="Comma 49 3" xfId="3934" xr:uid="{00000000-0005-0000-0000-0000590F0000}"/>
    <cellStyle name="Comma 49 3 2" xfId="3935" xr:uid="{00000000-0005-0000-0000-00005A0F0000}"/>
    <cellStyle name="Comma 49 3 2 2" xfId="3936" xr:uid="{00000000-0005-0000-0000-00005B0F0000}"/>
    <cellStyle name="Comma 49 3 2 2 2" xfId="3937" xr:uid="{00000000-0005-0000-0000-00005C0F0000}"/>
    <cellStyle name="Comma 49 3 2 3" xfId="3938" xr:uid="{00000000-0005-0000-0000-00005D0F0000}"/>
    <cellStyle name="Comma 49 3 3" xfId="3939" xr:uid="{00000000-0005-0000-0000-00005E0F0000}"/>
    <cellStyle name="Comma 49 3 3 2" xfId="3940" xr:uid="{00000000-0005-0000-0000-00005F0F0000}"/>
    <cellStyle name="Comma 49 3 4" xfId="3941" xr:uid="{00000000-0005-0000-0000-0000600F0000}"/>
    <cellStyle name="Comma 49 3 4 2" xfId="3942" xr:uid="{00000000-0005-0000-0000-0000610F0000}"/>
    <cellStyle name="Comma 49 3 5" xfId="3943" xr:uid="{00000000-0005-0000-0000-0000620F0000}"/>
    <cellStyle name="Comma 49 4" xfId="3944" xr:uid="{00000000-0005-0000-0000-0000630F0000}"/>
    <cellStyle name="Comma 49 4 2" xfId="3945" xr:uid="{00000000-0005-0000-0000-0000640F0000}"/>
    <cellStyle name="Comma 49 4 2 2" xfId="3946" xr:uid="{00000000-0005-0000-0000-0000650F0000}"/>
    <cellStyle name="Comma 49 4 2 2 2" xfId="3947" xr:uid="{00000000-0005-0000-0000-0000660F0000}"/>
    <cellStyle name="Comma 49 4 2 3" xfId="3948" xr:uid="{00000000-0005-0000-0000-0000670F0000}"/>
    <cellStyle name="Comma 49 4 3" xfId="3949" xr:uid="{00000000-0005-0000-0000-0000680F0000}"/>
    <cellStyle name="Comma 49 4 3 2" xfId="3950" xr:uid="{00000000-0005-0000-0000-0000690F0000}"/>
    <cellStyle name="Comma 49 4 4" xfId="3951" xr:uid="{00000000-0005-0000-0000-00006A0F0000}"/>
    <cellStyle name="Comma 49 4 4 2" xfId="3952" xr:uid="{00000000-0005-0000-0000-00006B0F0000}"/>
    <cellStyle name="Comma 49 4 5" xfId="3953" xr:uid="{00000000-0005-0000-0000-00006C0F0000}"/>
    <cellStyle name="Comma 49 5" xfId="3954" xr:uid="{00000000-0005-0000-0000-00006D0F0000}"/>
    <cellStyle name="Comma 49 5 2" xfId="3955" xr:uid="{00000000-0005-0000-0000-00006E0F0000}"/>
    <cellStyle name="Comma 49 5 2 2" xfId="3956" xr:uid="{00000000-0005-0000-0000-00006F0F0000}"/>
    <cellStyle name="Comma 49 5 2 2 2" xfId="3957" xr:uid="{00000000-0005-0000-0000-0000700F0000}"/>
    <cellStyle name="Comma 49 5 2 3" xfId="3958" xr:uid="{00000000-0005-0000-0000-0000710F0000}"/>
    <cellStyle name="Comma 49 5 3" xfId="3959" xr:uid="{00000000-0005-0000-0000-0000720F0000}"/>
    <cellStyle name="Comma 49 5 3 2" xfId="3960" xr:uid="{00000000-0005-0000-0000-0000730F0000}"/>
    <cellStyle name="Comma 49 5 4" xfId="3961" xr:uid="{00000000-0005-0000-0000-0000740F0000}"/>
    <cellStyle name="Comma 49 5 4 2" xfId="3962" xr:uid="{00000000-0005-0000-0000-0000750F0000}"/>
    <cellStyle name="Comma 49 5 5" xfId="3963" xr:uid="{00000000-0005-0000-0000-0000760F0000}"/>
    <cellStyle name="Comma 49 6" xfId="3964" xr:uid="{00000000-0005-0000-0000-0000770F0000}"/>
    <cellStyle name="Comma 49 6 2" xfId="3965" xr:uid="{00000000-0005-0000-0000-0000780F0000}"/>
    <cellStyle name="Comma 49 6 2 2" xfId="3966" xr:uid="{00000000-0005-0000-0000-0000790F0000}"/>
    <cellStyle name="Comma 49 6 2 2 2" xfId="3967" xr:uid="{00000000-0005-0000-0000-00007A0F0000}"/>
    <cellStyle name="Comma 49 6 2 3" xfId="3968" xr:uid="{00000000-0005-0000-0000-00007B0F0000}"/>
    <cellStyle name="Comma 49 6 3" xfId="3969" xr:uid="{00000000-0005-0000-0000-00007C0F0000}"/>
    <cellStyle name="Comma 49 6 3 2" xfId="3970" xr:uid="{00000000-0005-0000-0000-00007D0F0000}"/>
    <cellStyle name="Comma 49 6 4" xfId="3971" xr:uid="{00000000-0005-0000-0000-00007E0F0000}"/>
    <cellStyle name="Comma 49 6 4 2" xfId="3972" xr:uid="{00000000-0005-0000-0000-00007F0F0000}"/>
    <cellStyle name="Comma 49 6 5" xfId="3973" xr:uid="{00000000-0005-0000-0000-0000800F0000}"/>
    <cellStyle name="Comma 49 7" xfId="3974" xr:uid="{00000000-0005-0000-0000-0000810F0000}"/>
    <cellStyle name="Comma 49 7 2" xfId="3975" xr:uid="{00000000-0005-0000-0000-0000820F0000}"/>
    <cellStyle name="Comma 49 7 2 2" xfId="3976" xr:uid="{00000000-0005-0000-0000-0000830F0000}"/>
    <cellStyle name="Comma 49 7 2 2 2" xfId="3977" xr:uid="{00000000-0005-0000-0000-0000840F0000}"/>
    <cellStyle name="Comma 49 7 2 3" xfId="3978" xr:uid="{00000000-0005-0000-0000-0000850F0000}"/>
    <cellStyle name="Comma 49 7 3" xfId="3979" xr:uid="{00000000-0005-0000-0000-0000860F0000}"/>
    <cellStyle name="Comma 49 7 3 2" xfId="3980" xr:uid="{00000000-0005-0000-0000-0000870F0000}"/>
    <cellStyle name="Comma 49 7 4" xfId="3981" xr:uid="{00000000-0005-0000-0000-0000880F0000}"/>
    <cellStyle name="Comma 49 8" xfId="3982" xr:uid="{00000000-0005-0000-0000-0000890F0000}"/>
    <cellStyle name="Comma 49 8 2" xfId="3983" xr:uid="{00000000-0005-0000-0000-00008A0F0000}"/>
    <cellStyle name="Comma 49 8 2 2" xfId="3984" xr:uid="{00000000-0005-0000-0000-00008B0F0000}"/>
    <cellStyle name="Comma 49 8 2 2 2" xfId="3985" xr:uid="{00000000-0005-0000-0000-00008C0F0000}"/>
    <cellStyle name="Comma 49 8 2 3" xfId="3986" xr:uid="{00000000-0005-0000-0000-00008D0F0000}"/>
    <cellStyle name="Comma 49 8 3" xfId="3987" xr:uid="{00000000-0005-0000-0000-00008E0F0000}"/>
    <cellStyle name="Comma 49 8 3 2" xfId="3988" xr:uid="{00000000-0005-0000-0000-00008F0F0000}"/>
    <cellStyle name="Comma 49 8 4" xfId="3989" xr:uid="{00000000-0005-0000-0000-0000900F0000}"/>
    <cellStyle name="Comma 49 9" xfId="3990" xr:uid="{00000000-0005-0000-0000-0000910F0000}"/>
    <cellStyle name="Comma 49 9 2" xfId="3991" xr:uid="{00000000-0005-0000-0000-0000920F0000}"/>
    <cellStyle name="Comma 49 9 2 2" xfId="3992" xr:uid="{00000000-0005-0000-0000-0000930F0000}"/>
    <cellStyle name="Comma 49 9 3" xfId="3993" xr:uid="{00000000-0005-0000-0000-0000940F0000}"/>
    <cellStyle name="Comma 5" xfId="3994" xr:uid="{00000000-0005-0000-0000-0000950F0000}"/>
    <cellStyle name="Comma 5 10" xfId="3995" xr:uid="{00000000-0005-0000-0000-0000960F0000}"/>
    <cellStyle name="Comma 5 10 2" xfId="3996" xr:uid="{00000000-0005-0000-0000-0000970F0000}"/>
    <cellStyle name="Comma 5 10 2 2" xfId="3997" xr:uid="{00000000-0005-0000-0000-0000980F0000}"/>
    <cellStyle name="Comma 5 10 2 3" xfId="3998" xr:uid="{00000000-0005-0000-0000-0000990F0000}"/>
    <cellStyle name="Comma 5 10 3" xfId="3999" xr:uid="{00000000-0005-0000-0000-00009A0F0000}"/>
    <cellStyle name="Comma 5 10 4" xfId="4000" xr:uid="{00000000-0005-0000-0000-00009B0F0000}"/>
    <cellStyle name="Comma 5 11" xfId="4001" xr:uid="{00000000-0005-0000-0000-00009C0F0000}"/>
    <cellStyle name="Comma 5 11 2" xfId="4002" xr:uid="{00000000-0005-0000-0000-00009D0F0000}"/>
    <cellStyle name="Comma 5 11 3" xfId="4003" xr:uid="{00000000-0005-0000-0000-00009E0F0000}"/>
    <cellStyle name="Comma 5 12" xfId="4004" xr:uid="{00000000-0005-0000-0000-00009F0F0000}"/>
    <cellStyle name="Comma 5 13" xfId="4005" xr:uid="{00000000-0005-0000-0000-0000A00F0000}"/>
    <cellStyle name="Comma 5 14" xfId="4006" xr:uid="{00000000-0005-0000-0000-0000A10F0000}"/>
    <cellStyle name="Comma 5 15" xfId="4007" xr:uid="{00000000-0005-0000-0000-0000A20F0000}"/>
    <cellStyle name="Comma 5 16" xfId="4008" xr:uid="{00000000-0005-0000-0000-0000A30F0000}"/>
    <cellStyle name="Comma 5 17" xfId="4009" xr:uid="{00000000-0005-0000-0000-0000A40F0000}"/>
    <cellStyle name="Comma 5 18" xfId="4010" xr:uid="{00000000-0005-0000-0000-0000A50F0000}"/>
    <cellStyle name="Comma 5 19" xfId="4011" xr:uid="{00000000-0005-0000-0000-0000A60F0000}"/>
    <cellStyle name="Comma 5 2" xfId="4012" xr:uid="{00000000-0005-0000-0000-0000A70F0000}"/>
    <cellStyle name="Comma 5 2 10" xfId="4013" xr:uid="{00000000-0005-0000-0000-0000A80F0000}"/>
    <cellStyle name="Comma 5 2 2" xfId="4014" xr:uid="{00000000-0005-0000-0000-0000A90F0000}"/>
    <cellStyle name="Comma 5 2 2 2" xfId="4015" xr:uid="{00000000-0005-0000-0000-0000AA0F0000}"/>
    <cellStyle name="Comma 5 2 2 2 2" xfId="4016" xr:uid="{00000000-0005-0000-0000-0000AB0F0000}"/>
    <cellStyle name="Comma 5 2 2 2 2 2" xfId="4017" xr:uid="{00000000-0005-0000-0000-0000AC0F0000}"/>
    <cellStyle name="Comma 5 2 2 2 2 2 2" xfId="4018" xr:uid="{00000000-0005-0000-0000-0000AD0F0000}"/>
    <cellStyle name="Comma 5 2 2 2 2 2 2 2" xfId="4019" xr:uid="{00000000-0005-0000-0000-0000AE0F0000}"/>
    <cellStyle name="Comma 5 2 2 2 2 2 2 3" xfId="4020" xr:uid="{00000000-0005-0000-0000-0000AF0F0000}"/>
    <cellStyle name="Comma 5 2 2 2 2 2 3" xfId="4021" xr:uid="{00000000-0005-0000-0000-0000B00F0000}"/>
    <cellStyle name="Comma 5 2 2 2 2 2 4" xfId="4022" xr:uid="{00000000-0005-0000-0000-0000B10F0000}"/>
    <cellStyle name="Comma 5 2 2 2 2 3" xfId="4023" xr:uid="{00000000-0005-0000-0000-0000B20F0000}"/>
    <cellStyle name="Comma 5 2 2 2 2 3 2" xfId="4024" xr:uid="{00000000-0005-0000-0000-0000B30F0000}"/>
    <cellStyle name="Comma 5 2 2 2 2 3 3" xfId="4025" xr:uid="{00000000-0005-0000-0000-0000B40F0000}"/>
    <cellStyle name="Comma 5 2 2 2 2 4" xfId="4026" xr:uid="{00000000-0005-0000-0000-0000B50F0000}"/>
    <cellStyle name="Comma 5 2 2 2 2 5" xfId="4027" xr:uid="{00000000-0005-0000-0000-0000B60F0000}"/>
    <cellStyle name="Comma 5 2 2 2 3" xfId="4028" xr:uid="{00000000-0005-0000-0000-0000B70F0000}"/>
    <cellStyle name="Comma 5 2 2 2 3 2" xfId="4029" xr:uid="{00000000-0005-0000-0000-0000B80F0000}"/>
    <cellStyle name="Comma 5 2 2 2 3 2 2" xfId="4030" xr:uid="{00000000-0005-0000-0000-0000B90F0000}"/>
    <cellStyle name="Comma 5 2 2 2 3 2 3" xfId="4031" xr:uid="{00000000-0005-0000-0000-0000BA0F0000}"/>
    <cellStyle name="Comma 5 2 2 2 3 3" xfId="4032" xr:uid="{00000000-0005-0000-0000-0000BB0F0000}"/>
    <cellStyle name="Comma 5 2 2 2 3 4" xfId="4033" xr:uid="{00000000-0005-0000-0000-0000BC0F0000}"/>
    <cellStyle name="Comma 5 2 2 2 4" xfId="4034" xr:uid="{00000000-0005-0000-0000-0000BD0F0000}"/>
    <cellStyle name="Comma 5 2 2 2 4 2" xfId="4035" xr:uid="{00000000-0005-0000-0000-0000BE0F0000}"/>
    <cellStyle name="Comma 5 2 2 2 4 3" xfId="4036" xr:uid="{00000000-0005-0000-0000-0000BF0F0000}"/>
    <cellStyle name="Comma 5 2 2 2 5" xfId="4037" xr:uid="{00000000-0005-0000-0000-0000C00F0000}"/>
    <cellStyle name="Comma 5 2 2 2 6" xfId="4038" xr:uid="{00000000-0005-0000-0000-0000C10F0000}"/>
    <cellStyle name="Comma 5 2 2 3" xfId="4039" xr:uid="{00000000-0005-0000-0000-0000C20F0000}"/>
    <cellStyle name="Comma 5 2 2 4" xfId="4040" xr:uid="{00000000-0005-0000-0000-0000C30F0000}"/>
    <cellStyle name="Comma 5 2 2 4 2" xfId="4041" xr:uid="{00000000-0005-0000-0000-0000C40F0000}"/>
    <cellStyle name="Comma 5 2 2 4 2 2" xfId="4042" xr:uid="{00000000-0005-0000-0000-0000C50F0000}"/>
    <cellStyle name="Comma 5 2 2 4 2 2 2" xfId="4043" xr:uid="{00000000-0005-0000-0000-0000C60F0000}"/>
    <cellStyle name="Comma 5 2 2 4 2 2 3" xfId="4044" xr:uid="{00000000-0005-0000-0000-0000C70F0000}"/>
    <cellStyle name="Comma 5 2 2 4 2 3" xfId="4045" xr:uid="{00000000-0005-0000-0000-0000C80F0000}"/>
    <cellStyle name="Comma 5 2 2 4 2 4" xfId="4046" xr:uid="{00000000-0005-0000-0000-0000C90F0000}"/>
    <cellStyle name="Comma 5 2 2 4 3" xfId="4047" xr:uid="{00000000-0005-0000-0000-0000CA0F0000}"/>
    <cellStyle name="Comma 5 2 2 4 3 2" xfId="4048" xr:uid="{00000000-0005-0000-0000-0000CB0F0000}"/>
    <cellStyle name="Comma 5 2 2 4 3 3" xfId="4049" xr:uid="{00000000-0005-0000-0000-0000CC0F0000}"/>
    <cellStyle name="Comma 5 2 2 4 4" xfId="4050" xr:uid="{00000000-0005-0000-0000-0000CD0F0000}"/>
    <cellStyle name="Comma 5 2 2 4 5" xfId="4051" xr:uid="{00000000-0005-0000-0000-0000CE0F0000}"/>
    <cellStyle name="Comma 5 2 2 5" xfId="4052" xr:uid="{00000000-0005-0000-0000-0000CF0F0000}"/>
    <cellStyle name="Comma 5 2 2 5 2" xfId="4053" xr:uid="{00000000-0005-0000-0000-0000D00F0000}"/>
    <cellStyle name="Comma 5 2 2 5 2 2" xfId="4054" xr:uid="{00000000-0005-0000-0000-0000D10F0000}"/>
    <cellStyle name="Comma 5 2 2 5 2 3" xfId="4055" xr:uid="{00000000-0005-0000-0000-0000D20F0000}"/>
    <cellStyle name="Comma 5 2 2 5 3" xfId="4056" xr:uid="{00000000-0005-0000-0000-0000D30F0000}"/>
    <cellStyle name="Comma 5 2 2 5 4" xfId="4057" xr:uid="{00000000-0005-0000-0000-0000D40F0000}"/>
    <cellStyle name="Comma 5 2 2 6" xfId="4058" xr:uid="{00000000-0005-0000-0000-0000D50F0000}"/>
    <cellStyle name="Comma 5 2 2 6 2" xfId="4059" xr:uid="{00000000-0005-0000-0000-0000D60F0000}"/>
    <cellStyle name="Comma 5 2 2 6 3" xfId="4060" xr:uid="{00000000-0005-0000-0000-0000D70F0000}"/>
    <cellStyle name="Comma 5 2 2 7" xfId="4061" xr:uid="{00000000-0005-0000-0000-0000D80F0000}"/>
    <cellStyle name="Comma 5 2 2 8" xfId="4062" xr:uid="{00000000-0005-0000-0000-0000D90F0000}"/>
    <cellStyle name="Comma 5 2 3" xfId="4063" xr:uid="{00000000-0005-0000-0000-0000DA0F0000}"/>
    <cellStyle name="Comma 5 2 4" xfId="4064" xr:uid="{00000000-0005-0000-0000-0000DB0F0000}"/>
    <cellStyle name="Comma 5 2 4 2" xfId="4065" xr:uid="{00000000-0005-0000-0000-0000DC0F0000}"/>
    <cellStyle name="Comma 5 2 4 2 2" xfId="4066" xr:uid="{00000000-0005-0000-0000-0000DD0F0000}"/>
    <cellStyle name="Comma 5 2 4 2 2 2" xfId="4067" xr:uid="{00000000-0005-0000-0000-0000DE0F0000}"/>
    <cellStyle name="Comma 5 2 4 2 2 2 2" xfId="4068" xr:uid="{00000000-0005-0000-0000-0000DF0F0000}"/>
    <cellStyle name="Comma 5 2 4 2 2 2 3" xfId="4069" xr:uid="{00000000-0005-0000-0000-0000E00F0000}"/>
    <cellStyle name="Comma 5 2 4 2 2 3" xfId="4070" xr:uid="{00000000-0005-0000-0000-0000E10F0000}"/>
    <cellStyle name="Comma 5 2 4 2 2 4" xfId="4071" xr:uid="{00000000-0005-0000-0000-0000E20F0000}"/>
    <cellStyle name="Comma 5 2 4 2 3" xfId="4072" xr:uid="{00000000-0005-0000-0000-0000E30F0000}"/>
    <cellStyle name="Comma 5 2 4 2 3 2" xfId="4073" xr:uid="{00000000-0005-0000-0000-0000E40F0000}"/>
    <cellStyle name="Comma 5 2 4 2 3 3" xfId="4074" xr:uid="{00000000-0005-0000-0000-0000E50F0000}"/>
    <cellStyle name="Comma 5 2 4 2 4" xfId="4075" xr:uid="{00000000-0005-0000-0000-0000E60F0000}"/>
    <cellStyle name="Comma 5 2 4 2 5" xfId="4076" xr:uid="{00000000-0005-0000-0000-0000E70F0000}"/>
    <cellStyle name="Comma 5 2 4 3" xfId="4077" xr:uid="{00000000-0005-0000-0000-0000E80F0000}"/>
    <cellStyle name="Comma 5 2 4 3 2" xfId="4078" xr:uid="{00000000-0005-0000-0000-0000E90F0000}"/>
    <cellStyle name="Comma 5 2 4 3 2 2" xfId="4079" xr:uid="{00000000-0005-0000-0000-0000EA0F0000}"/>
    <cellStyle name="Comma 5 2 4 3 2 3" xfId="4080" xr:uid="{00000000-0005-0000-0000-0000EB0F0000}"/>
    <cellStyle name="Comma 5 2 4 3 3" xfId="4081" xr:uid="{00000000-0005-0000-0000-0000EC0F0000}"/>
    <cellStyle name="Comma 5 2 4 3 4" xfId="4082" xr:uid="{00000000-0005-0000-0000-0000ED0F0000}"/>
    <cellStyle name="Comma 5 2 4 4" xfId="4083" xr:uid="{00000000-0005-0000-0000-0000EE0F0000}"/>
    <cellStyle name="Comma 5 2 4 4 2" xfId="4084" xr:uid="{00000000-0005-0000-0000-0000EF0F0000}"/>
    <cellStyle name="Comma 5 2 4 4 3" xfId="4085" xr:uid="{00000000-0005-0000-0000-0000F00F0000}"/>
    <cellStyle name="Comma 5 2 4 5" xfId="4086" xr:uid="{00000000-0005-0000-0000-0000F10F0000}"/>
    <cellStyle name="Comma 5 2 4 6" xfId="4087" xr:uid="{00000000-0005-0000-0000-0000F20F0000}"/>
    <cellStyle name="Comma 5 2 5" xfId="4088" xr:uid="{00000000-0005-0000-0000-0000F30F0000}"/>
    <cellStyle name="Comma 5 2 6" xfId="4089" xr:uid="{00000000-0005-0000-0000-0000F40F0000}"/>
    <cellStyle name="Comma 5 2 6 2" xfId="4090" xr:uid="{00000000-0005-0000-0000-0000F50F0000}"/>
    <cellStyle name="Comma 5 2 6 2 2" xfId="4091" xr:uid="{00000000-0005-0000-0000-0000F60F0000}"/>
    <cellStyle name="Comma 5 2 6 2 2 2" xfId="4092" xr:uid="{00000000-0005-0000-0000-0000F70F0000}"/>
    <cellStyle name="Comma 5 2 6 2 2 3" xfId="4093" xr:uid="{00000000-0005-0000-0000-0000F80F0000}"/>
    <cellStyle name="Comma 5 2 6 2 3" xfId="4094" xr:uid="{00000000-0005-0000-0000-0000F90F0000}"/>
    <cellStyle name="Comma 5 2 6 2 4" xfId="4095" xr:uid="{00000000-0005-0000-0000-0000FA0F0000}"/>
    <cellStyle name="Comma 5 2 6 3" xfId="4096" xr:uid="{00000000-0005-0000-0000-0000FB0F0000}"/>
    <cellStyle name="Comma 5 2 6 3 2" xfId="4097" xr:uid="{00000000-0005-0000-0000-0000FC0F0000}"/>
    <cellStyle name="Comma 5 2 6 3 3" xfId="4098" xr:uid="{00000000-0005-0000-0000-0000FD0F0000}"/>
    <cellStyle name="Comma 5 2 6 4" xfId="4099" xr:uid="{00000000-0005-0000-0000-0000FE0F0000}"/>
    <cellStyle name="Comma 5 2 6 5" xfId="4100" xr:uid="{00000000-0005-0000-0000-0000FF0F0000}"/>
    <cellStyle name="Comma 5 2 7" xfId="4101" xr:uid="{00000000-0005-0000-0000-000000100000}"/>
    <cellStyle name="Comma 5 2 7 2" xfId="4102" xr:uid="{00000000-0005-0000-0000-000001100000}"/>
    <cellStyle name="Comma 5 2 7 2 2" xfId="4103" xr:uid="{00000000-0005-0000-0000-000002100000}"/>
    <cellStyle name="Comma 5 2 7 2 3" xfId="4104" xr:uid="{00000000-0005-0000-0000-000003100000}"/>
    <cellStyle name="Comma 5 2 7 3" xfId="4105" xr:uid="{00000000-0005-0000-0000-000004100000}"/>
    <cellStyle name="Comma 5 2 7 4" xfId="4106" xr:uid="{00000000-0005-0000-0000-000005100000}"/>
    <cellStyle name="Comma 5 2 8" xfId="4107" xr:uid="{00000000-0005-0000-0000-000006100000}"/>
    <cellStyle name="Comma 5 2 8 2" xfId="4108" xr:uid="{00000000-0005-0000-0000-000007100000}"/>
    <cellStyle name="Comma 5 2 8 3" xfId="4109" xr:uid="{00000000-0005-0000-0000-000008100000}"/>
    <cellStyle name="Comma 5 2 9" xfId="4110" xr:uid="{00000000-0005-0000-0000-000009100000}"/>
    <cellStyle name="Comma 5 20" xfId="4111" xr:uid="{00000000-0005-0000-0000-00000A100000}"/>
    <cellStyle name="Comma 5 21" xfId="4112" xr:uid="{00000000-0005-0000-0000-00000B100000}"/>
    <cellStyle name="Comma 5 22" xfId="4113" xr:uid="{00000000-0005-0000-0000-00000C100000}"/>
    <cellStyle name="Comma 5 23" xfId="4114" xr:uid="{00000000-0005-0000-0000-00000D100000}"/>
    <cellStyle name="Comma 5 24" xfId="4115" xr:uid="{00000000-0005-0000-0000-00000E100000}"/>
    <cellStyle name="Comma 5 25" xfId="4116" xr:uid="{00000000-0005-0000-0000-00000F100000}"/>
    <cellStyle name="Comma 5 26" xfId="4117" xr:uid="{00000000-0005-0000-0000-000010100000}"/>
    <cellStyle name="Comma 5 27" xfId="4118" xr:uid="{00000000-0005-0000-0000-000011100000}"/>
    <cellStyle name="Comma 5 28" xfId="4119" xr:uid="{00000000-0005-0000-0000-000012100000}"/>
    <cellStyle name="Comma 5 3" xfId="4120" xr:uid="{00000000-0005-0000-0000-000013100000}"/>
    <cellStyle name="Comma 5 3 2" xfId="4121" xr:uid="{00000000-0005-0000-0000-000014100000}"/>
    <cellStyle name="Comma 5 3 2 2" xfId="4122" xr:uid="{00000000-0005-0000-0000-000015100000}"/>
    <cellStyle name="Comma 5 3 2 2 2" xfId="4123" xr:uid="{00000000-0005-0000-0000-000016100000}"/>
    <cellStyle name="Comma 5 3 2 2 2 2" xfId="4124" xr:uid="{00000000-0005-0000-0000-000017100000}"/>
    <cellStyle name="Comma 5 3 2 2 2 2 2" xfId="4125" xr:uid="{00000000-0005-0000-0000-000018100000}"/>
    <cellStyle name="Comma 5 3 2 2 2 2 3" xfId="4126" xr:uid="{00000000-0005-0000-0000-000019100000}"/>
    <cellStyle name="Comma 5 3 2 2 2 3" xfId="4127" xr:uid="{00000000-0005-0000-0000-00001A100000}"/>
    <cellStyle name="Comma 5 3 2 2 2 4" xfId="4128" xr:uid="{00000000-0005-0000-0000-00001B100000}"/>
    <cellStyle name="Comma 5 3 2 2 3" xfId="4129" xr:uid="{00000000-0005-0000-0000-00001C100000}"/>
    <cellStyle name="Comma 5 3 2 2 3 2" xfId="4130" xr:uid="{00000000-0005-0000-0000-00001D100000}"/>
    <cellStyle name="Comma 5 3 2 2 3 3" xfId="4131" xr:uid="{00000000-0005-0000-0000-00001E100000}"/>
    <cellStyle name="Comma 5 3 2 2 4" xfId="4132" xr:uid="{00000000-0005-0000-0000-00001F100000}"/>
    <cellStyle name="Comma 5 3 2 2 5" xfId="4133" xr:uid="{00000000-0005-0000-0000-000020100000}"/>
    <cellStyle name="Comma 5 3 2 3" xfId="4134" xr:uid="{00000000-0005-0000-0000-000021100000}"/>
    <cellStyle name="Comma 5 3 2 3 2" xfId="4135" xr:uid="{00000000-0005-0000-0000-000022100000}"/>
    <cellStyle name="Comma 5 3 2 3 2 2" xfId="4136" xr:uid="{00000000-0005-0000-0000-000023100000}"/>
    <cellStyle name="Comma 5 3 2 3 2 3" xfId="4137" xr:uid="{00000000-0005-0000-0000-000024100000}"/>
    <cellStyle name="Comma 5 3 2 3 3" xfId="4138" xr:uid="{00000000-0005-0000-0000-000025100000}"/>
    <cellStyle name="Comma 5 3 2 3 4" xfId="4139" xr:uid="{00000000-0005-0000-0000-000026100000}"/>
    <cellStyle name="Comma 5 3 2 4" xfId="4140" xr:uid="{00000000-0005-0000-0000-000027100000}"/>
    <cellStyle name="Comma 5 3 2 4 2" xfId="4141" xr:uid="{00000000-0005-0000-0000-000028100000}"/>
    <cellStyle name="Comma 5 3 2 4 3" xfId="4142" xr:uid="{00000000-0005-0000-0000-000029100000}"/>
    <cellStyle name="Comma 5 3 2 5" xfId="4143" xr:uid="{00000000-0005-0000-0000-00002A100000}"/>
    <cellStyle name="Comma 5 3 2 6" xfId="4144" xr:uid="{00000000-0005-0000-0000-00002B100000}"/>
    <cellStyle name="Comma 5 3 3" xfId="4145" xr:uid="{00000000-0005-0000-0000-00002C100000}"/>
    <cellStyle name="Comma 5 3 4" xfId="4146" xr:uid="{00000000-0005-0000-0000-00002D100000}"/>
    <cellStyle name="Comma 5 3 4 2" xfId="4147" xr:uid="{00000000-0005-0000-0000-00002E100000}"/>
    <cellStyle name="Comma 5 3 4 2 2" xfId="4148" xr:uid="{00000000-0005-0000-0000-00002F100000}"/>
    <cellStyle name="Comma 5 3 4 2 2 2" xfId="4149" xr:uid="{00000000-0005-0000-0000-000030100000}"/>
    <cellStyle name="Comma 5 3 4 2 2 3" xfId="4150" xr:uid="{00000000-0005-0000-0000-000031100000}"/>
    <cellStyle name="Comma 5 3 4 2 3" xfId="4151" xr:uid="{00000000-0005-0000-0000-000032100000}"/>
    <cellStyle name="Comma 5 3 4 2 4" xfId="4152" xr:uid="{00000000-0005-0000-0000-000033100000}"/>
    <cellStyle name="Comma 5 3 4 3" xfId="4153" xr:uid="{00000000-0005-0000-0000-000034100000}"/>
    <cellStyle name="Comma 5 3 4 3 2" xfId="4154" xr:uid="{00000000-0005-0000-0000-000035100000}"/>
    <cellStyle name="Comma 5 3 4 3 3" xfId="4155" xr:uid="{00000000-0005-0000-0000-000036100000}"/>
    <cellStyle name="Comma 5 3 4 4" xfId="4156" xr:uid="{00000000-0005-0000-0000-000037100000}"/>
    <cellStyle name="Comma 5 3 4 5" xfId="4157" xr:uid="{00000000-0005-0000-0000-000038100000}"/>
    <cellStyle name="Comma 5 3 5" xfId="4158" xr:uid="{00000000-0005-0000-0000-000039100000}"/>
    <cellStyle name="Comma 5 3 5 2" xfId="4159" xr:uid="{00000000-0005-0000-0000-00003A100000}"/>
    <cellStyle name="Comma 5 3 5 2 2" xfId="4160" xr:uid="{00000000-0005-0000-0000-00003B100000}"/>
    <cellStyle name="Comma 5 3 5 2 3" xfId="4161" xr:uid="{00000000-0005-0000-0000-00003C100000}"/>
    <cellStyle name="Comma 5 3 5 3" xfId="4162" xr:uid="{00000000-0005-0000-0000-00003D100000}"/>
    <cellStyle name="Comma 5 3 5 4" xfId="4163" xr:uid="{00000000-0005-0000-0000-00003E100000}"/>
    <cellStyle name="Comma 5 3 6" xfId="4164" xr:uid="{00000000-0005-0000-0000-00003F100000}"/>
    <cellStyle name="Comma 5 3 6 2" xfId="4165" xr:uid="{00000000-0005-0000-0000-000040100000}"/>
    <cellStyle name="Comma 5 3 6 3" xfId="4166" xr:uid="{00000000-0005-0000-0000-000041100000}"/>
    <cellStyle name="Comma 5 3 7" xfId="4167" xr:uid="{00000000-0005-0000-0000-000042100000}"/>
    <cellStyle name="Comma 5 3 8" xfId="4168" xr:uid="{00000000-0005-0000-0000-000043100000}"/>
    <cellStyle name="Comma 5 4" xfId="4169" xr:uid="{00000000-0005-0000-0000-000044100000}"/>
    <cellStyle name="Comma 5 5" xfId="4170" xr:uid="{00000000-0005-0000-0000-000045100000}"/>
    <cellStyle name="Comma 5 5 2" xfId="4171" xr:uid="{00000000-0005-0000-0000-000046100000}"/>
    <cellStyle name="Comma 5 5 3" xfId="4172" xr:uid="{00000000-0005-0000-0000-000047100000}"/>
    <cellStyle name="Comma 5 6" xfId="4173" xr:uid="{00000000-0005-0000-0000-000048100000}"/>
    <cellStyle name="Comma 5 7" xfId="4174" xr:uid="{00000000-0005-0000-0000-000049100000}"/>
    <cellStyle name="Comma 5 7 2" xfId="4175" xr:uid="{00000000-0005-0000-0000-00004A100000}"/>
    <cellStyle name="Comma 5 7 2 2" xfId="4176" xr:uid="{00000000-0005-0000-0000-00004B100000}"/>
    <cellStyle name="Comma 5 7 2 2 2" xfId="4177" xr:uid="{00000000-0005-0000-0000-00004C100000}"/>
    <cellStyle name="Comma 5 7 2 2 2 2" xfId="4178" xr:uid="{00000000-0005-0000-0000-00004D100000}"/>
    <cellStyle name="Comma 5 7 2 2 2 3" xfId="4179" xr:uid="{00000000-0005-0000-0000-00004E100000}"/>
    <cellStyle name="Comma 5 7 2 2 3" xfId="4180" xr:uid="{00000000-0005-0000-0000-00004F100000}"/>
    <cellStyle name="Comma 5 7 2 2 4" xfId="4181" xr:uid="{00000000-0005-0000-0000-000050100000}"/>
    <cellStyle name="Comma 5 7 2 3" xfId="4182" xr:uid="{00000000-0005-0000-0000-000051100000}"/>
    <cellStyle name="Comma 5 7 2 3 2" xfId="4183" xr:uid="{00000000-0005-0000-0000-000052100000}"/>
    <cellStyle name="Comma 5 7 2 3 3" xfId="4184" xr:uid="{00000000-0005-0000-0000-000053100000}"/>
    <cellStyle name="Comma 5 7 2 4" xfId="4185" xr:uid="{00000000-0005-0000-0000-000054100000}"/>
    <cellStyle name="Comma 5 7 2 5" xfId="4186" xr:uid="{00000000-0005-0000-0000-000055100000}"/>
    <cellStyle name="Comma 5 7 3" xfId="4187" xr:uid="{00000000-0005-0000-0000-000056100000}"/>
    <cellStyle name="Comma 5 7 3 2" xfId="4188" xr:uid="{00000000-0005-0000-0000-000057100000}"/>
    <cellStyle name="Comma 5 7 3 2 2" xfId="4189" xr:uid="{00000000-0005-0000-0000-000058100000}"/>
    <cellStyle name="Comma 5 7 3 2 3" xfId="4190" xr:uid="{00000000-0005-0000-0000-000059100000}"/>
    <cellStyle name="Comma 5 7 3 3" xfId="4191" xr:uid="{00000000-0005-0000-0000-00005A100000}"/>
    <cellStyle name="Comma 5 7 3 4" xfId="4192" xr:uid="{00000000-0005-0000-0000-00005B100000}"/>
    <cellStyle name="Comma 5 7 4" xfId="4193" xr:uid="{00000000-0005-0000-0000-00005C100000}"/>
    <cellStyle name="Comma 5 7 4 2" xfId="4194" xr:uid="{00000000-0005-0000-0000-00005D100000}"/>
    <cellStyle name="Comma 5 7 4 3" xfId="4195" xr:uid="{00000000-0005-0000-0000-00005E100000}"/>
    <cellStyle name="Comma 5 7 5" xfId="4196" xr:uid="{00000000-0005-0000-0000-00005F100000}"/>
    <cellStyle name="Comma 5 7 6" xfId="4197" xr:uid="{00000000-0005-0000-0000-000060100000}"/>
    <cellStyle name="Comma 5 8" xfId="4198" xr:uid="{00000000-0005-0000-0000-000061100000}"/>
    <cellStyle name="Comma 5 9" xfId="4199" xr:uid="{00000000-0005-0000-0000-000062100000}"/>
    <cellStyle name="Comma 5 9 2" xfId="4200" xr:uid="{00000000-0005-0000-0000-000063100000}"/>
    <cellStyle name="Comma 5 9 2 2" xfId="4201" xr:uid="{00000000-0005-0000-0000-000064100000}"/>
    <cellStyle name="Comma 5 9 2 2 2" xfId="4202" xr:uid="{00000000-0005-0000-0000-000065100000}"/>
    <cellStyle name="Comma 5 9 2 2 3" xfId="4203" xr:uid="{00000000-0005-0000-0000-000066100000}"/>
    <cellStyle name="Comma 5 9 2 3" xfId="4204" xr:uid="{00000000-0005-0000-0000-000067100000}"/>
    <cellStyle name="Comma 5 9 2 4" xfId="4205" xr:uid="{00000000-0005-0000-0000-000068100000}"/>
    <cellStyle name="Comma 5 9 3" xfId="4206" xr:uid="{00000000-0005-0000-0000-000069100000}"/>
    <cellStyle name="Comma 5 9 3 2" xfId="4207" xr:uid="{00000000-0005-0000-0000-00006A100000}"/>
    <cellStyle name="Comma 5 9 3 3" xfId="4208" xr:uid="{00000000-0005-0000-0000-00006B100000}"/>
    <cellStyle name="Comma 5 9 4" xfId="4209" xr:uid="{00000000-0005-0000-0000-00006C100000}"/>
    <cellStyle name="Comma 5 9 5" xfId="4210" xr:uid="{00000000-0005-0000-0000-00006D100000}"/>
    <cellStyle name="Comma 50" xfId="4211" xr:uid="{00000000-0005-0000-0000-00006E100000}"/>
    <cellStyle name="Comma 50 10" xfId="4212" xr:uid="{00000000-0005-0000-0000-00006F100000}"/>
    <cellStyle name="Comma 50 10 2" xfId="4213" xr:uid="{00000000-0005-0000-0000-000070100000}"/>
    <cellStyle name="Comma 50 11" xfId="4214" xr:uid="{00000000-0005-0000-0000-000071100000}"/>
    <cellStyle name="Comma 50 11 2" xfId="4215" xr:uid="{00000000-0005-0000-0000-000072100000}"/>
    <cellStyle name="Comma 50 12" xfId="4216" xr:uid="{00000000-0005-0000-0000-000073100000}"/>
    <cellStyle name="Comma 50 2" xfId="4217" xr:uid="{00000000-0005-0000-0000-000074100000}"/>
    <cellStyle name="Comma 50 2 2" xfId="4218" xr:uid="{00000000-0005-0000-0000-000075100000}"/>
    <cellStyle name="Comma 50 2 2 2" xfId="4219" xr:uid="{00000000-0005-0000-0000-000076100000}"/>
    <cellStyle name="Comma 50 2 2 2 2" xfId="4220" xr:uid="{00000000-0005-0000-0000-000077100000}"/>
    <cellStyle name="Comma 50 2 2 3" xfId="4221" xr:uid="{00000000-0005-0000-0000-000078100000}"/>
    <cellStyle name="Comma 50 2 3" xfId="4222" xr:uid="{00000000-0005-0000-0000-000079100000}"/>
    <cellStyle name="Comma 50 2 3 2" xfId="4223" xr:uid="{00000000-0005-0000-0000-00007A100000}"/>
    <cellStyle name="Comma 50 2 4" xfId="4224" xr:uid="{00000000-0005-0000-0000-00007B100000}"/>
    <cellStyle name="Comma 50 2 4 2" xfId="4225" xr:uid="{00000000-0005-0000-0000-00007C100000}"/>
    <cellStyle name="Comma 50 2 5" xfId="4226" xr:uid="{00000000-0005-0000-0000-00007D100000}"/>
    <cellStyle name="Comma 50 3" xfId="4227" xr:uid="{00000000-0005-0000-0000-00007E100000}"/>
    <cellStyle name="Comma 50 3 2" xfId="4228" xr:uid="{00000000-0005-0000-0000-00007F100000}"/>
    <cellStyle name="Comma 50 3 2 2" xfId="4229" xr:uid="{00000000-0005-0000-0000-000080100000}"/>
    <cellStyle name="Comma 50 3 2 2 2" xfId="4230" xr:uid="{00000000-0005-0000-0000-000081100000}"/>
    <cellStyle name="Comma 50 3 2 3" xfId="4231" xr:uid="{00000000-0005-0000-0000-000082100000}"/>
    <cellStyle name="Comma 50 3 3" xfId="4232" xr:uid="{00000000-0005-0000-0000-000083100000}"/>
    <cellStyle name="Comma 50 3 3 2" xfId="4233" xr:uid="{00000000-0005-0000-0000-000084100000}"/>
    <cellStyle name="Comma 50 3 4" xfId="4234" xr:uid="{00000000-0005-0000-0000-000085100000}"/>
    <cellStyle name="Comma 50 3 4 2" xfId="4235" xr:uid="{00000000-0005-0000-0000-000086100000}"/>
    <cellStyle name="Comma 50 3 5" xfId="4236" xr:uid="{00000000-0005-0000-0000-000087100000}"/>
    <cellStyle name="Comma 50 4" xfId="4237" xr:uid="{00000000-0005-0000-0000-000088100000}"/>
    <cellStyle name="Comma 50 4 2" xfId="4238" xr:uid="{00000000-0005-0000-0000-000089100000}"/>
    <cellStyle name="Comma 50 4 2 2" xfId="4239" xr:uid="{00000000-0005-0000-0000-00008A100000}"/>
    <cellStyle name="Comma 50 4 2 2 2" xfId="4240" xr:uid="{00000000-0005-0000-0000-00008B100000}"/>
    <cellStyle name="Comma 50 4 2 3" xfId="4241" xr:uid="{00000000-0005-0000-0000-00008C100000}"/>
    <cellStyle name="Comma 50 4 3" xfId="4242" xr:uid="{00000000-0005-0000-0000-00008D100000}"/>
    <cellStyle name="Comma 50 4 3 2" xfId="4243" xr:uid="{00000000-0005-0000-0000-00008E100000}"/>
    <cellStyle name="Comma 50 4 4" xfId="4244" xr:uid="{00000000-0005-0000-0000-00008F100000}"/>
    <cellStyle name="Comma 50 4 4 2" xfId="4245" xr:uid="{00000000-0005-0000-0000-000090100000}"/>
    <cellStyle name="Comma 50 4 5" xfId="4246" xr:uid="{00000000-0005-0000-0000-000091100000}"/>
    <cellStyle name="Comma 50 5" xfId="4247" xr:uid="{00000000-0005-0000-0000-000092100000}"/>
    <cellStyle name="Comma 50 5 2" xfId="4248" xr:uid="{00000000-0005-0000-0000-000093100000}"/>
    <cellStyle name="Comma 50 5 2 2" xfId="4249" xr:uid="{00000000-0005-0000-0000-000094100000}"/>
    <cellStyle name="Comma 50 5 2 2 2" xfId="4250" xr:uid="{00000000-0005-0000-0000-000095100000}"/>
    <cellStyle name="Comma 50 5 2 3" xfId="4251" xr:uid="{00000000-0005-0000-0000-000096100000}"/>
    <cellStyle name="Comma 50 5 3" xfId="4252" xr:uid="{00000000-0005-0000-0000-000097100000}"/>
    <cellStyle name="Comma 50 5 3 2" xfId="4253" xr:uid="{00000000-0005-0000-0000-000098100000}"/>
    <cellStyle name="Comma 50 5 4" xfId="4254" xr:uid="{00000000-0005-0000-0000-000099100000}"/>
    <cellStyle name="Comma 50 5 4 2" xfId="4255" xr:uid="{00000000-0005-0000-0000-00009A100000}"/>
    <cellStyle name="Comma 50 5 5" xfId="4256" xr:uid="{00000000-0005-0000-0000-00009B100000}"/>
    <cellStyle name="Comma 50 6" xfId="4257" xr:uid="{00000000-0005-0000-0000-00009C100000}"/>
    <cellStyle name="Comma 50 6 2" xfId="4258" xr:uid="{00000000-0005-0000-0000-00009D100000}"/>
    <cellStyle name="Comma 50 6 2 2" xfId="4259" xr:uid="{00000000-0005-0000-0000-00009E100000}"/>
    <cellStyle name="Comma 50 6 2 2 2" xfId="4260" xr:uid="{00000000-0005-0000-0000-00009F100000}"/>
    <cellStyle name="Comma 50 6 2 3" xfId="4261" xr:uid="{00000000-0005-0000-0000-0000A0100000}"/>
    <cellStyle name="Comma 50 6 3" xfId="4262" xr:uid="{00000000-0005-0000-0000-0000A1100000}"/>
    <cellStyle name="Comma 50 6 3 2" xfId="4263" xr:uid="{00000000-0005-0000-0000-0000A2100000}"/>
    <cellStyle name="Comma 50 6 4" xfId="4264" xr:uid="{00000000-0005-0000-0000-0000A3100000}"/>
    <cellStyle name="Comma 50 6 4 2" xfId="4265" xr:uid="{00000000-0005-0000-0000-0000A4100000}"/>
    <cellStyle name="Comma 50 6 5" xfId="4266" xr:uid="{00000000-0005-0000-0000-0000A5100000}"/>
    <cellStyle name="Comma 50 7" xfId="4267" xr:uid="{00000000-0005-0000-0000-0000A6100000}"/>
    <cellStyle name="Comma 50 7 2" xfId="4268" xr:uid="{00000000-0005-0000-0000-0000A7100000}"/>
    <cellStyle name="Comma 50 7 2 2" xfId="4269" xr:uid="{00000000-0005-0000-0000-0000A8100000}"/>
    <cellStyle name="Comma 50 7 2 2 2" xfId="4270" xr:uid="{00000000-0005-0000-0000-0000A9100000}"/>
    <cellStyle name="Comma 50 7 2 3" xfId="4271" xr:uid="{00000000-0005-0000-0000-0000AA100000}"/>
    <cellStyle name="Comma 50 7 3" xfId="4272" xr:uid="{00000000-0005-0000-0000-0000AB100000}"/>
    <cellStyle name="Comma 50 7 3 2" xfId="4273" xr:uid="{00000000-0005-0000-0000-0000AC100000}"/>
    <cellStyle name="Comma 50 7 4" xfId="4274" xr:uid="{00000000-0005-0000-0000-0000AD100000}"/>
    <cellStyle name="Comma 50 8" xfId="4275" xr:uid="{00000000-0005-0000-0000-0000AE100000}"/>
    <cellStyle name="Comma 50 8 2" xfId="4276" xr:uid="{00000000-0005-0000-0000-0000AF100000}"/>
    <cellStyle name="Comma 50 8 2 2" xfId="4277" xr:uid="{00000000-0005-0000-0000-0000B0100000}"/>
    <cellStyle name="Comma 50 8 2 2 2" xfId="4278" xr:uid="{00000000-0005-0000-0000-0000B1100000}"/>
    <cellStyle name="Comma 50 8 2 3" xfId="4279" xr:uid="{00000000-0005-0000-0000-0000B2100000}"/>
    <cellStyle name="Comma 50 8 3" xfId="4280" xr:uid="{00000000-0005-0000-0000-0000B3100000}"/>
    <cellStyle name="Comma 50 8 3 2" xfId="4281" xr:uid="{00000000-0005-0000-0000-0000B4100000}"/>
    <cellStyle name="Comma 50 8 4" xfId="4282" xr:uid="{00000000-0005-0000-0000-0000B5100000}"/>
    <cellStyle name="Comma 50 9" xfId="4283" xr:uid="{00000000-0005-0000-0000-0000B6100000}"/>
    <cellStyle name="Comma 50 9 2" xfId="4284" xr:uid="{00000000-0005-0000-0000-0000B7100000}"/>
    <cellStyle name="Comma 50 9 2 2" xfId="4285" xr:uid="{00000000-0005-0000-0000-0000B8100000}"/>
    <cellStyle name="Comma 50 9 3" xfId="4286" xr:uid="{00000000-0005-0000-0000-0000B9100000}"/>
    <cellStyle name="Comma 51" xfId="4287" xr:uid="{00000000-0005-0000-0000-0000BA100000}"/>
    <cellStyle name="Comma 51 10" xfId="4288" xr:uid="{00000000-0005-0000-0000-0000BB100000}"/>
    <cellStyle name="Comma 51 10 2" xfId="4289" xr:uid="{00000000-0005-0000-0000-0000BC100000}"/>
    <cellStyle name="Comma 51 11" xfId="4290" xr:uid="{00000000-0005-0000-0000-0000BD100000}"/>
    <cellStyle name="Comma 51 11 2" xfId="4291" xr:uid="{00000000-0005-0000-0000-0000BE100000}"/>
    <cellStyle name="Comma 51 12" xfId="4292" xr:uid="{00000000-0005-0000-0000-0000BF100000}"/>
    <cellStyle name="Comma 51 2" xfId="4293" xr:uid="{00000000-0005-0000-0000-0000C0100000}"/>
    <cellStyle name="Comma 51 2 2" xfId="4294" xr:uid="{00000000-0005-0000-0000-0000C1100000}"/>
    <cellStyle name="Comma 51 2 2 2" xfId="4295" xr:uid="{00000000-0005-0000-0000-0000C2100000}"/>
    <cellStyle name="Comma 51 2 2 2 2" xfId="4296" xr:uid="{00000000-0005-0000-0000-0000C3100000}"/>
    <cellStyle name="Comma 51 2 2 3" xfId="4297" xr:uid="{00000000-0005-0000-0000-0000C4100000}"/>
    <cellStyle name="Comma 51 2 3" xfId="4298" xr:uid="{00000000-0005-0000-0000-0000C5100000}"/>
    <cellStyle name="Comma 51 2 3 2" xfId="4299" xr:uid="{00000000-0005-0000-0000-0000C6100000}"/>
    <cellStyle name="Comma 51 2 4" xfId="4300" xr:uid="{00000000-0005-0000-0000-0000C7100000}"/>
    <cellStyle name="Comma 51 2 4 2" xfId="4301" xr:uid="{00000000-0005-0000-0000-0000C8100000}"/>
    <cellStyle name="Comma 51 2 5" xfId="4302" xr:uid="{00000000-0005-0000-0000-0000C9100000}"/>
    <cellStyle name="Comma 51 3" xfId="4303" xr:uid="{00000000-0005-0000-0000-0000CA100000}"/>
    <cellStyle name="Comma 51 3 2" xfId="4304" xr:uid="{00000000-0005-0000-0000-0000CB100000}"/>
    <cellStyle name="Comma 51 3 2 2" xfId="4305" xr:uid="{00000000-0005-0000-0000-0000CC100000}"/>
    <cellStyle name="Comma 51 3 2 2 2" xfId="4306" xr:uid="{00000000-0005-0000-0000-0000CD100000}"/>
    <cellStyle name="Comma 51 3 2 3" xfId="4307" xr:uid="{00000000-0005-0000-0000-0000CE100000}"/>
    <cellStyle name="Comma 51 3 3" xfId="4308" xr:uid="{00000000-0005-0000-0000-0000CF100000}"/>
    <cellStyle name="Comma 51 3 3 2" xfId="4309" xr:uid="{00000000-0005-0000-0000-0000D0100000}"/>
    <cellStyle name="Comma 51 3 4" xfId="4310" xr:uid="{00000000-0005-0000-0000-0000D1100000}"/>
    <cellStyle name="Comma 51 3 4 2" xfId="4311" xr:uid="{00000000-0005-0000-0000-0000D2100000}"/>
    <cellStyle name="Comma 51 3 5" xfId="4312" xr:uid="{00000000-0005-0000-0000-0000D3100000}"/>
    <cellStyle name="Comma 51 4" xfId="4313" xr:uid="{00000000-0005-0000-0000-0000D4100000}"/>
    <cellStyle name="Comma 51 4 2" xfId="4314" xr:uid="{00000000-0005-0000-0000-0000D5100000}"/>
    <cellStyle name="Comma 51 4 2 2" xfId="4315" xr:uid="{00000000-0005-0000-0000-0000D6100000}"/>
    <cellStyle name="Comma 51 4 2 2 2" xfId="4316" xr:uid="{00000000-0005-0000-0000-0000D7100000}"/>
    <cellStyle name="Comma 51 4 2 3" xfId="4317" xr:uid="{00000000-0005-0000-0000-0000D8100000}"/>
    <cellStyle name="Comma 51 4 3" xfId="4318" xr:uid="{00000000-0005-0000-0000-0000D9100000}"/>
    <cellStyle name="Comma 51 4 3 2" xfId="4319" xr:uid="{00000000-0005-0000-0000-0000DA100000}"/>
    <cellStyle name="Comma 51 4 4" xfId="4320" xr:uid="{00000000-0005-0000-0000-0000DB100000}"/>
    <cellStyle name="Comma 51 4 4 2" xfId="4321" xr:uid="{00000000-0005-0000-0000-0000DC100000}"/>
    <cellStyle name="Comma 51 4 5" xfId="4322" xr:uid="{00000000-0005-0000-0000-0000DD100000}"/>
    <cellStyle name="Comma 51 5" xfId="4323" xr:uid="{00000000-0005-0000-0000-0000DE100000}"/>
    <cellStyle name="Comma 51 5 2" xfId="4324" xr:uid="{00000000-0005-0000-0000-0000DF100000}"/>
    <cellStyle name="Comma 51 5 2 2" xfId="4325" xr:uid="{00000000-0005-0000-0000-0000E0100000}"/>
    <cellStyle name="Comma 51 5 2 2 2" xfId="4326" xr:uid="{00000000-0005-0000-0000-0000E1100000}"/>
    <cellStyle name="Comma 51 5 2 3" xfId="4327" xr:uid="{00000000-0005-0000-0000-0000E2100000}"/>
    <cellStyle name="Comma 51 5 3" xfId="4328" xr:uid="{00000000-0005-0000-0000-0000E3100000}"/>
    <cellStyle name="Comma 51 5 3 2" xfId="4329" xr:uid="{00000000-0005-0000-0000-0000E4100000}"/>
    <cellStyle name="Comma 51 5 4" xfId="4330" xr:uid="{00000000-0005-0000-0000-0000E5100000}"/>
    <cellStyle name="Comma 51 5 4 2" xfId="4331" xr:uid="{00000000-0005-0000-0000-0000E6100000}"/>
    <cellStyle name="Comma 51 5 5" xfId="4332" xr:uid="{00000000-0005-0000-0000-0000E7100000}"/>
    <cellStyle name="Comma 51 6" xfId="4333" xr:uid="{00000000-0005-0000-0000-0000E8100000}"/>
    <cellStyle name="Comma 51 6 2" xfId="4334" xr:uid="{00000000-0005-0000-0000-0000E9100000}"/>
    <cellStyle name="Comma 51 6 2 2" xfId="4335" xr:uid="{00000000-0005-0000-0000-0000EA100000}"/>
    <cellStyle name="Comma 51 6 2 2 2" xfId="4336" xr:uid="{00000000-0005-0000-0000-0000EB100000}"/>
    <cellStyle name="Comma 51 6 2 3" xfId="4337" xr:uid="{00000000-0005-0000-0000-0000EC100000}"/>
    <cellStyle name="Comma 51 6 3" xfId="4338" xr:uid="{00000000-0005-0000-0000-0000ED100000}"/>
    <cellStyle name="Comma 51 6 3 2" xfId="4339" xr:uid="{00000000-0005-0000-0000-0000EE100000}"/>
    <cellStyle name="Comma 51 6 4" xfId="4340" xr:uid="{00000000-0005-0000-0000-0000EF100000}"/>
    <cellStyle name="Comma 51 6 4 2" xfId="4341" xr:uid="{00000000-0005-0000-0000-0000F0100000}"/>
    <cellStyle name="Comma 51 6 5" xfId="4342" xr:uid="{00000000-0005-0000-0000-0000F1100000}"/>
    <cellStyle name="Comma 51 7" xfId="4343" xr:uid="{00000000-0005-0000-0000-0000F2100000}"/>
    <cellStyle name="Comma 51 7 2" xfId="4344" xr:uid="{00000000-0005-0000-0000-0000F3100000}"/>
    <cellStyle name="Comma 51 7 2 2" xfId="4345" xr:uid="{00000000-0005-0000-0000-0000F4100000}"/>
    <cellStyle name="Comma 51 7 2 2 2" xfId="4346" xr:uid="{00000000-0005-0000-0000-0000F5100000}"/>
    <cellStyle name="Comma 51 7 2 3" xfId="4347" xr:uid="{00000000-0005-0000-0000-0000F6100000}"/>
    <cellStyle name="Comma 51 7 3" xfId="4348" xr:uid="{00000000-0005-0000-0000-0000F7100000}"/>
    <cellStyle name="Comma 51 7 3 2" xfId="4349" xr:uid="{00000000-0005-0000-0000-0000F8100000}"/>
    <cellStyle name="Comma 51 7 4" xfId="4350" xr:uid="{00000000-0005-0000-0000-0000F9100000}"/>
    <cellStyle name="Comma 51 8" xfId="4351" xr:uid="{00000000-0005-0000-0000-0000FA100000}"/>
    <cellStyle name="Comma 51 8 2" xfId="4352" xr:uid="{00000000-0005-0000-0000-0000FB100000}"/>
    <cellStyle name="Comma 51 8 2 2" xfId="4353" xr:uid="{00000000-0005-0000-0000-0000FC100000}"/>
    <cellStyle name="Comma 51 8 2 2 2" xfId="4354" xr:uid="{00000000-0005-0000-0000-0000FD100000}"/>
    <cellStyle name="Comma 51 8 2 3" xfId="4355" xr:uid="{00000000-0005-0000-0000-0000FE100000}"/>
    <cellStyle name="Comma 51 8 3" xfId="4356" xr:uid="{00000000-0005-0000-0000-0000FF100000}"/>
    <cellStyle name="Comma 51 8 3 2" xfId="4357" xr:uid="{00000000-0005-0000-0000-000000110000}"/>
    <cellStyle name="Comma 51 8 4" xfId="4358" xr:uid="{00000000-0005-0000-0000-000001110000}"/>
    <cellStyle name="Comma 51 9" xfId="4359" xr:uid="{00000000-0005-0000-0000-000002110000}"/>
    <cellStyle name="Comma 51 9 2" xfId="4360" xr:uid="{00000000-0005-0000-0000-000003110000}"/>
    <cellStyle name="Comma 51 9 2 2" xfId="4361" xr:uid="{00000000-0005-0000-0000-000004110000}"/>
    <cellStyle name="Comma 51 9 3" xfId="4362" xr:uid="{00000000-0005-0000-0000-000005110000}"/>
    <cellStyle name="Comma 52" xfId="4363" xr:uid="{00000000-0005-0000-0000-000006110000}"/>
    <cellStyle name="Comma 52 10" xfId="4364" xr:uid="{00000000-0005-0000-0000-000007110000}"/>
    <cellStyle name="Comma 52 10 2" xfId="4365" xr:uid="{00000000-0005-0000-0000-000008110000}"/>
    <cellStyle name="Comma 52 11" xfId="4366" xr:uid="{00000000-0005-0000-0000-000009110000}"/>
    <cellStyle name="Comma 52 11 2" xfId="4367" xr:uid="{00000000-0005-0000-0000-00000A110000}"/>
    <cellStyle name="Comma 52 12" xfId="4368" xr:uid="{00000000-0005-0000-0000-00000B110000}"/>
    <cellStyle name="Comma 52 2" xfId="4369" xr:uid="{00000000-0005-0000-0000-00000C110000}"/>
    <cellStyle name="Comma 52 2 2" xfId="4370" xr:uid="{00000000-0005-0000-0000-00000D110000}"/>
    <cellStyle name="Comma 52 2 2 2" xfId="4371" xr:uid="{00000000-0005-0000-0000-00000E110000}"/>
    <cellStyle name="Comma 52 2 2 2 2" xfId="4372" xr:uid="{00000000-0005-0000-0000-00000F110000}"/>
    <cellStyle name="Comma 52 2 2 3" xfId="4373" xr:uid="{00000000-0005-0000-0000-000010110000}"/>
    <cellStyle name="Comma 52 2 3" xfId="4374" xr:uid="{00000000-0005-0000-0000-000011110000}"/>
    <cellStyle name="Comma 52 2 3 2" xfId="4375" xr:uid="{00000000-0005-0000-0000-000012110000}"/>
    <cellStyle name="Comma 52 2 4" xfId="4376" xr:uid="{00000000-0005-0000-0000-000013110000}"/>
    <cellStyle name="Comma 52 2 4 2" xfId="4377" xr:uid="{00000000-0005-0000-0000-000014110000}"/>
    <cellStyle name="Comma 52 2 5" xfId="4378" xr:uid="{00000000-0005-0000-0000-000015110000}"/>
    <cellStyle name="Comma 52 3" xfId="4379" xr:uid="{00000000-0005-0000-0000-000016110000}"/>
    <cellStyle name="Comma 52 3 2" xfId="4380" xr:uid="{00000000-0005-0000-0000-000017110000}"/>
    <cellStyle name="Comma 52 3 2 2" xfId="4381" xr:uid="{00000000-0005-0000-0000-000018110000}"/>
    <cellStyle name="Comma 52 3 2 2 2" xfId="4382" xr:uid="{00000000-0005-0000-0000-000019110000}"/>
    <cellStyle name="Comma 52 3 2 3" xfId="4383" xr:uid="{00000000-0005-0000-0000-00001A110000}"/>
    <cellStyle name="Comma 52 3 3" xfId="4384" xr:uid="{00000000-0005-0000-0000-00001B110000}"/>
    <cellStyle name="Comma 52 3 3 2" xfId="4385" xr:uid="{00000000-0005-0000-0000-00001C110000}"/>
    <cellStyle name="Comma 52 3 4" xfId="4386" xr:uid="{00000000-0005-0000-0000-00001D110000}"/>
    <cellStyle name="Comma 52 3 4 2" xfId="4387" xr:uid="{00000000-0005-0000-0000-00001E110000}"/>
    <cellStyle name="Comma 52 3 5" xfId="4388" xr:uid="{00000000-0005-0000-0000-00001F110000}"/>
    <cellStyle name="Comma 52 4" xfId="4389" xr:uid="{00000000-0005-0000-0000-000020110000}"/>
    <cellStyle name="Comma 52 4 2" xfId="4390" xr:uid="{00000000-0005-0000-0000-000021110000}"/>
    <cellStyle name="Comma 52 4 2 2" xfId="4391" xr:uid="{00000000-0005-0000-0000-000022110000}"/>
    <cellStyle name="Comma 52 4 2 2 2" xfId="4392" xr:uid="{00000000-0005-0000-0000-000023110000}"/>
    <cellStyle name="Comma 52 4 2 3" xfId="4393" xr:uid="{00000000-0005-0000-0000-000024110000}"/>
    <cellStyle name="Comma 52 4 3" xfId="4394" xr:uid="{00000000-0005-0000-0000-000025110000}"/>
    <cellStyle name="Comma 52 4 3 2" xfId="4395" xr:uid="{00000000-0005-0000-0000-000026110000}"/>
    <cellStyle name="Comma 52 4 4" xfId="4396" xr:uid="{00000000-0005-0000-0000-000027110000}"/>
    <cellStyle name="Comma 52 4 4 2" xfId="4397" xr:uid="{00000000-0005-0000-0000-000028110000}"/>
    <cellStyle name="Comma 52 4 5" xfId="4398" xr:uid="{00000000-0005-0000-0000-000029110000}"/>
    <cellStyle name="Comma 52 5" xfId="4399" xr:uid="{00000000-0005-0000-0000-00002A110000}"/>
    <cellStyle name="Comma 52 5 2" xfId="4400" xr:uid="{00000000-0005-0000-0000-00002B110000}"/>
    <cellStyle name="Comma 52 5 2 2" xfId="4401" xr:uid="{00000000-0005-0000-0000-00002C110000}"/>
    <cellStyle name="Comma 52 5 2 2 2" xfId="4402" xr:uid="{00000000-0005-0000-0000-00002D110000}"/>
    <cellStyle name="Comma 52 5 2 3" xfId="4403" xr:uid="{00000000-0005-0000-0000-00002E110000}"/>
    <cellStyle name="Comma 52 5 3" xfId="4404" xr:uid="{00000000-0005-0000-0000-00002F110000}"/>
    <cellStyle name="Comma 52 5 3 2" xfId="4405" xr:uid="{00000000-0005-0000-0000-000030110000}"/>
    <cellStyle name="Comma 52 5 4" xfId="4406" xr:uid="{00000000-0005-0000-0000-000031110000}"/>
    <cellStyle name="Comma 52 5 4 2" xfId="4407" xr:uid="{00000000-0005-0000-0000-000032110000}"/>
    <cellStyle name="Comma 52 5 5" xfId="4408" xr:uid="{00000000-0005-0000-0000-000033110000}"/>
    <cellStyle name="Comma 52 6" xfId="4409" xr:uid="{00000000-0005-0000-0000-000034110000}"/>
    <cellStyle name="Comma 52 6 2" xfId="4410" xr:uid="{00000000-0005-0000-0000-000035110000}"/>
    <cellStyle name="Comma 52 6 2 2" xfId="4411" xr:uid="{00000000-0005-0000-0000-000036110000}"/>
    <cellStyle name="Comma 52 6 2 2 2" xfId="4412" xr:uid="{00000000-0005-0000-0000-000037110000}"/>
    <cellStyle name="Comma 52 6 2 3" xfId="4413" xr:uid="{00000000-0005-0000-0000-000038110000}"/>
    <cellStyle name="Comma 52 6 3" xfId="4414" xr:uid="{00000000-0005-0000-0000-000039110000}"/>
    <cellStyle name="Comma 52 6 3 2" xfId="4415" xr:uid="{00000000-0005-0000-0000-00003A110000}"/>
    <cellStyle name="Comma 52 6 4" xfId="4416" xr:uid="{00000000-0005-0000-0000-00003B110000}"/>
    <cellStyle name="Comma 52 6 4 2" xfId="4417" xr:uid="{00000000-0005-0000-0000-00003C110000}"/>
    <cellStyle name="Comma 52 6 5" xfId="4418" xr:uid="{00000000-0005-0000-0000-00003D110000}"/>
    <cellStyle name="Comma 52 7" xfId="4419" xr:uid="{00000000-0005-0000-0000-00003E110000}"/>
    <cellStyle name="Comma 52 7 2" xfId="4420" xr:uid="{00000000-0005-0000-0000-00003F110000}"/>
    <cellStyle name="Comma 52 7 2 2" xfId="4421" xr:uid="{00000000-0005-0000-0000-000040110000}"/>
    <cellStyle name="Comma 52 7 2 2 2" xfId="4422" xr:uid="{00000000-0005-0000-0000-000041110000}"/>
    <cellStyle name="Comma 52 7 2 3" xfId="4423" xr:uid="{00000000-0005-0000-0000-000042110000}"/>
    <cellStyle name="Comma 52 7 3" xfId="4424" xr:uid="{00000000-0005-0000-0000-000043110000}"/>
    <cellStyle name="Comma 52 7 3 2" xfId="4425" xr:uid="{00000000-0005-0000-0000-000044110000}"/>
    <cellStyle name="Comma 52 7 4" xfId="4426" xr:uid="{00000000-0005-0000-0000-000045110000}"/>
    <cellStyle name="Comma 52 8" xfId="4427" xr:uid="{00000000-0005-0000-0000-000046110000}"/>
    <cellStyle name="Comma 52 8 2" xfId="4428" xr:uid="{00000000-0005-0000-0000-000047110000}"/>
    <cellStyle name="Comma 52 8 2 2" xfId="4429" xr:uid="{00000000-0005-0000-0000-000048110000}"/>
    <cellStyle name="Comma 52 8 2 2 2" xfId="4430" xr:uid="{00000000-0005-0000-0000-000049110000}"/>
    <cellStyle name="Comma 52 8 2 3" xfId="4431" xr:uid="{00000000-0005-0000-0000-00004A110000}"/>
    <cellStyle name="Comma 52 8 3" xfId="4432" xr:uid="{00000000-0005-0000-0000-00004B110000}"/>
    <cellStyle name="Comma 52 8 3 2" xfId="4433" xr:uid="{00000000-0005-0000-0000-00004C110000}"/>
    <cellStyle name="Comma 52 8 4" xfId="4434" xr:uid="{00000000-0005-0000-0000-00004D110000}"/>
    <cellStyle name="Comma 52 9" xfId="4435" xr:uid="{00000000-0005-0000-0000-00004E110000}"/>
    <cellStyle name="Comma 52 9 2" xfId="4436" xr:uid="{00000000-0005-0000-0000-00004F110000}"/>
    <cellStyle name="Comma 52 9 2 2" xfId="4437" xr:uid="{00000000-0005-0000-0000-000050110000}"/>
    <cellStyle name="Comma 52 9 3" xfId="4438" xr:uid="{00000000-0005-0000-0000-000051110000}"/>
    <cellStyle name="Comma 53" xfId="4439" xr:uid="{00000000-0005-0000-0000-000052110000}"/>
    <cellStyle name="Comma 53 10" xfId="4440" xr:uid="{00000000-0005-0000-0000-000053110000}"/>
    <cellStyle name="Comma 53 10 2" xfId="4441" xr:uid="{00000000-0005-0000-0000-000054110000}"/>
    <cellStyle name="Comma 53 11" xfId="4442" xr:uid="{00000000-0005-0000-0000-000055110000}"/>
    <cellStyle name="Comma 53 11 2" xfId="4443" xr:uid="{00000000-0005-0000-0000-000056110000}"/>
    <cellStyle name="Comma 53 12" xfId="4444" xr:uid="{00000000-0005-0000-0000-000057110000}"/>
    <cellStyle name="Comma 53 2" xfId="4445" xr:uid="{00000000-0005-0000-0000-000058110000}"/>
    <cellStyle name="Comma 53 2 2" xfId="4446" xr:uid="{00000000-0005-0000-0000-000059110000}"/>
    <cellStyle name="Comma 53 2 2 2" xfId="4447" xr:uid="{00000000-0005-0000-0000-00005A110000}"/>
    <cellStyle name="Comma 53 2 2 2 2" xfId="4448" xr:uid="{00000000-0005-0000-0000-00005B110000}"/>
    <cellStyle name="Comma 53 2 2 3" xfId="4449" xr:uid="{00000000-0005-0000-0000-00005C110000}"/>
    <cellStyle name="Comma 53 2 3" xfId="4450" xr:uid="{00000000-0005-0000-0000-00005D110000}"/>
    <cellStyle name="Comma 53 2 3 2" xfId="4451" xr:uid="{00000000-0005-0000-0000-00005E110000}"/>
    <cellStyle name="Comma 53 2 4" xfId="4452" xr:uid="{00000000-0005-0000-0000-00005F110000}"/>
    <cellStyle name="Comma 53 2 4 2" xfId="4453" xr:uid="{00000000-0005-0000-0000-000060110000}"/>
    <cellStyle name="Comma 53 2 5" xfId="4454" xr:uid="{00000000-0005-0000-0000-000061110000}"/>
    <cellStyle name="Comma 53 3" xfId="4455" xr:uid="{00000000-0005-0000-0000-000062110000}"/>
    <cellStyle name="Comma 53 3 2" xfId="4456" xr:uid="{00000000-0005-0000-0000-000063110000}"/>
    <cellStyle name="Comma 53 3 2 2" xfId="4457" xr:uid="{00000000-0005-0000-0000-000064110000}"/>
    <cellStyle name="Comma 53 3 2 2 2" xfId="4458" xr:uid="{00000000-0005-0000-0000-000065110000}"/>
    <cellStyle name="Comma 53 3 2 3" xfId="4459" xr:uid="{00000000-0005-0000-0000-000066110000}"/>
    <cellStyle name="Comma 53 3 3" xfId="4460" xr:uid="{00000000-0005-0000-0000-000067110000}"/>
    <cellStyle name="Comma 53 3 3 2" xfId="4461" xr:uid="{00000000-0005-0000-0000-000068110000}"/>
    <cellStyle name="Comma 53 3 4" xfId="4462" xr:uid="{00000000-0005-0000-0000-000069110000}"/>
    <cellStyle name="Comma 53 3 4 2" xfId="4463" xr:uid="{00000000-0005-0000-0000-00006A110000}"/>
    <cellStyle name="Comma 53 3 5" xfId="4464" xr:uid="{00000000-0005-0000-0000-00006B110000}"/>
    <cellStyle name="Comma 53 4" xfId="4465" xr:uid="{00000000-0005-0000-0000-00006C110000}"/>
    <cellStyle name="Comma 53 4 2" xfId="4466" xr:uid="{00000000-0005-0000-0000-00006D110000}"/>
    <cellStyle name="Comma 53 4 2 2" xfId="4467" xr:uid="{00000000-0005-0000-0000-00006E110000}"/>
    <cellStyle name="Comma 53 4 2 2 2" xfId="4468" xr:uid="{00000000-0005-0000-0000-00006F110000}"/>
    <cellStyle name="Comma 53 4 2 3" xfId="4469" xr:uid="{00000000-0005-0000-0000-000070110000}"/>
    <cellStyle name="Comma 53 4 3" xfId="4470" xr:uid="{00000000-0005-0000-0000-000071110000}"/>
    <cellStyle name="Comma 53 4 3 2" xfId="4471" xr:uid="{00000000-0005-0000-0000-000072110000}"/>
    <cellStyle name="Comma 53 4 4" xfId="4472" xr:uid="{00000000-0005-0000-0000-000073110000}"/>
    <cellStyle name="Comma 53 4 4 2" xfId="4473" xr:uid="{00000000-0005-0000-0000-000074110000}"/>
    <cellStyle name="Comma 53 4 5" xfId="4474" xr:uid="{00000000-0005-0000-0000-000075110000}"/>
    <cellStyle name="Comma 53 5" xfId="4475" xr:uid="{00000000-0005-0000-0000-000076110000}"/>
    <cellStyle name="Comma 53 5 2" xfId="4476" xr:uid="{00000000-0005-0000-0000-000077110000}"/>
    <cellStyle name="Comma 53 5 2 2" xfId="4477" xr:uid="{00000000-0005-0000-0000-000078110000}"/>
    <cellStyle name="Comma 53 5 2 2 2" xfId="4478" xr:uid="{00000000-0005-0000-0000-000079110000}"/>
    <cellStyle name="Comma 53 5 2 3" xfId="4479" xr:uid="{00000000-0005-0000-0000-00007A110000}"/>
    <cellStyle name="Comma 53 5 3" xfId="4480" xr:uid="{00000000-0005-0000-0000-00007B110000}"/>
    <cellStyle name="Comma 53 5 3 2" xfId="4481" xr:uid="{00000000-0005-0000-0000-00007C110000}"/>
    <cellStyle name="Comma 53 5 4" xfId="4482" xr:uid="{00000000-0005-0000-0000-00007D110000}"/>
    <cellStyle name="Comma 53 5 4 2" xfId="4483" xr:uid="{00000000-0005-0000-0000-00007E110000}"/>
    <cellStyle name="Comma 53 5 5" xfId="4484" xr:uid="{00000000-0005-0000-0000-00007F110000}"/>
    <cellStyle name="Comma 53 6" xfId="4485" xr:uid="{00000000-0005-0000-0000-000080110000}"/>
    <cellStyle name="Comma 53 6 2" xfId="4486" xr:uid="{00000000-0005-0000-0000-000081110000}"/>
    <cellStyle name="Comma 53 6 2 2" xfId="4487" xr:uid="{00000000-0005-0000-0000-000082110000}"/>
    <cellStyle name="Comma 53 6 2 2 2" xfId="4488" xr:uid="{00000000-0005-0000-0000-000083110000}"/>
    <cellStyle name="Comma 53 6 2 3" xfId="4489" xr:uid="{00000000-0005-0000-0000-000084110000}"/>
    <cellStyle name="Comma 53 6 3" xfId="4490" xr:uid="{00000000-0005-0000-0000-000085110000}"/>
    <cellStyle name="Comma 53 6 3 2" xfId="4491" xr:uid="{00000000-0005-0000-0000-000086110000}"/>
    <cellStyle name="Comma 53 6 4" xfId="4492" xr:uid="{00000000-0005-0000-0000-000087110000}"/>
    <cellStyle name="Comma 53 6 4 2" xfId="4493" xr:uid="{00000000-0005-0000-0000-000088110000}"/>
    <cellStyle name="Comma 53 6 5" xfId="4494" xr:uid="{00000000-0005-0000-0000-000089110000}"/>
    <cellStyle name="Comma 53 7" xfId="4495" xr:uid="{00000000-0005-0000-0000-00008A110000}"/>
    <cellStyle name="Comma 53 7 2" xfId="4496" xr:uid="{00000000-0005-0000-0000-00008B110000}"/>
    <cellStyle name="Comma 53 7 2 2" xfId="4497" xr:uid="{00000000-0005-0000-0000-00008C110000}"/>
    <cellStyle name="Comma 53 7 2 2 2" xfId="4498" xr:uid="{00000000-0005-0000-0000-00008D110000}"/>
    <cellStyle name="Comma 53 7 2 3" xfId="4499" xr:uid="{00000000-0005-0000-0000-00008E110000}"/>
    <cellStyle name="Comma 53 7 3" xfId="4500" xr:uid="{00000000-0005-0000-0000-00008F110000}"/>
    <cellStyle name="Comma 53 7 3 2" xfId="4501" xr:uid="{00000000-0005-0000-0000-000090110000}"/>
    <cellStyle name="Comma 53 7 4" xfId="4502" xr:uid="{00000000-0005-0000-0000-000091110000}"/>
    <cellStyle name="Comma 53 8" xfId="4503" xr:uid="{00000000-0005-0000-0000-000092110000}"/>
    <cellStyle name="Comma 53 8 2" xfId="4504" xr:uid="{00000000-0005-0000-0000-000093110000}"/>
    <cellStyle name="Comma 53 8 2 2" xfId="4505" xr:uid="{00000000-0005-0000-0000-000094110000}"/>
    <cellStyle name="Comma 53 8 2 2 2" xfId="4506" xr:uid="{00000000-0005-0000-0000-000095110000}"/>
    <cellStyle name="Comma 53 8 2 3" xfId="4507" xr:uid="{00000000-0005-0000-0000-000096110000}"/>
    <cellStyle name="Comma 53 8 3" xfId="4508" xr:uid="{00000000-0005-0000-0000-000097110000}"/>
    <cellStyle name="Comma 53 8 3 2" xfId="4509" xr:uid="{00000000-0005-0000-0000-000098110000}"/>
    <cellStyle name="Comma 53 8 4" xfId="4510" xr:uid="{00000000-0005-0000-0000-000099110000}"/>
    <cellStyle name="Comma 53 9" xfId="4511" xr:uid="{00000000-0005-0000-0000-00009A110000}"/>
    <cellStyle name="Comma 53 9 2" xfId="4512" xr:uid="{00000000-0005-0000-0000-00009B110000}"/>
    <cellStyle name="Comma 53 9 2 2" xfId="4513" xr:uid="{00000000-0005-0000-0000-00009C110000}"/>
    <cellStyle name="Comma 53 9 3" xfId="4514" xr:uid="{00000000-0005-0000-0000-00009D110000}"/>
    <cellStyle name="Comma 54" xfId="4515" xr:uid="{00000000-0005-0000-0000-00009E110000}"/>
    <cellStyle name="Comma 54 10" xfId="4516" xr:uid="{00000000-0005-0000-0000-00009F110000}"/>
    <cellStyle name="Comma 54 10 2" xfId="4517" xr:uid="{00000000-0005-0000-0000-0000A0110000}"/>
    <cellStyle name="Comma 54 11" xfId="4518" xr:uid="{00000000-0005-0000-0000-0000A1110000}"/>
    <cellStyle name="Comma 54 11 2" xfId="4519" xr:uid="{00000000-0005-0000-0000-0000A2110000}"/>
    <cellStyle name="Comma 54 12" xfId="4520" xr:uid="{00000000-0005-0000-0000-0000A3110000}"/>
    <cellStyle name="Comma 54 2" xfId="4521" xr:uid="{00000000-0005-0000-0000-0000A4110000}"/>
    <cellStyle name="Comma 54 2 2" xfId="4522" xr:uid="{00000000-0005-0000-0000-0000A5110000}"/>
    <cellStyle name="Comma 54 2 2 2" xfId="4523" xr:uid="{00000000-0005-0000-0000-0000A6110000}"/>
    <cellStyle name="Comma 54 2 2 2 2" xfId="4524" xr:uid="{00000000-0005-0000-0000-0000A7110000}"/>
    <cellStyle name="Comma 54 2 2 3" xfId="4525" xr:uid="{00000000-0005-0000-0000-0000A8110000}"/>
    <cellStyle name="Comma 54 2 3" xfId="4526" xr:uid="{00000000-0005-0000-0000-0000A9110000}"/>
    <cellStyle name="Comma 54 2 3 2" xfId="4527" xr:uid="{00000000-0005-0000-0000-0000AA110000}"/>
    <cellStyle name="Comma 54 2 4" xfId="4528" xr:uid="{00000000-0005-0000-0000-0000AB110000}"/>
    <cellStyle name="Comma 54 2 4 2" xfId="4529" xr:uid="{00000000-0005-0000-0000-0000AC110000}"/>
    <cellStyle name="Comma 54 2 5" xfId="4530" xr:uid="{00000000-0005-0000-0000-0000AD110000}"/>
    <cellStyle name="Comma 54 3" xfId="4531" xr:uid="{00000000-0005-0000-0000-0000AE110000}"/>
    <cellStyle name="Comma 54 3 2" xfId="4532" xr:uid="{00000000-0005-0000-0000-0000AF110000}"/>
    <cellStyle name="Comma 54 3 2 2" xfId="4533" xr:uid="{00000000-0005-0000-0000-0000B0110000}"/>
    <cellStyle name="Comma 54 3 2 2 2" xfId="4534" xr:uid="{00000000-0005-0000-0000-0000B1110000}"/>
    <cellStyle name="Comma 54 3 2 3" xfId="4535" xr:uid="{00000000-0005-0000-0000-0000B2110000}"/>
    <cellStyle name="Comma 54 3 3" xfId="4536" xr:uid="{00000000-0005-0000-0000-0000B3110000}"/>
    <cellStyle name="Comma 54 3 3 2" xfId="4537" xr:uid="{00000000-0005-0000-0000-0000B4110000}"/>
    <cellStyle name="Comma 54 3 4" xfId="4538" xr:uid="{00000000-0005-0000-0000-0000B5110000}"/>
    <cellStyle name="Comma 54 3 4 2" xfId="4539" xr:uid="{00000000-0005-0000-0000-0000B6110000}"/>
    <cellStyle name="Comma 54 3 5" xfId="4540" xr:uid="{00000000-0005-0000-0000-0000B7110000}"/>
    <cellStyle name="Comma 54 4" xfId="4541" xr:uid="{00000000-0005-0000-0000-0000B8110000}"/>
    <cellStyle name="Comma 54 4 2" xfId="4542" xr:uid="{00000000-0005-0000-0000-0000B9110000}"/>
    <cellStyle name="Comma 54 4 2 2" xfId="4543" xr:uid="{00000000-0005-0000-0000-0000BA110000}"/>
    <cellStyle name="Comma 54 4 2 2 2" xfId="4544" xr:uid="{00000000-0005-0000-0000-0000BB110000}"/>
    <cellStyle name="Comma 54 4 2 3" xfId="4545" xr:uid="{00000000-0005-0000-0000-0000BC110000}"/>
    <cellStyle name="Comma 54 4 3" xfId="4546" xr:uid="{00000000-0005-0000-0000-0000BD110000}"/>
    <cellStyle name="Comma 54 4 3 2" xfId="4547" xr:uid="{00000000-0005-0000-0000-0000BE110000}"/>
    <cellStyle name="Comma 54 4 4" xfId="4548" xr:uid="{00000000-0005-0000-0000-0000BF110000}"/>
    <cellStyle name="Comma 54 4 4 2" xfId="4549" xr:uid="{00000000-0005-0000-0000-0000C0110000}"/>
    <cellStyle name="Comma 54 4 5" xfId="4550" xr:uid="{00000000-0005-0000-0000-0000C1110000}"/>
    <cellStyle name="Comma 54 5" xfId="4551" xr:uid="{00000000-0005-0000-0000-0000C2110000}"/>
    <cellStyle name="Comma 54 5 2" xfId="4552" xr:uid="{00000000-0005-0000-0000-0000C3110000}"/>
    <cellStyle name="Comma 54 5 2 2" xfId="4553" xr:uid="{00000000-0005-0000-0000-0000C4110000}"/>
    <cellStyle name="Comma 54 5 2 2 2" xfId="4554" xr:uid="{00000000-0005-0000-0000-0000C5110000}"/>
    <cellStyle name="Comma 54 5 2 3" xfId="4555" xr:uid="{00000000-0005-0000-0000-0000C6110000}"/>
    <cellStyle name="Comma 54 5 3" xfId="4556" xr:uid="{00000000-0005-0000-0000-0000C7110000}"/>
    <cellStyle name="Comma 54 5 3 2" xfId="4557" xr:uid="{00000000-0005-0000-0000-0000C8110000}"/>
    <cellStyle name="Comma 54 5 4" xfId="4558" xr:uid="{00000000-0005-0000-0000-0000C9110000}"/>
    <cellStyle name="Comma 54 5 4 2" xfId="4559" xr:uid="{00000000-0005-0000-0000-0000CA110000}"/>
    <cellStyle name="Comma 54 5 5" xfId="4560" xr:uid="{00000000-0005-0000-0000-0000CB110000}"/>
    <cellStyle name="Comma 54 6" xfId="4561" xr:uid="{00000000-0005-0000-0000-0000CC110000}"/>
    <cellStyle name="Comma 54 6 2" xfId="4562" xr:uid="{00000000-0005-0000-0000-0000CD110000}"/>
    <cellStyle name="Comma 54 6 2 2" xfId="4563" xr:uid="{00000000-0005-0000-0000-0000CE110000}"/>
    <cellStyle name="Comma 54 6 2 2 2" xfId="4564" xr:uid="{00000000-0005-0000-0000-0000CF110000}"/>
    <cellStyle name="Comma 54 6 2 3" xfId="4565" xr:uid="{00000000-0005-0000-0000-0000D0110000}"/>
    <cellStyle name="Comma 54 6 3" xfId="4566" xr:uid="{00000000-0005-0000-0000-0000D1110000}"/>
    <cellStyle name="Comma 54 6 3 2" xfId="4567" xr:uid="{00000000-0005-0000-0000-0000D2110000}"/>
    <cellStyle name="Comma 54 6 4" xfId="4568" xr:uid="{00000000-0005-0000-0000-0000D3110000}"/>
    <cellStyle name="Comma 54 6 4 2" xfId="4569" xr:uid="{00000000-0005-0000-0000-0000D4110000}"/>
    <cellStyle name="Comma 54 6 5" xfId="4570" xr:uid="{00000000-0005-0000-0000-0000D5110000}"/>
    <cellStyle name="Comma 54 7" xfId="4571" xr:uid="{00000000-0005-0000-0000-0000D6110000}"/>
    <cellStyle name="Comma 54 7 2" xfId="4572" xr:uid="{00000000-0005-0000-0000-0000D7110000}"/>
    <cellStyle name="Comma 54 7 2 2" xfId="4573" xr:uid="{00000000-0005-0000-0000-0000D8110000}"/>
    <cellStyle name="Comma 54 7 2 2 2" xfId="4574" xr:uid="{00000000-0005-0000-0000-0000D9110000}"/>
    <cellStyle name="Comma 54 7 2 3" xfId="4575" xr:uid="{00000000-0005-0000-0000-0000DA110000}"/>
    <cellStyle name="Comma 54 7 3" xfId="4576" xr:uid="{00000000-0005-0000-0000-0000DB110000}"/>
    <cellStyle name="Comma 54 7 3 2" xfId="4577" xr:uid="{00000000-0005-0000-0000-0000DC110000}"/>
    <cellStyle name="Comma 54 7 4" xfId="4578" xr:uid="{00000000-0005-0000-0000-0000DD110000}"/>
    <cellStyle name="Comma 54 8" xfId="4579" xr:uid="{00000000-0005-0000-0000-0000DE110000}"/>
    <cellStyle name="Comma 54 8 2" xfId="4580" xr:uid="{00000000-0005-0000-0000-0000DF110000}"/>
    <cellStyle name="Comma 54 8 2 2" xfId="4581" xr:uid="{00000000-0005-0000-0000-0000E0110000}"/>
    <cellStyle name="Comma 54 8 2 2 2" xfId="4582" xr:uid="{00000000-0005-0000-0000-0000E1110000}"/>
    <cellStyle name="Comma 54 8 2 3" xfId="4583" xr:uid="{00000000-0005-0000-0000-0000E2110000}"/>
    <cellStyle name="Comma 54 8 3" xfId="4584" xr:uid="{00000000-0005-0000-0000-0000E3110000}"/>
    <cellStyle name="Comma 54 8 3 2" xfId="4585" xr:uid="{00000000-0005-0000-0000-0000E4110000}"/>
    <cellStyle name="Comma 54 8 4" xfId="4586" xr:uid="{00000000-0005-0000-0000-0000E5110000}"/>
    <cellStyle name="Comma 54 9" xfId="4587" xr:uid="{00000000-0005-0000-0000-0000E6110000}"/>
    <cellStyle name="Comma 54 9 2" xfId="4588" xr:uid="{00000000-0005-0000-0000-0000E7110000}"/>
    <cellStyle name="Comma 54 9 2 2" xfId="4589" xr:uid="{00000000-0005-0000-0000-0000E8110000}"/>
    <cellStyle name="Comma 54 9 3" xfId="4590" xr:uid="{00000000-0005-0000-0000-0000E9110000}"/>
    <cellStyle name="Comma 55" xfId="4591" xr:uid="{00000000-0005-0000-0000-0000EA110000}"/>
    <cellStyle name="Comma 55 10" xfId="4592" xr:uid="{00000000-0005-0000-0000-0000EB110000}"/>
    <cellStyle name="Comma 55 10 2" xfId="4593" xr:uid="{00000000-0005-0000-0000-0000EC110000}"/>
    <cellStyle name="Comma 55 11" xfId="4594" xr:uid="{00000000-0005-0000-0000-0000ED110000}"/>
    <cellStyle name="Comma 55 11 2" xfId="4595" xr:uid="{00000000-0005-0000-0000-0000EE110000}"/>
    <cellStyle name="Comma 55 12" xfId="4596" xr:uid="{00000000-0005-0000-0000-0000EF110000}"/>
    <cellStyle name="Comma 55 2" xfId="4597" xr:uid="{00000000-0005-0000-0000-0000F0110000}"/>
    <cellStyle name="Comma 55 2 2" xfId="4598" xr:uid="{00000000-0005-0000-0000-0000F1110000}"/>
    <cellStyle name="Comma 55 2 2 2" xfId="4599" xr:uid="{00000000-0005-0000-0000-0000F2110000}"/>
    <cellStyle name="Comma 55 2 2 2 2" xfId="4600" xr:uid="{00000000-0005-0000-0000-0000F3110000}"/>
    <cellStyle name="Comma 55 2 2 3" xfId="4601" xr:uid="{00000000-0005-0000-0000-0000F4110000}"/>
    <cellStyle name="Comma 55 2 3" xfId="4602" xr:uid="{00000000-0005-0000-0000-0000F5110000}"/>
    <cellStyle name="Comma 55 2 3 2" xfId="4603" xr:uid="{00000000-0005-0000-0000-0000F6110000}"/>
    <cellStyle name="Comma 55 2 4" xfId="4604" xr:uid="{00000000-0005-0000-0000-0000F7110000}"/>
    <cellStyle name="Comma 55 2 4 2" xfId="4605" xr:uid="{00000000-0005-0000-0000-0000F8110000}"/>
    <cellStyle name="Comma 55 2 5" xfId="4606" xr:uid="{00000000-0005-0000-0000-0000F9110000}"/>
    <cellStyle name="Comma 55 3" xfId="4607" xr:uid="{00000000-0005-0000-0000-0000FA110000}"/>
    <cellStyle name="Comma 55 3 2" xfId="4608" xr:uid="{00000000-0005-0000-0000-0000FB110000}"/>
    <cellStyle name="Comma 55 3 2 2" xfId="4609" xr:uid="{00000000-0005-0000-0000-0000FC110000}"/>
    <cellStyle name="Comma 55 3 2 2 2" xfId="4610" xr:uid="{00000000-0005-0000-0000-0000FD110000}"/>
    <cellStyle name="Comma 55 3 2 3" xfId="4611" xr:uid="{00000000-0005-0000-0000-0000FE110000}"/>
    <cellStyle name="Comma 55 3 3" xfId="4612" xr:uid="{00000000-0005-0000-0000-0000FF110000}"/>
    <cellStyle name="Comma 55 3 3 2" xfId="4613" xr:uid="{00000000-0005-0000-0000-000000120000}"/>
    <cellStyle name="Comma 55 3 4" xfId="4614" xr:uid="{00000000-0005-0000-0000-000001120000}"/>
    <cellStyle name="Comma 55 3 4 2" xfId="4615" xr:uid="{00000000-0005-0000-0000-000002120000}"/>
    <cellStyle name="Comma 55 3 5" xfId="4616" xr:uid="{00000000-0005-0000-0000-000003120000}"/>
    <cellStyle name="Comma 55 4" xfId="4617" xr:uid="{00000000-0005-0000-0000-000004120000}"/>
    <cellStyle name="Comma 55 4 2" xfId="4618" xr:uid="{00000000-0005-0000-0000-000005120000}"/>
    <cellStyle name="Comma 55 4 2 2" xfId="4619" xr:uid="{00000000-0005-0000-0000-000006120000}"/>
    <cellStyle name="Comma 55 4 2 2 2" xfId="4620" xr:uid="{00000000-0005-0000-0000-000007120000}"/>
    <cellStyle name="Comma 55 4 2 3" xfId="4621" xr:uid="{00000000-0005-0000-0000-000008120000}"/>
    <cellStyle name="Comma 55 4 3" xfId="4622" xr:uid="{00000000-0005-0000-0000-000009120000}"/>
    <cellStyle name="Comma 55 4 3 2" xfId="4623" xr:uid="{00000000-0005-0000-0000-00000A120000}"/>
    <cellStyle name="Comma 55 4 4" xfId="4624" xr:uid="{00000000-0005-0000-0000-00000B120000}"/>
    <cellStyle name="Comma 55 4 4 2" xfId="4625" xr:uid="{00000000-0005-0000-0000-00000C120000}"/>
    <cellStyle name="Comma 55 4 5" xfId="4626" xr:uid="{00000000-0005-0000-0000-00000D120000}"/>
    <cellStyle name="Comma 55 5" xfId="4627" xr:uid="{00000000-0005-0000-0000-00000E120000}"/>
    <cellStyle name="Comma 55 5 2" xfId="4628" xr:uid="{00000000-0005-0000-0000-00000F120000}"/>
    <cellStyle name="Comma 55 5 2 2" xfId="4629" xr:uid="{00000000-0005-0000-0000-000010120000}"/>
    <cellStyle name="Comma 55 5 2 2 2" xfId="4630" xr:uid="{00000000-0005-0000-0000-000011120000}"/>
    <cellStyle name="Comma 55 5 2 3" xfId="4631" xr:uid="{00000000-0005-0000-0000-000012120000}"/>
    <cellStyle name="Comma 55 5 3" xfId="4632" xr:uid="{00000000-0005-0000-0000-000013120000}"/>
    <cellStyle name="Comma 55 5 3 2" xfId="4633" xr:uid="{00000000-0005-0000-0000-000014120000}"/>
    <cellStyle name="Comma 55 5 4" xfId="4634" xr:uid="{00000000-0005-0000-0000-000015120000}"/>
    <cellStyle name="Comma 55 5 4 2" xfId="4635" xr:uid="{00000000-0005-0000-0000-000016120000}"/>
    <cellStyle name="Comma 55 5 5" xfId="4636" xr:uid="{00000000-0005-0000-0000-000017120000}"/>
    <cellStyle name="Comma 55 6" xfId="4637" xr:uid="{00000000-0005-0000-0000-000018120000}"/>
    <cellStyle name="Comma 55 6 2" xfId="4638" xr:uid="{00000000-0005-0000-0000-000019120000}"/>
    <cellStyle name="Comma 55 6 2 2" xfId="4639" xr:uid="{00000000-0005-0000-0000-00001A120000}"/>
    <cellStyle name="Comma 55 6 2 2 2" xfId="4640" xr:uid="{00000000-0005-0000-0000-00001B120000}"/>
    <cellStyle name="Comma 55 6 2 3" xfId="4641" xr:uid="{00000000-0005-0000-0000-00001C120000}"/>
    <cellStyle name="Comma 55 6 3" xfId="4642" xr:uid="{00000000-0005-0000-0000-00001D120000}"/>
    <cellStyle name="Comma 55 6 3 2" xfId="4643" xr:uid="{00000000-0005-0000-0000-00001E120000}"/>
    <cellStyle name="Comma 55 6 4" xfId="4644" xr:uid="{00000000-0005-0000-0000-00001F120000}"/>
    <cellStyle name="Comma 55 6 4 2" xfId="4645" xr:uid="{00000000-0005-0000-0000-000020120000}"/>
    <cellStyle name="Comma 55 6 5" xfId="4646" xr:uid="{00000000-0005-0000-0000-000021120000}"/>
    <cellStyle name="Comma 55 7" xfId="4647" xr:uid="{00000000-0005-0000-0000-000022120000}"/>
    <cellStyle name="Comma 55 7 2" xfId="4648" xr:uid="{00000000-0005-0000-0000-000023120000}"/>
    <cellStyle name="Comma 55 7 2 2" xfId="4649" xr:uid="{00000000-0005-0000-0000-000024120000}"/>
    <cellStyle name="Comma 55 7 2 2 2" xfId="4650" xr:uid="{00000000-0005-0000-0000-000025120000}"/>
    <cellStyle name="Comma 55 7 2 3" xfId="4651" xr:uid="{00000000-0005-0000-0000-000026120000}"/>
    <cellStyle name="Comma 55 7 3" xfId="4652" xr:uid="{00000000-0005-0000-0000-000027120000}"/>
    <cellStyle name="Comma 55 7 3 2" xfId="4653" xr:uid="{00000000-0005-0000-0000-000028120000}"/>
    <cellStyle name="Comma 55 7 4" xfId="4654" xr:uid="{00000000-0005-0000-0000-000029120000}"/>
    <cellStyle name="Comma 55 8" xfId="4655" xr:uid="{00000000-0005-0000-0000-00002A120000}"/>
    <cellStyle name="Comma 55 8 2" xfId="4656" xr:uid="{00000000-0005-0000-0000-00002B120000}"/>
    <cellStyle name="Comma 55 8 2 2" xfId="4657" xr:uid="{00000000-0005-0000-0000-00002C120000}"/>
    <cellStyle name="Comma 55 8 2 2 2" xfId="4658" xr:uid="{00000000-0005-0000-0000-00002D120000}"/>
    <cellStyle name="Comma 55 8 2 3" xfId="4659" xr:uid="{00000000-0005-0000-0000-00002E120000}"/>
    <cellStyle name="Comma 55 8 3" xfId="4660" xr:uid="{00000000-0005-0000-0000-00002F120000}"/>
    <cellStyle name="Comma 55 8 3 2" xfId="4661" xr:uid="{00000000-0005-0000-0000-000030120000}"/>
    <cellStyle name="Comma 55 8 4" xfId="4662" xr:uid="{00000000-0005-0000-0000-000031120000}"/>
    <cellStyle name="Comma 55 9" xfId="4663" xr:uid="{00000000-0005-0000-0000-000032120000}"/>
    <cellStyle name="Comma 55 9 2" xfId="4664" xr:uid="{00000000-0005-0000-0000-000033120000}"/>
    <cellStyle name="Comma 55 9 2 2" xfId="4665" xr:uid="{00000000-0005-0000-0000-000034120000}"/>
    <cellStyle name="Comma 55 9 3" xfId="4666" xr:uid="{00000000-0005-0000-0000-000035120000}"/>
    <cellStyle name="Comma 56" xfId="4667" xr:uid="{00000000-0005-0000-0000-000036120000}"/>
    <cellStyle name="Comma 56 10" xfId="4668" xr:uid="{00000000-0005-0000-0000-000037120000}"/>
    <cellStyle name="Comma 56 10 2" xfId="4669" xr:uid="{00000000-0005-0000-0000-000038120000}"/>
    <cellStyle name="Comma 56 11" xfId="4670" xr:uid="{00000000-0005-0000-0000-000039120000}"/>
    <cellStyle name="Comma 56 11 2" xfId="4671" xr:uid="{00000000-0005-0000-0000-00003A120000}"/>
    <cellStyle name="Comma 56 12" xfId="4672" xr:uid="{00000000-0005-0000-0000-00003B120000}"/>
    <cellStyle name="Comma 56 2" xfId="4673" xr:uid="{00000000-0005-0000-0000-00003C120000}"/>
    <cellStyle name="Comma 56 2 2" xfId="4674" xr:uid="{00000000-0005-0000-0000-00003D120000}"/>
    <cellStyle name="Comma 56 2 2 2" xfId="4675" xr:uid="{00000000-0005-0000-0000-00003E120000}"/>
    <cellStyle name="Comma 56 2 2 2 2" xfId="4676" xr:uid="{00000000-0005-0000-0000-00003F120000}"/>
    <cellStyle name="Comma 56 2 2 3" xfId="4677" xr:uid="{00000000-0005-0000-0000-000040120000}"/>
    <cellStyle name="Comma 56 2 3" xfId="4678" xr:uid="{00000000-0005-0000-0000-000041120000}"/>
    <cellStyle name="Comma 56 2 3 2" xfId="4679" xr:uid="{00000000-0005-0000-0000-000042120000}"/>
    <cellStyle name="Comma 56 2 4" xfId="4680" xr:uid="{00000000-0005-0000-0000-000043120000}"/>
    <cellStyle name="Comma 56 2 4 2" xfId="4681" xr:uid="{00000000-0005-0000-0000-000044120000}"/>
    <cellStyle name="Comma 56 2 5" xfId="4682" xr:uid="{00000000-0005-0000-0000-000045120000}"/>
    <cellStyle name="Comma 56 3" xfId="4683" xr:uid="{00000000-0005-0000-0000-000046120000}"/>
    <cellStyle name="Comma 56 3 2" xfId="4684" xr:uid="{00000000-0005-0000-0000-000047120000}"/>
    <cellStyle name="Comma 56 3 2 2" xfId="4685" xr:uid="{00000000-0005-0000-0000-000048120000}"/>
    <cellStyle name="Comma 56 3 2 2 2" xfId="4686" xr:uid="{00000000-0005-0000-0000-000049120000}"/>
    <cellStyle name="Comma 56 3 2 3" xfId="4687" xr:uid="{00000000-0005-0000-0000-00004A120000}"/>
    <cellStyle name="Comma 56 3 3" xfId="4688" xr:uid="{00000000-0005-0000-0000-00004B120000}"/>
    <cellStyle name="Comma 56 3 3 2" xfId="4689" xr:uid="{00000000-0005-0000-0000-00004C120000}"/>
    <cellStyle name="Comma 56 3 4" xfId="4690" xr:uid="{00000000-0005-0000-0000-00004D120000}"/>
    <cellStyle name="Comma 56 3 4 2" xfId="4691" xr:uid="{00000000-0005-0000-0000-00004E120000}"/>
    <cellStyle name="Comma 56 3 5" xfId="4692" xr:uid="{00000000-0005-0000-0000-00004F120000}"/>
    <cellStyle name="Comma 56 4" xfId="4693" xr:uid="{00000000-0005-0000-0000-000050120000}"/>
    <cellStyle name="Comma 56 4 2" xfId="4694" xr:uid="{00000000-0005-0000-0000-000051120000}"/>
    <cellStyle name="Comma 56 4 2 2" xfId="4695" xr:uid="{00000000-0005-0000-0000-000052120000}"/>
    <cellStyle name="Comma 56 4 2 2 2" xfId="4696" xr:uid="{00000000-0005-0000-0000-000053120000}"/>
    <cellStyle name="Comma 56 4 2 3" xfId="4697" xr:uid="{00000000-0005-0000-0000-000054120000}"/>
    <cellStyle name="Comma 56 4 3" xfId="4698" xr:uid="{00000000-0005-0000-0000-000055120000}"/>
    <cellStyle name="Comma 56 4 3 2" xfId="4699" xr:uid="{00000000-0005-0000-0000-000056120000}"/>
    <cellStyle name="Comma 56 4 4" xfId="4700" xr:uid="{00000000-0005-0000-0000-000057120000}"/>
    <cellStyle name="Comma 56 4 4 2" xfId="4701" xr:uid="{00000000-0005-0000-0000-000058120000}"/>
    <cellStyle name="Comma 56 4 5" xfId="4702" xr:uid="{00000000-0005-0000-0000-000059120000}"/>
    <cellStyle name="Comma 56 5" xfId="4703" xr:uid="{00000000-0005-0000-0000-00005A120000}"/>
    <cellStyle name="Comma 56 5 2" xfId="4704" xr:uid="{00000000-0005-0000-0000-00005B120000}"/>
    <cellStyle name="Comma 56 5 2 2" xfId="4705" xr:uid="{00000000-0005-0000-0000-00005C120000}"/>
    <cellStyle name="Comma 56 5 2 2 2" xfId="4706" xr:uid="{00000000-0005-0000-0000-00005D120000}"/>
    <cellStyle name="Comma 56 5 2 3" xfId="4707" xr:uid="{00000000-0005-0000-0000-00005E120000}"/>
    <cellStyle name="Comma 56 5 3" xfId="4708" xr:uid="{00000000-0005-0000-0000-00005F120000}"/>
    <cellStyle name="Comma 56 5 3 2" xfId="4709" xr:uid="{00000000-0005-0000-0000-000060120000}"/>
    <cellStyle name="Comma 56 5 4" xfId="4710" xr:uid="{00000000-0005-0000-0000-000061120000}"/>
    <cellStyle name="Comma 56 5 4 2" xfId="4711" xr:uid="{00000000-0005-0000-0000-000062120000}"/>
    <cellStyle name="Comma 56 5 5" xfId="4712" xr:uid="{00000000-0005-0000-0000-000063120000}"/>
    <cellStyle name="Comma 56 6" xfId="4713" xr:uid="{00000000-0005-0000-0000-000064120000}"/>
    <cellStyle name="Comma 56 6 2" xfId="4714" xr:uid="{00000000-0005-0000-0000-000065120000}"/>
    <cellStyle name="Comma 56 6 2 2" xfId="4715" xr:uid="{00000000-0005-0000-0000-000066120000}"/>
    <cellStyle name="Comma 56 6 2 2 2" xfId="4716" xr:uid="{00000000-0005-0000-0000-000067120000}"/>
    <cellStyle name="Comma 56 6 2 3" xfId="4717" xr:uid="{00000000-0005-0000-0000-000068120000}"/>
    <cellStyle name="Comma 56 6 3" xfId="4718" xr:uid="{00000000-0005-0000-0000-000069120000}"/>
    <cellStyle name="Comma 56 6 3 2" xfId="4719" xr:uid="{00000000-0005-0000-0000-00006A120000}"/>
    <cellStyle name="Comma 56 6 4" xfId="4720" xr:uid="{00000000-0005-0000-0000-00006B120000}"/>
    <cellStyle name="Comma 56 6 4 2" xfId="4721" xr:uid="{00000000-0005-0000-0000-00006C120000}"/>
    <cellStyle name="Comma 56 6 5" xfId="4722" xr:uid="{00000000-0005-0000-0000-00006D120000}"/>
    <cellStyle name="Comma 56 7" xfId="4723" xr:uid="{00000000-0005-0000-0000-00006E120000}"/>
    <cellStyle name="Comma 56 7 2" xfId="4724" xr:uid="{00000000-0005-0000-0000-00006F120000}"/>
    <cellStyle name="Comma 56 7 2 2" xfId="4725" xr:uid="{00000000-0005-0000-0000-000070120000}"/>
    <cellStyle name="Comma 56 7 2 2 2" xfId="4726" xr:uid="{00000000-0005-0000-0000-000071120000}"/>
    <cellStyle name="Comma 56 7 2 3" xfId="4727" xr:uid="{00000000-0005-0000-0000-000072120000}"/>
    <cellStyle name="Comma 56 7 3" xfId="4728" xr:uid="{00000000-0005-0000-0000-000073120000}"/>
    <cellStyle name="Comma 56 7 3 2" xfId="4729" xr:uid="{00000000-0005-0000-0000-000074120000}"/>
    <cellStyle name="Comma 56 7 4" xfId="4730" xr:uid="{00000000-0005-0000-0000-000075120000}"/>
    <cellStyle name="Comma 56 8" xfId="4731" xr:uid="{00000000-0005-0000-0000-000076120000}"/>
    <cellStyle name="Comma 56 8 2" xfId="4732" xr:uid="{00000000-0005-0000-0000-000077120000}"/>
    <cellStyle name="Comma 56 8 2 2" xfId="4733" xr:uid="{00000000-0005-0000-0000-000078120000}"/>
    <cellStyle name="Comma 56 8 2 2 2" xfId="4734" xr:uid="{00000000-0005-0000-0000-000079120000}"/>
    <cellStyle name="Comma 56 8 2 3" xfId="4735" xr:uid="{00000000-0005-0000-0000-00007A120000}"/>
    <cellStyle name="Comma 56 8 3" xfId="4736" xr:uid="{00000000-0005-0000-0000-00007B120000}"/>
    <cellStyle name="Comma 56 8 3 2" xfId="4737" xr:uid="{00000000-0005-0000-0000-00007C120000}"/>
    <cellStyle name="Comma 56 8 4" xfId="4738" xr:uid="{00000000-0005-0000-0000-00007D120000}"/>
    <cellStyle name="Comma 56 9" xfId="4739" xr:uid="{00000000-0005-0000-0000-00007E120000}"/>
    <cellStyle name="Comma 56 9 2" xfId="4740" xr:uid="{00000000-0005-0000-0000-00007F120000}"/>
    <cellStyle name="Comma 56 9 2 2" xfId="4741" xr:uid="{00000000-0005-0000-0000-000080120000}"/>
    <cellStyle name="Comma 56 9 3" xfId="4742" xr:uid="{00000000-0005-0000-0000-000081120000}"/>
    <cellStyle name="Comma 57" xfId="4743" xr:uid="{00000000-0005-0000-0000-000082120000}"/>
    <cellStyle name="Comma 57 10" xfId="4744" xr:uid="{00000000-0005-0000-0000-000083120000}"/>
    <cellStyle name="Comma 57 10 2" xfId="4745" xr:uid="{00000000-0005-0000-0000-000084120000}"/>
    <cellStyle name="Comma 57 11" xfId="4746" xr:uid="{00000000-0005-0000-0000-000085120000}"/>
    <cellStyle name="Comma 57 11 2" xfId="4747" xr:uid="{00000000-0005-0000-0000-000086120000}"/>
    <cellStyle name="Comma 57 12" xfId="4748" xr:uid="{00000000-0005-0000-0000-000087120000}"/>
    <cellStyle name="Comma 57 2" xfId="4749" xr:uid="{00000000-0005-0000-0000-000088120000}"/>
    <cellStyle name="Comma 57 2 2" xfId="4750" xr:uid="{00000000-0005-0000-0000-000089120000}"/>
    <cellStyle name="Comma 57 2 2 2" xfId="4751" xr:uid="{00000000-0005-0000-0000-00008A120000}"/>
    <cellStyle name="Comma 57 2 2 2 2" xfId="4752" xr:uid="{00000000-0005-0000-0000-00008B120000}"/>
    <cellStyle name="Comma 57 2 2 3" xfId="4753" xr:uid="{00000000-0005-0000-0000-00008C120000}"/>
    <cellStyle name="Comma 57 2 3" xfId="4754" xr:uid="{00000000-0005-0000-0000-00008D120000}"/>
    <cellStyle name="Comma 57 2 3 2" xfId="4755" xr:uid="{00000000-0005-0000-0000-00008E120000}"/>
    <cellStyle name="Comma 57 2 4" xfId="4756" xr:uid="{00000000-0005-0000-0000-00008F120000}"/>
    <cellStyle name="Comma 57 2 4 2" xfId="4757" xr:uid="{00000000-0005-0000-0000-000090120000}"/>
    <cellStyle name="Comma 57 2 5" xfId="4758" xr:uid="{00000000-0005-0000-0000-000091120000}"/>
    <cellStyle name="Comma 57 3" xfId="4759" xr:uid="{00000000-0005-0000-0000-000092120000}"/>
    <cellStyle name="Comma 57 3 2" xfId="4760" xr:uid="{00000000-0005-0000-0000-000093120000}"/>
    <cellStyle name="Comma 57 3 2 2" xfId="4761" xr:uid="{00000000-0005-0000-0000-000094120000}"/>
    <cellStyle name="Comma 57 3 2 2 2" xfId="4762" xr:uid="{00000000-0005-0000-0000-000095120000}"/>
    <cellStyle name="Comma 57 3 2 3" xfId="4763" xr:uid="{00000000-0005-0000-0000-000096120000}"/>
    <cellStyle name="Comma 57 3 3" xfId="4764" xr:uid="{00000000-0005-0000-0000-000097120000}"/>
    <cellStyle name="Comma 57 3 3 2" xfId="4765" xr:uid="{00000000-0005-0000-0000-000098120000}"/>
    <cellStyle name="Comma 57 3 4" xfId="4766" xr:uid="{00000000-0005-0000-0000-000099120000}"/>
    <cellStyle name="Comma 57 3 4 2" xfId="4767" xr:uid="{00000000-0005-0000-0000-00009A120000}"/>
    <cellStyle name="Comma 57 3 5" xfId="4768" xr:uid="{00000000-0005-0000-0000-00009B120000}"/>
    <cellStyle name="Comma 57 4" xfId="4769" xr:uid="{00000000-0005-0000-0000-00009C120000}"/>
    <cellStyle name="Comma 57 4 2" xfId="4770" xr:uid="{00000000-0005-0000-0000-00009D120000}"/>
    <cellStyle name="Comma 57 4 2 2" xfId="4771" xr:uid="{00000000-0005-0000-0000-00009E120000}"/>
    <cellStyle name="Comma 57 4 2 2 2" xfId="4772" xr:uid="{00000000-0005-0000-0000-00009F120000}"/>
    <cellStyle name="Comma 57 4 2 3" xfId="4773" xr:uid="{00000000-0005-0000-0000-0000A0120000}"/>
    <cellStyle name="Comma 57 4 3" xfId="4774" xr:uid="{00000000-0005-0000-0000-0000A1120000}"/>
    <cellStyle name="Comma 57 4 3 2" xfId="4775" xr:uid="{00000000-0005-0000-0000-0000A2120000}"/>
    <cellStyle name="Comma 57 4 4" xfId="4776" xr:uid="{00000000-0005-0000-0000-0000A3120000}"/>
    <cellStyle name="Comma 57 4 4 2" xfId="4777" xr:uid="{00000000-0005-0000-0000-0000A4120000}"/>
    <cellStyle name="Comma 57 4 5" xfId="4778" xr:uid="{00000000-0005-0000-0000-0000A5120000}"/>
    <cellStyle name="Comma 57 5" xfId="4779" xr:uid="{00000000-0005-0000-0000-0000A6120000}"/>
    <cellStyle name="Comma 57 5 2" xfId="4780" xr:uid="{00000000-0005-0000-0000-0000A7120000}"/>
    <cellStyle name="Comma 57 5 2 2" xfId="4781" xr:uid="{00000000-0005-0000-0000-0000A8120000}"/>
    <cellStyle name="Comma 57 5 2 2 2" xfId="4782" xr:uid="{00000000-0005-0000-0000-0000A9120000}"/>
    <cellStyle name="Comma 57 5 2 3" xfId="4783" xr:uid="{00000000-0005-0000-0000-0000AA120000}"/>
    <cellStyle name="Comma 57 5 3" xfId="4784" xr:uid="{00000000-0005-0000-0000-0000AB120000}"/>
    <cellStyle name="Comma 57 5 3 2" xfId="4785" xr:uid="{00000000-0005-0000-0000-0000AC120000}"/>
    <cellStyle name="Comma 57 5 4" xfId="4786" xr:uid="{00000000-0005-0000-0000-0000AD120000}"/>
    <cellStyle name="Comma 57 5 4 2" xfId="4787" xr:uid="{00000000-0005-0000-0000-0000AE120000}"/>
    <cellStyle name="Comma 57 5 5" xfId="4788" xr:uid="{00000000-0005-0000-0000-0000AF120000}"/>
    <cellStyle name="Comma 57 6" xfId="4789" xr:uid="{00000000-0005-0000-0000-0000B0120000}"/>
    <cellStyle name="Comma 57 6 2" xfId="4790" xr:uid="{00000000-0005-0000-0000-0000B1120000}"/>
    <cellStyle name="Comma 57 6 2 2" xfId="4791" xr:uid="{00000000-0005-0000-0000-0000B2120000}"/>
    <cellStyle name="Comma 57 6 2 2 2" xfId="4792" xr:uid="{00000000-0005-0000-0000-0000B3120000}"/>
    <cellStyle name="Comma 57 6 2 3" xfId="4793" xr:uid="{00000000-0005-0000-0000-0000B4120000}"/>
    <cellStyle name="Comma 57 6 3" xfId="4794" xr:uid="{00000000-0005-0000-0000-0000B5120000}"/>
    <cellStyle name="Comma 57 6 3 2" xfId="4795" xr:uid="{00000000-0005-0000-0000-0000B6120000}"/>
    <cellStyle name="Comma 57 6 4" xfId="4796" xr:uid="{00000000-0005-0000-0000-0000B7120000}"/>
    <cellStyle name="Comma 57 6 4 2" xfId="4797" xr:uid="{00000000-0005-0000-0000-0000B8120000}"/>
    <cellStyle name="Comma 57 6 5" xfId="4798" xr:uid="{00000000-0005-0000-0000-0000B9120000}"/>
    <cellStyle name="Comma 57 7" xfId="4799" xr:uid="{00000000-0005-0000-0000-0000BA120000}"/>
    <cellStyle name="Comma 57 7 2" xfId="4800" xr:uid="{00000000-0005-0000-0000-0000BB120000}"/>
    <cellStyle name="Comma 57 7 2 2" xfId="4801" xr:uid="{00000000-0005-0000-0000-0000BC120000}"/>
    <cellStyle name="Comma 57 7 2 2 2" xfId="4802" xr:uid="{00000000-0005-0000-0000-0000BD120000}"/>
    <cellStyle name="Comma 57 7 2 3" xfId="4803" xr:uid="{00000000-0005-0000-0000-0000BE120000}"/>
    <cellStyle name="Comma 57 7 3" xfId="4804" xr:uid="{00000000-0005-0000-0000-0000BF120000}"/>
    <cellStyle name="Comma 57 7 3 2" xfId="4805" xr:uid="{00000000-0005-0000-0000-0000C0120000}"/>
    <cellStyle name="Comma 57 7 4" xfId="4806" xr:uid="{00000000-0005-0000-0000-0000C1120000}"/>
    <cellStyle name="Comma 57 8" xfId="4807" xr:uid="{00000000-0005-0000-0000-0000C2120000}"/>
    <cellStyle name="Comma 57 8 2" xfId="4808" xr:uid="{00000000-0005-0000-0000-0000C3120000}"/>
    <cellStyle name="Comma 57 8 2 2" xfId="4809" xr:uid="{00000000-0005-0000-0000-0000C4120000}"/>
    <cellStyle name="Comma 57 8 2 2 2" xfId="4810" xr:uid="{00000000-0005-0000-0000-0000C5120000}"/>
    <cellStyle name="Comma 57 8 2 3" xfId="4811" xr:uid="{00000000-0005-0000-0000-0000C6120000}"/>
    <cellStyle name="Comma 57 8 3" xfId="4812" xr:uid="{00000000-0005-0000-0000-0000C7120000}"/>
    <cellStyle name="Comma 57 8 3 2" xfId="4813" xr:uid="{00000000-0005-0000-0000-0000C8120000}"/>
    <cellStyle name="Comma 57 8 4" xfId="4814" xr:uid="{00000000-0005-0000-0000-0000C9120000}"/>
    <cellStyle name="Comma 57 9" xfId="4815" xr:uid="{00000000-0005-0000-0000-0000CA120000}"/>
    <cellStyle name="Comma 57 9 2" xfId="4816" xr:uid="{00000000-0005-0000-0000-0000CB120000}"/>
    <cellStyle name="Comma 57 9 2 2" xfId="4817" xr:uid="{00000000-0005-0000-0000-0000CC120000}"/>
    <cellStyle name="Comma 57 9 3" xfId="4818" xr:uid="{00000000-0005-0000-0000-0000CD120000}"/>
    <cellStyle name="Comma 58" xfId="4819" xr:uid="{00000000-0005-0000-0000-0000CE120000}"/>
    <cellStyle name="Comma 58 10" xfId="4820" xr:uid="{00000000-0005-0000-0000-0000CF120000}"/>
    <cellStyle name="Comma 58 10 2" xfId="4821" xr:uid="{00000000-0005-0000-0000-0000D0120000}"/>
    <cellStyle name="Comma 58 11" xfId="4822" xr:uid="{00000000-0005-0000-0000-0000D1120000}"/>
    <cellStyle name="Comma 58 11 2" xfId="4823" xr:uid="{00000000-0005-0000-0000-0000D2120000}"/>
    <cellStyle name="Comma 58 12" xfId="4824" xr:uid="{00000000-0005-0000-0000-0000D3120000}"/>
    <cellStyle name="Comma 58 2" xfId="4825" xr:uid="{00000000-0005-0000-0000-0000D4120000}"/>
    <cellStyle name="Comma 58 2 2" xfId="4826" xr:uid="{00000000-0005-0000-0000-0000D5120000}"/>
    <cellStyle name="Comma 58 2 2 2" xfId="4827" xr:uid="{00000000-0005-0000-0000-0000D6120000}"/>
    <cellStyle name="Comma 58 2 2 2 2" xfId="4828" xr:uid="{00000000-0005-0000-0000-0000D7120000}"/>
    <cellStyle name="Comma 58 2 2 3" xfId="4829" xr:uid="{00000000-0005-0000-0000-0000D8120000}"/>
    <cellStyle name="Comma 58 2 3" xfId="4830" xr:uid="{00000000-0005-0000-0000-0000D9120000}"/>
    <cellStyle name="Comma 58 2 3 2" xfId="4831" xr:uid="{00000000-0005-0000-0000-0000DA120000}"/>
    <cellStyle name="Comma 58 2 4" xfId="4832" xr:uid="{00000000-0005-0000-0000-0000DB120000}"/>
    <cellStyle name="Comma 58 2 4 2" xfId="4833" xr:uid="{00000000-0005-0000-0000-0000DC120000}"/>
    <cellStyle name="Comma 58 2 5" xfId="4834" xr:uid="{00000000-0005-0000-0000-0000DD120000}"/>
    <cellStyle name="Comma 58 3" xfId="4835" xr:uid="{00000000-0005-0000-0000-0000DE120000}"/>
    <cellStyle name="Comma 58 3 2" xfId="4836" xr:uid="{00000000-0005-0000-0000-0000DF120000}"/>
    <cellStyle name="Comma 58 3 2 2" xfId="4837" xr:uid="{00000000-0005-0000-0000-0000E0120000}"/>
    <cellStyle name="Comma 58 3 2 2 2" xfId="4838" xr:uid="{00000000-0005-0000-0000-0000E1120000}"/>
    <cellStyle name="Comma 58 3 2 3" xfId="4839" xr:uid="{00000000-0005-0000-0000-0000E2120000}"/>
    <cellStyle name="Comma 58 3 3" xfId="4840" xr:uid="{00000000-0005-0000-0000-0000E3120000}"/>
    <cellStyle name="Comma 58 3 3 2" xfId="4841" xr:uid="{00000000-0005-0000-0000-0000E4120000}"/>
    <cellStyle name="Comma 58 3 4" xfId="4842" xr:uid="{00000000-0005-0000-0000-0000E5120000}"/>
    <cellStyle name="Comma 58 3 4 2" xfId="4843" xr:uid="{00000000-0005-0000-0000-0000E6120000}"/>
    <cellStyle name="Comma 58 3 5" xfId="4844" xr:uid="{00000000-0005-0000-0000-0000E7120000}"/>
    <cellStyle name="Comma 58 4" xfId="4845" xr:uid="{00000000-0005-0000-0000-0000E8120000}"/>
    <cellStyle name="Comma 58 4 2" xfId="4846" xr:uid="{00000000-0005-0000-0000-0000E9120000}"/>
    <cellStyle name="Comma 58 4 2 2" xfId="4847" xr:uid="{00000000-0005-0000-0000-0000EA120000}"/>
    <cellStyle name="Comma 58 4 2 2 2" xfId="4848" xr:uid="{00000000-0005-0000-0000-0000EB120000}"/>
    <cellStyle name="Comma 58 4 2 3" xfId="4849" xr:uid="{00000000-0005-0000-0000-0000EC120000}"/>
    <cellStyle name="Comma 58 4 3" xfId="4850" xr:uid="{00000000-0005-0000-0000-0000ED120000}"/>
    <cellStyle name="Comma 58 4 3 2" xfId="4851" xr:uid="{00000000-0005-0000-0000-0000EE120000}"/>
    <cellStyle name="Comma 58 4 4" xfId="4852" xr:uid="{00000000-0005-0000-0000-0000EF120000}"/>
    <cellStyle name="Comma 58 4 4 2" xfId="4853" xr:uid="{00000000-0005-0000-0000-0000F0120000}"/>
    <cellStyle name="Comma 58 4 5" xfId="4854" xr:uid="{00000000-0005-0000-0000-0000F1120000}"/>
    <cellStyle name="Comma 58 5" xfId="4855" xr:uid="{00000000-0005-0000-0000-0000F2120000}"/>
    <cellStyle name="Comma 58 5 2" xfId="4856" xr:uid="{00000000-0005-0000-0000-0000F3120000}"/>
    <cellStyle name="Comma 58 5 2 2" xfId="4857" xr:uid="{00000000-0005-0000-0000-0000F4120000}"/>
    <cellStyle name="Comma 58 5 2 2 2" xfId="4858" xr:uid="{00000000-0005-0000-0000-0000F5120000}"/>
    <cellStyle name="Comma 58 5 2 3" xfId="4859" xr:uid="{00000000-0005-0000-0000-0000F6120000}"/>
    <cellStyle name="Comma 58 5 3" xfId="4860" xr:uid="{00000000-0005-0000-0000-0000F7120000}"/>
    <cellStyle name="Comma 58 5 3 2" xfId="4861" xr:uid="{00000000-0005-0000-0000-0000F8120000}"/>
    <cellStyle name="Comma 58 5 4" xfId="4862" xr:uid="{00000000-0005-0000-0000-0000F9120000}"/>
    <cellStyle name="Comma 58 5 4 2" xfId="4863" xr:uid="{00000000-0005-0000-0000-0000FA120000}"/>
    <cellStyle name="Comma 58 5 5" xfId="4864" xr:uid="{00000000-0005-0000-0000-0000FB120000}"/>
    <cellStyle name="Comma 58 6" xfId="4865" xr:uid="{00000000-0005-0000-0000-0000FC120000}"/>
    <cellStyle name="Comma 58 6 2" xfId="4866" xr:uid="{00000000-0005-0000-0000-0000FD120000}"/>
    <cellStyle name="Comma 58 6 2 2" xfId="4867" xr:uid="{00000000-0005-0000-0000-0000FE120000}"/>
    <cellStyle name="Comma 58 6 2 2 2" xfId="4868" xr:uid="{00000000-0005-0000-0000-0000FF120000}"/>
    <cellStyle name="Comma 58 6 2 3" xfId="4869" xr:uid="{00000000-0005-0000-0000-000000130000}"/>
    <cellStyle name="Comma 58 6 3" xfId="4870" xr:uid="{00000000-0005-0000-0000-000001130000}"/>
    <cellStyle name="Comma 58 6 3 2" xfId="4871" xr:uid="{00000000-0005-0000-0000-000002130000}"/>
    <cellStyle name="Comma 58 6 4" xfId="4872" xr:uid="{00000000-0005-0000-0000-000003130000}"/>
    <cellStyle name="Comma 58 6 4 2" xfId="4873" xr:uid="{00000000-0005-0000-0000-000004130000}"/>
    <cellStyle name="Comma 58 6 5" xfId="4874" xr:uid="{00000000-0005-0000-0000-000005130000}"/>
    <cellStyle name="Comma 58 7" xfId="4875" xr:uid="{00000000-0005-0000-0000-000006130000}"/>
    <cellStyle name="Comma 58 7 2" xfId="4876" xr:uid="{00000000-0005-0000-0000-000007130000}"/>
    <cellStyle name="Comma 58 7 2 2" xfId="4877" xr:uid="{00000000-0005-0000-0000-000008130000}"/>
    <cellStyle name="Comma 58 7 2 2 2" xfId="4878" xr:uid="{00000000-0005-0000-0000-000009130000}"/>
    <cellStyle name="Comma 58 7 2 3" xfId="4879" xr:uid="{00000000-0005-0000-0000-00000A130000}"/>
    <cellStyle name="Comma 58 7 3" xfId="4880" xr:uid="{00000000-0005-0000-0000-00000B130000}"/>
    <cellStyle name="Comma 58 7 3 2" xfId="4881" xr:uid="{00000000-0005-0000-0000-00000C130000}"/>
    <cellStyle name="Comma 58 7 4" xfId="4882" xr:uid="{00000000-0005-0000-0000-00000D130000}"/>
    <cellStyle name="Comma 58 8" xfId="4883" xr:uid="{00000000-0005-0000-0000-00000E130000}"/>
    <cellStyle name="Comma 58 8 2" xfId="4884" xr:uid="{00000000-0005-0000-0000-00000F130000}"/>
    <cellStyle name="Comma 58 8 2 2" xfId="4885" xr:uid="{00000000-0005-0000-0000-000010130000}"/>
    <cellStyle name="Comma 58 8 2 2 2" xfId="4886" xr:uid="{00000000-0005-0000-0000-000011130000}"/>
    <cellStyle name="Comma 58 8 2 3" xfId="4887" xr:uid="{00000000-0005-0000-0000-000012130000}"/>
    <cellStyle name="Comma 58 8 3" xfId="4888" xr:uid="{00000000-0005-0000-0000-000013130000}"/>
    <cellStyle name="Comma 58 8 3 2" xfId="4889" xr:uid="{00000000-0005-0000-0000-000014130000}"/>
    <cellStyle name="Comma 58 8 4" xfId="4890" xr:uid="{00000000-0005-0000-0000-000015130000}"/>
    <cellStyle name="Comma 58 9" xfId="4891" xr:uid="{00000000-0005-0000-0000-000016130000}"/>
    <cellStyle name="Comma 58 9 2" xfId="4892" xr:uid="{00000000-0005-0000-0000-000017130000}"/>
    <cellStyle name="Comma 58 9 2 2" xfId="4893" xr:uid="{00000000-0005-0000-0000-000018130000}"/>
    <cellStyle name="Comma 58 9 3" xfId="4894" xr:uid="{00000000-0005-0000-0000-000019130000}"/>
    <cellStyle name="Comma 59" xfId="4895" xr:uid="{00000000-0005-0000-0000-00001A130000}"/>
    <cellStyle name="Comma 6" xfId="4896" xr:uid="{00000000-0005-0000-0000-00001B130000}"/>
    <cellStyle name="Comma 6 10" xfId="4897" xr:uid="{00000000-0005-0000-0000-00001C130000}"/>
    <cellStyle name="Comma 6 10 2" xfId="4898" xr:uid="{00000000-0005-0000-0000-00001D130000}"/>
    <cellStyle name="Comma 6 10 3" xfId="4899" xr:uid="{00000000-0005-0000-0000-00001E130000}"/>
    <cellStyle name="Comma 6 11" xfId="4900" xr:uid="{00000000-0005-0000-0000-00001F130000}"/>
    <cellStyle name="Comma 6 12" xfId="4901" xr:uid="{00000000-0005-0000-0000-000020130000}"/>
    <cellStyle name="Comma 6 13" xfId="4902" xr:uid="{00000000-0005-0000-0000-000021130000}"/>
    <cellStyle name="Comma 6 2" xfId="4903" xr:uid="{00000000-0005-0000-0000-000022130000}"/>
    <cellStyle name="Comma 6 2 10" xfId="4904" xr:uid="{00000000-0005-0000-0000-000023130000}"/>
    <cellStyle name="Comma 6 2 2" xfId="4905" xr:uid="{00000000-0005-0000-0000-000024130000}"/>
    <cellStyle name="Comma 6 2 2 2" xfId="4906" xr:uid="{00000000-0005-0000-0000-000025130000}"/>
    <cellStyle name="Comma 6 2 2 2 2" xfId="4907" xr:uid="{00000000-0005-0000-0000-000026130000}"/>
    <cellStyle name="Comma 6 2 2 2 2 2" xfId="4908" xr:uid="{00000000-0005-0000-0000-000027130000}"/>
    <cellStyle name="Comma 6 2 2 2 2 2 2" xfId="4909" xr:uid="{00000000-0005-0000-0000-000028130000}"/>
    <cellStyle name="Comma 6 2 2 2 2 2 2 2" xfId="4910" xr:uid="{00000000-0005-0000-0000-000029130000}"/>
    <cellStyle name="Comma 6 2 2 2 2 2 2 3" xfId="4911" xr:uid="{00000000-0005-0000-0000-00002A130000}"/>
    <cellStyle name="Comma 6 2 2 2 2 2 3" xfId="4912" xr:uid="{00000000-0005-0000-0000-00002B130000}"/>
    <cellStyle name="Comma 6 2 2 2 2 2 4" xfId="4913" xr:uid="{00000000-0005-0000-0000-00002C130000}"/>
    <cellStyle name="Comma 6 2 2 2 2 3" xfId="4914" xr:uid="{00000000-0005-0000-0000-00002D130000}"/>
    <cellStyle name="Comma 6 2 2 2 2 3 2" xfId="4915" xr:uid="{00000000-0005-0000-0000-00002E130000}"/>
    <cellStyle name="Comma 6 2 2 2 2 3 3" xfId="4916" xr:uid="{00000000-0005-0000-0000-00002F130000}"/>
    <cellStyle name="Comma 6 2 2 2 2 4" xfId="4917" xr:uid="{00000000-0005-0000-0000-000030130000}"/>
    <cellStyle name="Comma 6 2 2 2 2 5" xfId="4918" xr:uid="{00000000-0005-0000-0000-000031130000}"/>
    <cellStyle name="Comma 6 2 2 2 3" xfId="4919" xr:uid="{00000000-0005-0000-0000-000032130000}"/>
    <cellStyle name="Comma 6 2 2 2 3 2" xfId="4920" xr:uid="{00000000-0005-0000-0000-000033130000}"/>
    <cellStyle name="Comma 6 2 2 2 3 2 2" xfId="4921" xr:uid="{00000000-0005-0000-0000-000034130000}"/>
    <cellStyle name="Comma 6 2 2 2 3 2 3" xfId="4922" xr:uid="{00000000-0005-0000-0000-000035130000}"/>
    <cellStyle name="Comma 6 2 2 2 3 3" xfId="4923" xr:uid="{00000000-0005-0000-0000-000036130000}"/>
    <cellStyle name="Comma 6 2 2 2 3 4" xfId="4924" xr:uid="{00000000-0005-0000-0000-000037130000}"/>
    <cellStyle name="Comma 6 2 2 2 4" xfId="4925" xr:uid="{00000000-0005-0000-0000-000038130000}"/>
    <cellStyle name="Comma 6 2 2 2 4 2" xfId="4926" xr:uid="{00000000-0005-0000-0000-000039130000}"/>
    <cellStyle name="Comma 6 2 2 2 4 3" xfId="4927" xr:uid="{00000000-0005-0000-0000-00003A130000}"/>
    <cellStyle name="Comma 6 2 2 2 5" xfId="4928" xr:uid="{00000000-0005-0000-0000-00003B130000}"/>
    <cellStyle name="Comma 6 2 2 2 6" xfId="4929" xr:uid="{00000000-0005-0000-0000-00003C130000}"/>
    <cellStyle name="Comma 6 2 2 3" xfId="4930" xr:uid="{00000000-0005-0000-0000-00003D130000}"/>
    <cellStyle name="Comma 6 2 2 3 2" xfId="4931" xr:uid="{00000000-0005-0000-0000-00003E130000}"/>
    <cellStyle name="Comma 6 2 2 3 2 2" xfId="4932" xr:uid="{00000000-0005-0000-0000-00003F130000}"/>
    <cellStyle name="Comma 6 2 2 3 2 2 2" xfId="4933" xr:uid="{00000000-0005-0000-0000-000040130000}"/>
    <cellStyle name="Comma 6 2 2 3 2 2 3" xfId="4934" xr:uid="{00000000-0005-0000-0000-000041130000}"/>
    <cellStyle name="Comma 6 2 2 3 2 3" xfId="4935" xr:uid="{00000000-0005-0000-0000-000042130000}"/>
    <cellStyle name="Comma 6 2 2 3 2 4" xfId="4936" xr:uid="{00000000-0005-0000-0000-000043130000}"/>
    <cellStyle name="Comma 6 2 2 3 3" xfId="4937" xr:uid="{00000000-0005-0000-0000-000044130000}"/>
    <cellStyle name="Comma 6 2 2 3 3 2" xfId="4938" xr:uid="{00000000-0005-0000-0000-000045130000}"/>
    <cellStyle name="Comma 6 2 2 3 3 3" xfId="4939" xr:uid="{00000000-0005-0000-0000-000046130000}"/>
    <cellStyle name="Comma 6 2 2 3 4" xfId="4940" xr:uid="{00000000-0005-0000-0000-000047130000}"/>
    <cellStyle name="Comma 6 2 2 3 5" xfId="4941" xr:uid="{00000000-0005-0000-0000-000048130000}"/>
    <cellStyle name="Comma 6 2 2 4" xfId="4942" xr:uid="{00000000-0005-0000-0000-000049130000}"/>
    <cellStyle name="Comma 6 2 2 4 2" xfId="4943" xr:uid="{00000000-0005-0000-0000-00004A130000}"/>
    <cellStyle name="Comma 6 2 2 4 2 2" xfId="4944" xr:uid="{00000000-0005-0000-0000-00004B130000}"/>
    <cellStyle name="Comma 6 2 2 4 2 3" xfId="4945" xr:uid="{00000000-0005-0000-0000-00004C130000}"/>
    <cellStyle name="Comma 6 2 2 4 3" xfId="4946" xr:uid="{00000000-0005-0000-0000-00004D130000}"/>
    <cellStyle name="Comma 6 2 2 4 4" xfId="4947" xr:uid="{00000000-0005-0000-0000-00004E130000}"/>
    <cellStyle name="Comma 6 2 2 5" xfId="4948" xr:uid="{00000000-0005-0000-0000-00004F130000}"/>
    <cellStyle name="Comma 6 2 2 5 2" xfId="4949" xr:uid="{00000000-0005-0000-0000-000050130000}"/>
    <cellStyle name="Comma 6 2 2 5 3" xfId="4950" xr:uid="{00000000-0005-0000-0000-000051130000}"/>
    <cellStyle name="Comma 6 2 2 6" xfId="4951" xr:uid="{00000000-0005-0000-0000-000052130000}"/>
    <cellStyle name="Comma 6 2 2 7" xfId="4952" xr:uid="{00000000-0005-0000-0000-000053130000}"/>
    <cellStyle name="Comma 6 2 3" xfId="4953" xr:uid="{00000000-0005-0000-0000-000054130000}"/>
    <cellStyle name="Comma 6 2 3 2" xfId="4954" xr:uid="{00000000-0005-0000-0000-000055130000}"/>
    <cellStyle name="Comma 6 2 3 2 2" xfId="4955" xr:uid="{00000000-0005-0000-0000-000056130000}"/>
    <cellStyle name="Comma 6 2 3 2 2 2" xfId="4956" xr:uid="{00000000-0005-0000-0000-000057130000}"/>
    <cellStyle name="Comma 6 2 3 2 2 2 2" xfId="4957" xr:uid="{00000000-0005-0000-0000-000058130000}"/>
    <cellStyle name="Comma 6 2 3 2 2 2 3" xfId="4958" xr:uid="{00000000-0005-0000-0000-000059130000}"/>
    <cellStyle name="Comma 6 2 3 2 2 3" xfId="4959" xr:uid="{00000000-0005-0000-0000-00005A130000}"/>
    <cellStyle name="Comma 6 2 3 2 2 4" xfId="4960" xr:uid="{00000000-0005-0000-0000-00005B130000}"/>
    <cellStyle name="Comma 6 2 3 2 3" xfId="4961" xr:uid="{00000000-0005-0000-0000-00005C130000}"/>
    <cellStyle name="Comma 6 2 3 2 3 2" xfId="4962" xr:uid="{00000000-0005-0000-0000-00005D130000}"/>
    <cellStyle name="Comma 6 2 3 2 3 3" xfId="4963" xr:uid="{00000000-0005-0000-0000-00005E130000}"/>
    <cellStyle name="Comma 6 2 3 2 4" xfId="4964" xr:uid="{00000000-0005-0000-0000-00005F130000}"/>
    <cellStyle name="Comma 6 2 3 2 5" xfId="4965" xr:uid="{00000000-0005-0000-0000-000060130000}"/>
    <cellStyle name="Comma 6 2 3 3" xfId="4966" xr:uid="{00000000-0005-0000-0000-000061130000}"/>
    <cellStyle name="Comma 6 2 3 3 2" xfId="4967" xr:uid="{00000000-0005-0000-0000-000062130000}"/>
    <cellStyle name="Comma 6 2 3 3 2 2" xfId="4968" xr:uid="{00000000-0005-0000-0000-000063130000}"/>
    <cellStyle name="Comma 6 2 3 3 2 3" xfId="4969" xr:uid="{00000000-0005-0000-0000-000064130000}"/>
    <cellStyle name="Comma 6 2 3 3 3" xfId="4970" xr:uid="{00000000-0005-0000-0000-000065130000}"/>
    <cellStyle name="Comma 6 2 3 3 4" xfId="4971" xr:uid="{00000000-0005-0000-0000-000066130000}"/>
    <cellStyle name="Comma 6 2 3 4" xfId="4972" xr:uid="{00000000-0005-0000-0000-000067130000}"/>
    <cellStyle name="Comma 6 2 3 4 2" xfId="4973" xr:uid="{00000000-0005-0000-0000-000068130000}"/>
    <cellStyle name="Comma 6 2 3 4 3" xfId="4974" xr:uid="{00000000-0005-0000-0000-000069130000}"/>
    <cellStyle name="Comma 6 2 3 5" xfId="4975" xr:uid="{00000000-0005-0000-0000-00006A130000}"/>
    <cellStyle name="Comma 6 2 3 6" xfId="4976" xr:uid="{00000000-0005-0000-0000-00006B130000}"/>
    <cellStyle name="Comma 6 2 4" xfId="4977" xr:uid="{00000000-0005-0000-0000-00006C130000}"/>
    <cellStyle name="Comma 6 2 5" xfId="4978" xr:uid="{00000000-0005-0000-0000-00006D130000}"/>
    <cellStyle name="Comma 6 2 5 2" xfId="4979" xr:uid="{00000000-0005-0000-0000-00006E130000}"/>
    <cellStyle name="Comma 6 2 5 2 2" xfId="4980" xr:uid="{00000000-0005-0000-0000-00006F130000}"/>
    <cellStyle name="Comma 6 2 5 2 2 2" xfId="4981" xr:uid="{00000000-0005-0000-0000-000070130000}"/>
    <cellStyle name="Comma 6 2 5 2 2 3" xfId="4982" xr:uid="{00000000-0005-0000-0000-000071130000}"/>
    <cellStyle name="Comma 6 2 5 2 3" xfId="4983" xr:uid="{00000000-0005-0000-0000-000072130000}"/>
    <cellStyle name="Comma 6 2 5 2 4" xfId="4984" xr:uid="{00000000-0005-0000-0000-000073130000}"/>
    <cellStyle name="Comma 6 2 5 3" xfId="4985" xr:uid="{00000000-0005-0000-0000-000074130000}"/>
    <cellStyle name="Comma 6 2 5 3 2" xfId="4986" xr:uid="{00000000-0005-0000-0000-000075130000}"/>
    <cellStyle name="Comma 6 2 5 3 3" xfId="4987" xr:uid="{00000000-0005-0000-0000-000076130000}"/>
    <cellStyle name="Comma 6 2 5 4" xfId="4988" xr:uid="{00000000-0005-0000-0000-000077130000}"/>
    <cellStyle name="Comma 6 2 5 5" xfId="4989" xr:uid="{00000000-0005-0000-0000-000078130000}"/>
    <cellStyle name="Comma 6 2 6" xfId="4990" xr:uid="{00000000-0005-0000-0000-000079130000}"/>
    <cellStyle name="Comma 6 2 6 2" xfId="4991" xr:uid="{00000000-0005-0000-0000-00007A130000}"/>
    <cellStyle name="Comma 6 2 6 2 2" xfId="4992" xr:uid="{00000000-0005-0000-0000-00007B130000}"/>
    <cellStyle name="Comma 6 2 6 2 3" xfId="4993" xr:uid="{00000000-0005-0000-0000-00007C130000}"/>
    <cellStyle name="Comma 6 2 6 3" xfId="4994" xr:uid="{00000000-0005-0000-0000-00007D130000}"/>
    <cellStyle name="Comma 6 2 6 4" xfId="4995" xr:uid="{00000000-0005-0000-0000-00007E130000}"/>
    <cellStyle name="Comma 6 2 7" xfId="4996" xr:uid="{00000000-0005-0000-0000-00007F130000}"/>
    <cellStyle name="Comma 6 2 7 2" xfId="4997" xr:uid="{00000000-0005-0000-0000-000080130000}"/>
    <cellStyle name="Comma 6 2 7 3" xfId="4998" xr:uid="{00000000-0005-0000-0000-000081130000}"/>
    <cellStyle name="Comma 6 2 8" xfId="4999" xr:uid="{00000000-0005-0000-0000-000082130000}"/>
    <cellStyle name="Comma 6 2 8 2" xfId="5000" xr:uid="{00000000-0005-0000-0000-000083130000}"/>
    <cellStyle name="Comma 6 2 8 3" xfId="5001" xr:uid="{00000000-0005-0000-0000-000084130000}"/>
    <cellStyle name="Comma 6 2 9" xfId="5002" xr:uid="{00000000-0005-0000-0000-000085130000}"/>
    <cellStyle name="Comma 6 3" xfId="5003" xr:uid="{00000000-0005-0000-0000-000086130000}"/>
    <cellStyle name="Comma 6 3 10" xfId="5004" xr:uid="{00000000-0005-0000-0000-000087130000}"/>
    <cellStyle name="Comma 6 3 2" xfId="5005" xr:uid="{00000000-0005-0000-0000-000088130000}"/>
    <cellStyle name="Comma 6 3 3" xfId="5006" xr:uid="{00000000-0005-0000-0000-000089130000}"/>
    <cellStyle name="Comma 6 3 4" xfId="5007" xr:uid="{00000000-0005-0000-0000-00008A130000}"/>
    <cellStyle name="Comma 6 3 4 2" xfId="5008" xr:uid="{00000000-0005-0000-0000-00008B130000}"/>
    <cellStyle name="Comma 6 3 4 2 2" xfId="5009" xr:uid="{00000000-0005-0000-0000-00008C130000}"/>
    <cellStyle name="Comma 6 3 4 2 2 2" xfId="5010" xr:uid="{00000000-0005-0000-0000-00008D130000}"/>
    <cellStyle name="Comma 6 3 4 2 2 2 2" xfId="5011" xr:uid="{00000000-0005-0000-0000-00008E130000}"/>
    <cellStyle name="Comma 6 3 4 2 2 2 3" xfId="5012" xr:uid="{00000000-0005-0000-0000-00008F130000}"/>
    <cellStyle name="Comma 6 3 4 2 2 3" xfId="5013" xr:uid="{00000000-0005-0000-0000-000090130000}"/>
    <cellStyle name="Comma 6 3 4 2 2 4" xfId="5014" xr:uid="{00000000-0005-0000-0000-000091130000}"/>
    <cellStyle name="Comma 6 3 4 2 3" xfId="5015" xr:uid="{00000000-0005-0000-0000-000092130000}"/>
    <cellStyle name="Comma 6 3 4 2 3 2" xfId="5016" xr:uid="{00000000-0005-0000-0000-000093130000}"/>
    <cellStyle name="Comma 6 3 4 2 3 3" xfId="5017" xr:uid="{00000000-0005-0000-0000-000094130000}"/>
    <cellStyle name="Comma 6 3 4 2 4" xfId="5018" xr:uid="{00000000-0005-0000-0000-000095130000}"/>
    <cellStyle name="Comma 6 3 4 2 5" xfId="5019" xr:uid="{00000000-0005-0000-0000-000096130000}"/>
    <cellStyle name="Comma 6 3 4 3" xfId="5020" xr:uid="{00000000-0005-0000-0000-000097130000}"/>
    <cellStyle name="Comma 6 3 4 3 2" xfId="5021" xr:uid="{00000000-0005-0000-0000-000098130000}"/>
    <cellStyle name="Comma 6 3 4 3 2 2" xfId="5022" xr:uid="{00000000-0005-0000-0000-000099130000}"/>
    <cellStyle name="Comma 6 3 4 3 2 3" xfId="5023" xr:uid="{00000000-0005-0000-0000-00009A130000}"/>
    <cellStyle name="Comma 6 3 4 3 3" xfId="5024" xr:uid="{00000000-0005-0000-0000-00009B130000}"/>
    <cellStyle name="Comma 6 3 4 3 4" xfId="5025" xr:uid="{00000000-0005-0000-0000-00009C130000}"/>
    <cellStyle name="Comma 6 3 4 4" xfId="5026" xr:uid="{00000000-0005-0000-0000-00009D130000}"/>
    <cellStyle name="Comma 6 3 4 4 2" xfId="5027" xr:uid="{00000000-0005-0000-0000-00009E130000}"/>
    <cellStyle name="Comma 6 3 4 4 3" xfId="5028" xr:uid="{00000000-0005-0000-0000-00009F130000}"/>
    <cellStyle name="Comma 6 3 4 5" xfId="5029" xr:uid="{00000000-0005-0000-0000-0000A0130000}"/>
    <cellStyle name="Comma 6 3 4 6" xfId="5030" xr:uid="{00000000-0005-0000-0000-0000A1130000}"/>
    <cellStyle name="Comma 6 3 5" xfId="5031" xr:uid="{00000000-0005-0000-0000-0000A2130000}"/>
    <cellStyle name="Comma 6 3 6" xfId="5032" xr:uid="{00000000-0005-0000-0000-0000A3130000}"/>
    <cellStyle name="Comma 6 3 6 2" xfId="5033" xr:uid="{00000000-0005-0000-0000-0000A4130000}"/>
    <cellStyle name="Comma 6 3 6 2 2" xfId="5034" xr:uid="{00000000-0005-0000-0000-0000A5130000}"/>
    <cellStyle name="Comma 6 3 6 2 2 2" xfId="5035" xr:uid="{00000000-0005-0000-0000-0000A6130000}"/>
    <cellStyle name="Comma 6 3 6 2 2 3" xfId="5036" xr:uid="{00000000-0005-0000-0000-0000A7130000}"/>
    <cellStyle name="Comma 6 3 6 2 3" xfId="5037" xr:uid="{00000000-0005-0000-0000-0000A8130000}"/>
    <cellStyle name="Comma 6 3 6 2 4" xfId="5038" xr:uid="{00000000-0005-0000-0000-0000A9130000}"/>
    <cellStyle name="Comma 6 3 6 3" xfId="5039" xr:uid="{00000000-0005-0000-0000-0000AA130000}"/>
    <cellStyle name="Comma 6 3 6 3 2" xfId="5040" xr:uid="{00000000-0005-0000-0000-0000AB130000}"/>
    <cellStyle name="Comma 6 3 6 3 3" xfId="5041" xr:uid="{00000000-0005-0000-0000-0000AC130000}"/>
    <cellStyle name="Comma 6 3 6 4" xfId="5042" xr:uid="{00000000-0005-0000-0000-0000AD130000}"/>
    <cellStyle name="Comma 6 3 6 5" xfId="5043" xr:uid="{00000000-0005-0000-0000-0000AE130000}"/>
    <cellStyle name="Comma 6 3 7" xfId="5044" xr:uid="{00000000-0005-0000-0000-0000AF130000}"/>
    <cellStyle name="Comma 6 3 7 2" xfId="5045" xr:uid="{00000000-0005-0000-0000-0000B0130000}"/>
    <cellStyle name="Comma 6 3 7 2 2" xfId="5046" xr:uid="{00000000-0005-0000-0000-0000B1130000}"/>
    <cellStyle name="Comma 6 3 7 2 3" xfId="5047" xr:uid="{00000000-0005-0000-0000-0000B2130000}"/>
    <cellStyle name="Comma 6 3 7 3" xfId="5048" xr:uid="{00000000-0005-0000-0000-0000B3130000}"/>
    <cellStyle name="Comma 6 3 7 4" xfId="5049" xr:uid="{00000000-0005-0000-0000-0000B4130000}"/>
    <cellStyle name="Comma 6 3 8" xfId="5050" xr:uid="{00000000-0005-0000-0000-0000B5130000}"/>
    <cellStyle name="Comma 6 3 8 2" xfId="5051" xr:uid="{00000000-0005-0000-0000-0000B6130000}"/>
    <cellStyle name="Comma 6 3 8 3" xfId="5052" xr:uid="{00000000-0005-0000-0000-0000B7130000}"/>
    <cellStyle name="Comma 6 3 9" xfId="5053" xr:uid="{00000000-0005-0000-0000-0000B8130000}"/>
    <cellStyle name="Comma 6 4" xfId="5054" xr:uid="{00000000-0005-0000-0000-0000B9130000}"/>
    <cellStyle name="Comma 6 5" xfId="5055" xr:uid="{00000000-0005-0000-0000-0000BA130000}"/>
    <cellStyle name="Comma 6 5 2" xfId="5056" xr:uid="{00000000-0005-0000-0000-0000BB130000}"/>
    <cellStyle name="Comma 6 5 2 2" xfId="5057" xr:uid="{00000000-0005-0000-0000-0000BC130000}"/>
    <cellStyle name="Comma 6 5 2 2 2" xfId="5058" xr:uid="{00000000-0005-0000-0000-0000BD130000}"/>
    <cellStyle name="Comma 6 5 2 2 2 2" xfId="5059" xr:uid="{00000000-0005-0000-0000-0000BE130000}"/>
    <cellStyle name="Comma 6 5 2 2 2 3" xfId="5060" xr:uid="{00000000-0005-0000-0000-0000BF130000}"/>
    <cellStyle name="Comma 6 5 2 2 3" xfId="5061" xr:uid="{00000000-0005-0000-0000-0000C0130000}"/>
    <cellStyle name="Comma 6 5 2 2 4" xfId="5062" xr:uid="{00000000-0005-0000-0000-0000C1130000}"/>
    <cellStyle name="Comma 6 5 2 3" xfId="5063" xr:uid="{00000000-0005-0000-0000-0000C2130000}"/>
    <cellStyle name="Comma 6 5 2 3 2" xfId="5064" xr:uid="{00000000-0005-0000-0000-0000C3130000}"/>
    <cellStyle name="Comma 6 5 2 3 3" xfId="5065" xr:uid="{00000000-0005-0000-0000-0000C4130000}"/>
    <cellStyle name="Comma 6 5 2 4" xfId="5066" xr:uid="{00000000-0005-0000-0000-0000C5130000}"/>
    <cellStyle name="Comma 6 5 2 5" xfId="5067" xr:uid="{00000000-0005-0000-0000-0000C6130000}"/>
    <cellStyle name="Comma 6 5 3" xfId="5068" xr:uid="{00000000-0005-0000-0000-0000C7130000}"/>
    <cellStyle name="Comma 6 5 3 2" xfId="5069" xr:uid="{00000000-0005-0000-0000-0000C8130000}"/>
    <cellStyle name="Comma 6 5 3 2 2" xfId="5070" xr:uid="{00000000-0005-0000-0000-0000C9130000}"/>
    <cellStyle name="Comma 6 5 3 2 3" xfId="5071" xr:uid="{00000000-0005-0000-0000-0000CA130000}"/>
    <cellStyle name="Comma 6 5 3 3" xfId="5072" xr:uid="{00000000-0005-0000-0000-0000CB130000}"/>
    <cellStyle name="Comma 6 5 3 4" xfId="5073" xr:uid="{00000000-0005-0000-0000-0000CC130000}"/>
    <cellStyle name="Comma 6 5 4" xfId="5074" xr:uid="{00000000-0005-0000-0000-0000CD130000}"/>
    <cellStyle name="Comma 6 5 4 2" xfId="5075" xr:uid="{00000000-0005-0000-0000-0000CE130000}"/>
    <cellStyle name="Comma 6 5 4 3" xfId="5076" xr:uid="{00000000-0005-0000-0000-0000CF130000}"/>
    <cellStyle name="Comma 6 5 5" xfId="5077" xr:uid="{00000000-0005-0000-0000-0000D0130000}"/>
    <cellStyle name="Comma 6 5 6" xfId="5078" xr:uid="{00000000-0005-0000-0000-0000D1130000}"/>
    <cellStyle name="Comma 6 6" xfId="5079" xr:uid="{00000000-0005-0000-0000-0000D2130000}"/>
    <cellStyle name="Comma 6 7" xfId="5080" xr:uid="{00000000-0005-0000-0000-0000D3130000}"/>
    <cellStyle name="Comma 6 7 2" xfId="5081" xr:uid="{00000000-0005-0000-0000-0000D4130000}"/>
    <cellStyle name="Comma 6 7 2 2" xfId="5082" xr:uid="{00000000-0005-0000-0000-0000D5130000}"/>
    <cellStyle name="Comma 6 7 2 2 2" xfId="5083" xr:uid="{00000000-0005-0000-0000-0000D6130000}"/>
    <cellStyle name="Comma 6 7 2 2 3" xfId="5084" xr:uid="{00000000-0005-0000-0000-0000D7130000}"/>
    <cellStyle name="Comma 6 7 2 3" xfId="5085" xr:uid="{00000000-0005-0000-0000-0000D8130000}"/>
    <cellStyle name="Comma 6 7 2 4" xfId="5086" xr:uid="{00000000-0005-0000-0000-0000D9130000}"/>
    <cellStyle name="Comma 6 7 3" xfId="5087" xr:uid="{00000000-0005-0000-0000-0000DA130000}"/>
    <cellStyle name="Comma 6 7 3 2" xfId="5088" xr:uid="{00000000-0005-0000-0000-0000DB130000}"/>
    <cellStyle name="Comma 6 7 3 3" xfId="5089" xr:uid="{00000000-0005-0000-0000-0000DC130000}"/>
    <cellStyle name="Comma 6 7 4" xfId="5090" xr:uid="{00000000-0005-0000-0000-0000DD130000}"/>
    <cellStyle name="Comma 6 7 5" xfId="5091" xr:uid="{00000000-0005-0000-0000-0000DE130000}"/>
    <cellStyle name="Comma 6 8" xfId="5092" xr:uid="{00000000-0005-0000-0000-0000DF130000}"/>
    <cellStyle name="Comma 6 8 2" xfId="5093" xr:uid="{00000000-0005-0000-0000-0000E0130000}"/>
    <cellStyle name="Comma 6 8 2 2" xfId="5094" xr:uid="{00000000-0005-0000-0000-0000E1130000}"/>
    <cellStyle name="Comma 6 8 2 3" xfId="5095" xr:uid="{00000000-0005-0000-0000-0000E2130000}"/>
    <cellStyle name="Comma 6 8 3" xfId="5096" xr:uid="{00000000-0005-0000-0000-0000E3130000}"/>
    <cellStyle name="Comma 6 8 4" xfId="5097" xr:uid="{00000000-0005-0000-0000-0000E4130000}"/>
    <cellStyle name="Comma 6 9" xfId="5098" xr:uid="{00000000-0005-0000-0000-0000E5130000}"/>
    <cellStyle name="Comma 6 9 2" xfId="5099" xr:uid="{00000000-0005-0000-0000-0000E6130000}"/>
    <cellStyle name="Comma 6 9 3" xfId="5100" xr:uid="{00000000-0005-0000-0000-0000E7130000}"/>
    <cellStyle name="Comma 60" xfId="5101" xr:uid="{00000000-0005-0000-0000-0000E8130000}"/>
    <cellStyle name="Comma 61" xfId="5102" xr:uid="{00000000-0005-0000-0000-0000E9130000}"/>
    <cellStyle name="Comma 62" xfId="5103" xr:uid="{00000000-0005-0000-0000-0000EA130000}"/>
    <cellStyle name="Comma 63" xfId="5104" xr:uid="{00000000-0005-0000-0000-0000EB130000}"/>
    <cellStyle name="Comma 64" xfId="5105" xr:uid="{00000000-0005-0000-0000-0000EC130000}"/>
    <cellStyle name="Comma 65" xfId="5106" xr:uid="{00000000-0005-0000-0000-0000ED130000}"/>
    <cellStyle name="Comma 66" xfId="5107" xr:uid="{00000000-0005-0000-0000-0000EE130000}"/>
    <cellStyle name="Comma 67" xfId="5108" xr:uid="{00000000-0005-0000-0000-0000EF130000}"/>
    <cellStyle name="Comma 68" xfId="5109" xr:uid="{00000000-0005-0000-0000-0000F0130000}"/>
    <cellStyle name="Comma 69" xfId="5110" xr:uid="{00000000-0005-0000-0000-0000F1130000}"/>
    <cellStyle name="Comma 7" xfId="5111" xr:uid="{00000000-0005-0000-0000-0000F2130000}"/>
    <cellStyle name="Comma 7 2" xfId="5112" xr:uid="{00000000-0005-0000-0000-0000F3130000}"/>
    <cellStyle name="Comma 7 3" xfId="5113" xr:uid="{00000000-0005-0000-0000-0000F4130000}"/>
    <cellStyle name="Comma 7 3 2" xfId="5114" xr:uid="{00000000-0005-0000-0000-0000F5130000}"/>
    <cellStyle name="Comma 7 3 3" xfId="5115" xr:uid="{00000000-0005-0000-0000-0000F6130000}"/>
    <cellStyle name="Comma 7 4" xfId="5116" xr:uid="{00000000-0005-0000-0000-0000F7130000}"/>
    <cellStyle name="Comma 7 5" xfId="5117" xr:uid="{00000000-0005-0000-0000-0000F8130000}"/>
    <cellStyle name="Comma 7 6" xfId="5118" xr:uid="{00000000-0005-0000-0000-0000F9130000}"/>
    <cellStyle name="Comma 7 7" xfId="5119" xr:uid="{00000000-0005-0000-0000-0000FA130000}"/>
    <cellStyle name="Comma 70" xfId="5120" xr:uid="{00000000-0005-0000-0000-0000FB130000}"/>
    <cellStyle name="Comma 71" xfId="5121" xr:uid="{00000000-0005-0000-0000-0000FC130000}"/>
    <cellStyle name="Comma 72" xfId="5122" xr:uid="{00000000-0005-0000-0000-0000FD130000}"/>
    <cellStyle name="Comma 73" xfId="5123" xr:uid="{00000000-0005-0000-0000-0000FE130000}"/>
    <cellStyle name="Comma 74" xfId="5124" xr:uid="{00000000-0005-0000-0000-0000FF130000}"/>
    <cellStyle name="Comma 75" xfId="5125" xr:uid="{00000000-0005-0000-0000-000000140000}"/>
    <cellStyle name="Comma 76" xfId="5126" xr:uid="{00000000-0005-0000-0000-000001140000}"/>
    <cellStyle name="Comma 77" xfId="5127" xr:uid="{00000000-0005-0000-0000-000002140000}"/>
    <cellStyle name="Comma 78" xfId="5128" xr:uid="{00000000-0005-0000-0000-000003140000}"/>
    <cellStyle name="Comma 79" xfId="5129" xr:uid="{00000000-0005-0000-0000-000004140000}"/>
    <cellStyle name="Comma 8" xfId="5130" xr:uid="{00000000-0005-0000-0000-000005140000}"/>
    <cellStyle name="Comma 8 2" xfId="5131" xr:uid="{00000000-0005-0000-0000-000006140000}"/>
    <cellStyle name="Comma 8 2 2" xfId="5132" xr:uid="{00000000-0005-0000-0000-000007140000}"/>
    <cellStyle name="Comma 8 2 3" xfId="5133" xr:uid="{00000000-0005-0000-0000-000008140000}"/>
    <cellStyle name="Comma 8 3" xfId="5134" xr:uid="{00000000-0005-0000-0000-000009140000}"/>
    <cellStyle name="Comma 8 4" xfId="5135" xr:uid="{00000000-0005-0000-0000-00000A140000}"/>
    <cellStyle name="Comma 8 5" xfId="5136" xr:uid="{00000000-0005-0000-0000-00000B140000}"/>
    <cellStyle name="Comma 80" xfId="5137" xr:uid="{00000000-0005-0000-0000-00000C140000}"/>
    <cellStyle name="Comma 81" xfId="5138" xr:uid="{00000000-0005-0000-0000-00000D140000}"/>
    <cellStyle name="Comma 82" xfId="5139" xr:uid="{00000000-0005-0000-0000-00000E140000}"/>
    <cellStyle name="Comma 83" xfId="5140" xr:uid="{00000000-0005-0000-0000-00000F140000}"/>
    <cellStyle name="Comma 84" xfId="5141" xr:uid="{00000000-0005-0000-0000-000010140000}"/>
    <cellStyle name="Comma 85" xfId="5142" xr:uid="{00000000-0005-0000-0000-000011140000}"/>
    <cellStyle name="Comma 86" xfId="5143" xr:uid="{00000000-0005-0000-0000-000012140000}"/>
    <cellStyle name="Comma 87" xfId="5144" xr:uid="{00000000-0005-0000-0000-000013140000}"/>
    <cellStyle name="Comma 88" xfId="5145" xr:uid="{00000000-0005-0000-0000-000014140000}"/>
    <cellStyle name="Comma 89" xfId="5146" xr:uid="{00000000-0005-0000-0000-000015140000}"/>
    <cellStyle name="Comma 9" xfId="5147" xr:uid="{00000000-0005-0000-0000-000016140000}"/>
    <cellStyle name="Comma 9 2" xfId="5148" xr:uid="{00000000-0005-0000-0000-000017140000}"/>
    <cellStyle name="Comma 9 2 2" xfId="5149" xr:uid="{00000000-0005-0000-0000-000018140000}"/>
    <cellStyle name="Comma 9 2 3" xfId="5150" xr:uid="{00000000-0005-0000-0000-000019140000}"/>
    <cellStyle name="Comma 9 3" xfId="5151" xr:uid="{00000000-0005-0000-0000-00001A140000}"/>
    <cellStyle name="Comma 9 4" xfId="5152" xr:uid="{00000000-0005-0000-0000-00001B140000}"/>
    <cellStyle name="Comma 9 5" xfId="5153" xr:uid="{00000000-0005-0000-0000-00001C140000}"/>
    <cellStyle name="Comma 9 6" xfId="5154" xr:uid="{00000000-0005-0000-0000-00001D140000}"/>
    <cellStyle name="Comma 90" xfId="5155" xr:uid="{00000000-0005-0000-0000-00001E140000}"/>
    <cellStyle name="Comma 91" xfId="5156" xr:uid="{00000000-0005-0000-0000-00001F140000}"/>
    <cellStyle name="Comma 92" xfId="5157" xr:uid="{00000000-0005-0000-0000-000020140000}"/>
    <cellStyle name="Comma 93" xfId="5158" xr:uid="{00000000-0005-0000-0000-000021140000}"/>
    <cellStyle name="Comma 94" xfId="5159" xr:uid="{00000000-0005-0000-0000-000022140000}"/>
    <cellStyle name="Comma 95" xfId="5160" xr:uid="{00000000-0005-0000-0000-000023140000}"/>
    <cellStyle name="Comma 96" xfId="5161" xr:uid="{00000000-0005-0000-0000-000024140000}"/>
    <cellStyle name="Comma 97" xfId="5162" xr:uid="{00000000-0005-0000-0000-000025140000}"/>
    <cellStyle name="Comma 98" xfId="5163" xr:uid="{00000000-0005-0000-0000-000026140000}"/>
    <cellStyle name="Comma 99" xfId="5164" xr:uid="{00000000-0005-0000-0000-000027140000}"/>
    <cellStyle name="Comma(+Credit)" xfId="5165" xr:uid="{00000000-0005-0000-0000-000028140000}"/>
    <cellStyle name="Comma_WSCoefficientSum05" xfId="2" xr:uid="{00000000-0005-0000-0000-000029140000}"/>
    <cellStyle name="Comma0" xfId="5166" xr:uid="{00000000-0005-0000-0000-00002A140000}"/>
    <cellStyle name="Company Name" xfId="5167" xr:uid="{00000000-0005-0000-0000-00002B140000}"/>
    <cellStyle name="Company Name 2" xfId="5168" xr:uid="{00000000-0005-0000-0000-00002C140000}"/>
    <cellStyle name="Company Name 3" xfId="5169" xr:uid="{00000000-0005-0000-0000-00002D140000}"/>
    <cellStyle name="Currency [0] 2" xfId="5170" xr:uid="{00000000-0005-0000-0000-00002E140000}"/>
    <cellStyle name="Currency [0] 2 2" xfId="5171" xr:uid="{00000000-0005-0000-0000-00002F140000}"/>
    <cellStyle name="Currency [0] 2 3" xfId="5172" xr:uid="{00000000-0005-0000-0000-000030140000}"/>
    <cellStyle name="Currency [0] 3" xfId="5173" xr:uid="{00000000-0005-0000-0000-000031140000}"/>
    <cellStyle name="Currency [0] 4" xfId="5174" xr:uid="{00000000-0005-0000-0000-000032140000}"/>
    <cellStyle name="Currency [0] 5" xfId="5175" xr:uid="{00000000-0005-0000-0000-000033140000}"/>
    <cellStyle name="Currency [0] 6" xfId="5176" xr:uid="{00000000-0005-0000-0000-000034140000}"/>
    <cellStyle name="Currency [0] 7" xfId="5177" xr:uid="{00000000-0005-0000-0000-000035140000}"/>
    <cellStyle name="Currency [0] 8" xfId="5178" xr:uid="{00000000-0005-0000-0000-000036140000}"/>
    <cellStyle name="Currency [0] 9" xfId="5179" xr:uid="{00000000-0005-0000-0000-000037140000}"/>
    <cellStyle name="Currency 0.0" xfId="5180" xr:uid="{00000000-0005-0000-0000-000038140000}"/>
    <cellStyle name="Currency 0.00" xfId="5181" xr:uid="{00000000-0005-0000-0000-000039140000}"/>
    <cellStyle name="Currency 0.000" xfId="5182" xr:uid="{00000000-0005-0000-0000-00003A140000}"/>
    <cellStyle name="Currency 10" xfId="5183" xr:uid="{00000000-0005-0000-0000-00003B140000}"/>
    <cellStyle name="Currency 10 2" xfId="5184" xr:uid="{00000000-0005-0000-0000-00003C140000}"/>
    <cellStyle name="Currency 10 3" xfId="5185" xr:uid="{00000000-0005-0000-0000-00003D140000}"/>
    <cellStyle name="Currency 10 4" xfId="5186" xr:uid="{00000000-0005-0000-0000-00003E140000}"/>
    <cellStyle name="Currency 10 5" xfId="5187" xr:uid="{00000000-0005-0000-0000-00003F140000}"/>
    <cellStyle name="Currency 10 6" xfId="5188" xr:uid="{00000000-0005-0000-0000-000040140000}"/>
    <cellStyle name="Currency 10 6 2" xfId="5189" xr:uid="{00000000-0005-0000-0000-000041140000}"/>
    <cellStyle name="Currency 10 6 3" xfId="5190" xr:uid="{00000000-0005-0000-0000-000042140000}"/>
    <cellStyle name="Currency 10 7" xfId="5191" xr:uid="{00000000-0005-0000-0000-000043140000}"/>
    <cellStyle name="Currency 10 8" xfId="5192" xr:uid="{00000000-0005-0000-0000-000044140000}"/>
    <cellStyle name="Currency 10 9" xfId="5193" xr:uid="{00000000-0005-0000-0000-000045140000}"/>
    <cellStyle name="Currency 100" xfId="5194" xr:uid="{00000000-0005-0000-0000-000046140000}"/>
    <cellStyle name="Currency 101" xfId="5195" xr:uid="{00000000-0005-0000-0000-000047140000}"/>
    <cellStyle name="Currency 102" xfId="5196" xr:uid="{00000000-0005-0000-0000-000048140000}"/>
    <cellStyle name="Currency 103" xfId="5197" xr:uid="{00000000-0005-0000-0000-000049140000}"/>
    <cellStyle name="Currency 104" xfId="5198" xr:uid="{00000000-0005-0000-0000-00004A140000}"/>
    <cellStyle name="Currency 105" xfId="5199" xr:uid="{00000000-0005-0000-0000-00004B140000}"/>
    <cellStyle name="Currency 106" xfId="5200" xr:uid="{00000000-0005-0000-0000-00004C140000}"/>
    <cellStyle name="Currency 107" xfId="5201" xr:uid="{00000000-0005-0000-0000-00004D140000}"/>
    <cellStyle name="Currency 108" xfId="5202" xr:uid="{00000000-0005-0000-0000-00004E140000}"/>
    <cellStyle name="Currency 109" xfId="5203" xr:uid="{00000000-0005-0000-0000-00004F140000}"/>
    <cellStyle name="Currency 11" xfId="5204" xr:uid="{00000000-0005-0000-0000-000050140000}"/>
    <cellStyle name="Currency 11 2" xfId="5205" xr:uid="{00000000-0005-0000-0000-000051140000}"/>
    <cellStyle name="Currency 11 3" xfId="5206" xr:uid="{00000000-0005-0000-0000-000052140000}"/>
    <cellStyle name="Currency 110" xfId="5207" xr:uid="{00000000-0005-0000-0000-000053140000}"/>
    <cellStyle name="Currency 111" xfId="5208" xr:uid="{00000000-0005-0000-0000-000054140000}"/>
    <cellStyle name="Currency 112" xfId="5209" xr:uid="{00000000-0005-0000-0000-000055140000}"/>
    <cellStyle name="Currency 113" xfId="5210" xr:uid="{00000000-0005-0000-0000-000056140000}"/>
    <cellStyle name="Currency 114" xfId="5211" xr:uid="{00000000-0005-0000-0000-000057140000}"/>
    <cellStyle name="Currency 115" xfId="5212" xr:uid="{00000000-0005-0000-0000-000058140000}"/>
    <cellStyle name="Currency 116" xfId="5213" xr:uid="{00000000-0005-0000-0000-000059140000}"/>
    <cellStyle name="Currency 117" xfId="5214" xr:uid="{00000000-0005-0000-0000-00005A140000}"/>
    <cellStyle name="Currency 118" xfId="5215" xr:uid="{00000000-0005-0000-0000-00005B140000}"/>
    <cellStyle name="Currency 118 2" xfId="5216" xr:uid="{00000000-0005-0000-0000-00005C140000}"/>
    <cellStyle name="Currency 118 2 2" xfId="5217" xr:uid="{00000000-0005-0000-0000-00005D140000}"/>
    <cellStyle name="Currency 118 2 2 2" xfId="5218" xr:uid="{00000000-0005-0000-0000-00005E140000}"/>
    <cellStyle name="Currency 118 2 3" xfId="5219" xr:uid="{00000000-0005-0000-0000-00005F140000}"/>
    <cellStyle name="Currency 118 3" xfId="5220" xr:uid="{00000000-0005-0000-0000-000060140000}"/>
    <cellStyle name="Currency 118 3 2" xfId="5221" xr:uid="{00000000-0005-0000-0000-000061140000}"/>
    <cellStyle name="Currency 118 4" xfId="5222" xr:uid="{00000000-0005-0000-0000-000062140000}"/>
    <cellStyle name="Currency 118 4 2" xfId="5223" xr:uid="{00000000-0005-0000-0000-000063140000}"/>
    <cellStyle name="Currency 118 5" xfId="5224" xr:uid="{00000000-0005-0000-0000-000064140000}"/>
    <cellStyle name="Currency 119" xfId="5225" xr:uid="{00000000-0005-0000-0000-000065140000}"/>
    <cellStyle name="Currency 119 2" xfId="5226" xr:uid="{00000000-0005-0000-0000-000066140000}"/>
    <cellStyle name="Currency 119 2 2" xfId="5227" xr:uid="{00000000-0005-0000-0000-000067140000}"/>
    <cellStyle name="Currency 119 2 2 2" xfId="5228" xr:uid="{00000000-0005-0000-0000-000068140000}"/>
    <cellStyle name="Currency 119 2 3" xfId="5229" xr:uid="{00000000-0005-0000-0000-000069140000}"/>
    <cellStyle name="Currency 119 3" xfId="5230" xr:uid="{00000000-0005-0000-0000-00006A140000}"/>
    <cellStyle name="Currency 119 3 2" xfId="5231" xr:uid="{00000000-0005-0000-0000-00006B140000}"/>
    <cellStyle name="Currency 119 4" xfId="5232" xr:uid="{00000000-0005-0000-0000-00006C140000}"/>
    <cellStyle name="Currency 119 4 2" xfId="5233" xr:uid="{00000000-0005-0000-0000-00006D140000}"/>
    <cellStyle name="Currency 119 5" xfId="5234" xr:uid="{00000000-0005-0000-0000-00006E140000}"/>
    <cellStyle name="Currency 12" xfId="5235" xr:uid="{00000000-0005-0000-0000-00006F140000}"/>
    <cellStyle name="Currency 12 2" xfId="5236" xr:uid="{00000000-0005-0000-0000-000070140000}"/>
    <cellStyle name="Currency 12 3" xfId="5237" xr:uid="{00000000-0005-0000-0000-000071140000}"/>
    <cellStyle name="Currency 120" xfId="5238" xr:uid="{00000000-0005-0000-0000-000072140000}"/>
    <cellStyle name="Currency 120 2" xfId="5239" xr:uid="{00000000-0005-0000-0000-000073140000}"/>
    <cellStyle name="Currency 120 2 2" xfId="5240" xr:uid="{00000000-0005-0000-0000-000074140000}"/>
    <cellStyle name="Currency 120 2 2 2" xfId="5241" xr:uid="{00000000-0005-0000-0000-000075140000}"/>
    <cellStyle name="Currency 120 2 2 2 2" xfId="5242" xr:uid="{00000000-0005-0000-0000-000076140000}"/>
    <cellStyle name="Currency 120 2 2 2 3" xfId="5243" xr:uid="{00000000-0005-0000-0000-000077140000}"/>
    <cellStyle name="Currency 120 2 2 3" xfId="5244" xr:uid="{00000000-0005-0000-0000-000078140000}"/>
    <cellStyle name="Currency 120 2 2 4" xfId="5245" xr:uid="{00000000-0005-0000-0000-000079140000}"/>
    <cellStyle name="Currency 120 2 3" xfId="5246" xr:uid="{00000000-0005-0000-0000-00007A140000}"/>
    <cellStyle name="Currency 120 2 3 2" xfId="5247" xr:uid="{00000000-0005-0000-0000-00007B140000}"/>
    <cellStyle name="Currency 120 2 3 3" xfId="5248" xr:uid="{00000000-0005-0000-0000-00007C140000}"/>
    <cellStyle name="Currency 120 2 4" xfId="5249" xr:uid="{00000000-0005-0000-0000-00007D140000}"/>
    <cellStyle name="Currency 120 2 5" xfId="5250" xr:uid="{00000000-0005-0000-0000-00007E140000}"/>
    <cellStyle name="Currency 120 3" xfId="5251" xr:uid="{00000000-0005-0000-0000-00007F140000}"/>
    <cellStyle name="Currency 120 3 2" xfId="5252" xr:uid="{00000000-0005-0000-0000-000080140000}"/>
    <cellStyle name="Currency 120 3 2 2" xfId="5253" xr:uid="{00000000-0005-0000-0000-000081140000}"/>
    <cellStyle name="Currency 120 3 2 3" xfId="5254" xr:uid="{00000000-0005-0000-0000-000082140000}"/>
    <cellStyle name="Currency 120 3 3" xfId="5255" xr:uid="{00000000-0005-0000-0000-000083140000}"/>
    <cellStyle name="Currency 120 3 4" xfId="5256" xr:uid="{00000000-0005-0000-0000-000084140000}"/>
    <cellStyle name="Currency 120 4" xfId="5257" xr:uid="{00000000-0005-0000-0000-000085140000}"/>
    <cellStyle name="Currency 120 4 2" xfId="5258" xr:uid="{00000000-0005-0000-0000-000086140000}"/>
    <cellStyle name="Currency 120 4 3" xfId="5259" xr:uid="{00000000-0005-0000-0000-000087140000}"/>
    <cellStyle name="Currency 120 5" xfId="5260" xr:uid="{00000000-0005-0000-0000-000088140000}"/>
    <cellStyle name="Currency 120 6" xfId="5261" xr:uid="{00000000-0005-0000-0000-000089140000}"/>
    <cellStyle name="Currency 121" xfId="5262" xr:uid="{00000000-0005-0000-0000-00008A140000}"/>
    <cellStyle name="Currency 121 2" xfId="5263" xr:uid="{00000000-0005-0000-0000-00008B140000}"/>
    <cellStyle name="Currency 121 2 2" xfId="5264" xr:uid="{00000000-0005-0000-0000-00008C140000}"/>
    <cellStyle name="Currency 121 2 2 2" xfId="5265" xr:uid="{00000000-0005-0000-0000-00008D140000}"/>
    <cellStyle name="Currency 121 2 2 2 2" xfId="5266" xr:uid="{00000000-0005-0000-0000-00008E140000}"/>
    <cellStyle name="Currency 121 2 2 2 3" xfId="5267" xr:uid="{00000000-0005-0000-0000-00008F140000}"/>
    <cellStyle name="Currency 121 2 2 3" xfId="5268" xr:uid="{00000000-0005-0000-0000-000090140000}"/>
    <cellStyle name="Currency 121 2 2 4" xfId="5269" xr:uid="{00000000-0005-0000-0000-000091140000}"/>
    <cellStyle name="Currency 121 2 3" xfId="5270" xr:uid="{00000000-0005-0000-0000-000092140000}"/>
    <cellStyle name="Currency 121 2 3 2" xfId="5271" xr:uid="{00000000-0005-0000-0000-000093140000}"/>
    <cellStyle name="Currency 121 2 3 3" xfId="5272" xr:uid="{00000000-0005-0000-0000-000094140000}"/>
    <cellStyle name="Currency 121 2 4" xfId="5273" xr:uid="{00000000-0005-0000-0000-000095140000}"/>
    <cellStyle name="Currency 121 2 5" xfId="5274" xr:uid="{00000000-0005-0000-0000-000096140000}"/>
    <cellStyle name="Currency 121 3" xfId="5275" xr:uid="{00000000-0005-0000-0000-000097140000}"/>
    <cellStyle name="Currency 121 3 2" xfId="5276" xr:uid="{00000000-0005-0000-0000-000098140000}"/>
    <cellStyle name="Currency 121 3 2 2" xfId="5277" xr:uid="{00000000-0005-0000-0000-000099140000}"/>
    <cellStyle name="Currency 121 3 2 3" xfId="5278" xr:uid="{00000000-0005-0000-0000-00009A140000}"/>
    <cellStyle name="Currency 121 3 3" xfId="5279" xr:uid="{00000000-0005-0000-0000-00009B140000}"/>
    <cellStyle name="Currency 121 3 4" xfId="5280" xr:uid="{00000000-0005-0000-0000-00009C140000}"/>
    <cellStyle name="Currency 121 4" xfId="5281" xr:uid="{00000000-0005-0000-0000-00009D140000}"/>
    <cellStyle name="Currency 121 4 2" xfId="5282" xr:uid="{00000000-0005-0000-0000-00009E140000}"/>
    <cellStyle name="Currency 121 4 3" xfId="5283" xr:uid="{00000000-0005-0000-0000-00009F140000}"/>
    <cellStyle name="Currency 121 5" xfId="5284" xr:uid="{00000000-0005-0000-0000-0000A0140000}"/>
    <cellStyle name="Currency 121 6" xfId="5285" xr:uid="{00000000-0005-0000-0000-0000A1140000}"/>
    <cellStyle name="Currency 122" xfId="5286" xr:uid="{00000000-0005-0000-0000-0000A2140000}"/>
    <cellStyle name="Currency 122 2" xfId="5287" xr:uid="{00000000-0005-0000-0000-0000A3140000}"/>
    <cellStyle name="Currency 122 2 2" xfId="5288" xr:uid="{00000000-0005-0000-0000-0000A4140000}"/>
    <cellStyle name="Currency 122 2 2 2" xfId="5289" xr:uid="{00000000-0005-0000-0000-0000A5140000}"/>
    <cellStyle name="Currency 122 2 2 2 2" xfId="5290" xr:uid="{00000000-0005-0000-0000-0000A6140000}"/>
    <cellStyle name="Currency 122 2 2 2 3" xfId="5291" xr:uid="{00000000-0005-0000-0000-0000A7140000}"/>
    <cellStyle name="Currency 122 2 2 3" xfId="5292" xr:uid="{00000000-0005-0000-0000-0000A8140000}"/>
    <cellStyle name="Currency 122 2 2 4" xfId="5293" xr:uid="{00000000-0005-0000-0000-0000A9140000}"/>
    <cellStyle name="Currency 122 2 3" xfId="5294" xr:uid="{00000000-0005-0000-0000-0000AA140000}"/>
    <cellStyle name="Currency 122 2 3 2" xfId="5295" xr:uid="{00000000-0005-0000-0000-0000AB140000}"/>
    <cellStyle name="Currency 122 2 3 3" xfId="5296" xr:uid="{00000000-0005-0000-0000-0000AC140000}"/>
    <cellStyle name="Currency 122 2 4" xfId="5297" xr:uid="{00000000-0005-0000-0000-0000AD140000}"/>
    <cellStyle name="Currency 122 2 5" xfId="5298" xr:uid="{00000000-0005-0000-0000-0000AE140000}"/>
    <cellStyle name="Currency 122 3" xfId="5299" xr:uid="{00000000-0005-0000-0000-0000AF140000}"/>
    <cellStyle name="Currency 122 3 2" xfId="5300" xr:uid="{00000000-0005-0000-0000-0000B0140000}"/>
    <cellStyle name="Currency 122 3 2 2" xfId="5301" xr:uid="{00000000-0005-0000-0000-0000B1140000}"/>
    <cellStyle name="Currency 122 3 2 3" xfId="5302" xr:uid="{00000000-0005-0000-0000-0000B2140000}"/>
    <cellStyle name="Currency 122 3 3" xfId="5303" xr:uid="{00000000-0005-0000-0000-0000B3140000}"/>
    <cellStyle name="Currency 122 3 4" xfId="5304" xr:uid="{00000000-0005-0000-0000-0000B4140000}"/>
    <cellStyle name="Currency 122 4" xfId="5305" xr:uid="{00000000-0005-0000-0000-0000B5140000}"/>
    <cellStyle name="Currency 122 4 2" xfId="5306" xr:uid="{00000000-0005-0000-0000-0000B6140000}"/>
    <cellStyle name="Currency 122 4 3" xfId="5307" xr:uid="{00000000-0005-0000-0000-0000B7140000}"/>
    <cellStyle name="Currency 122 5" xfId="5308" xr:uid="{00000000-0005-0000-0000-0000B8140000}"/>
    <cellStyle name="Currency 122 6" xfId="5309" xr:uid="{00000000-0005-0000-0000-0000B9140000}"/>
    <cellStyle name="Currency 123" xfId="5310" xr:uid="{00000000-0005-0000-0000-0000BA140000}"/>
    <cellStyle name="Currency 123 2" xfId="5311" xr:uid="{00000000-0005-0000-0000-0000BB140000}"/>
    <cellStyle name="Currency 123 2 2" xfId="5312" xr:uid="{00000000-0005-0000-0000-0000BC140000}"/>
    <cellStyle name="Currency 123 2 2 2" xfId="5313" xr:uid="{00000000-0005-0000-0000-0000BD140000}"/>
    <cellStyle name="Currency 123 2 2 2 2" xfId="5314" xr:uid="{00000000-0005-0000-0000-0000BE140000}"/>
    <cellStyle name="Currency 123 2 2 2 3" xfId="5315" xr:uid="{00000000-0005-0000-0000-0000BF140000}"/>
    <cellStyle name="Currency 123 2 2 3" xfId="5316" xr:uid="{00000000-0005-0000-0000-0000C0140000}"/>
    <cellStyle name="Currency 123 2 2 4" xfId="5317" xr:uid="{00000000-0005-0000-0000-0000C1140000}"/>
    <cellStyle name="Currency 123 2 3" xfId="5318" xr:uid="{00000000-0005-0000-0000-0000C2140000}"/>
    <cellStyle name="Currency 123 2 3 2" xfId="5319" xr:uid="{00000000-0005-0000-0000-0000C3140000}"/>
    <cellStyle name="Currency 123 2 3 3" xfId="5320" xr:uid="{00000000-0005-0000-0000-0000C4140000}"/>
    <cellStyle name="Currency 123 2 4" xfId="5321" xr:uid="{00000000-0005-0000-0000-0000C5140000}"/>
    <cellStyle name="Currency 123 2 5" xfId="5322" xr:uid="{00000000-0005-0000-0000-0000C6140000}"/>
    <cellStyle name="Currency 123 3" xfId="5323" xr:uid="{00000000-0005-0000-0000-0000C7140000}"/>
    <cellStyle name="Currency 123 3 2" xfId="5324" xr:uid="{00000000-0005-0000-0000-0000C8140000}"/>
    <cellStyle name="Currency 123 3 2 2" xfId="5325" xr:uid="{00000000-0005-0000-0000-0000C9140000}"/>
    <cellStyle name="Currency 123 3 2 3" xfId="5326" xr:uid="{00000000-0005-0000-0000-0000CA140000}"/>
    <cellStyle name="Currency 123 3 3" xfId="5327" xr:uid="{00000000-0005-0000-0000-0000CB140000}"/>
    <cellStyle name="Currency 123 3 4" xfId="5328" xr:uid="{00000000-0005-0000-0000-0000CC140000}"/>
    <cellStyle name="Currency 123 4" xfId="5329" xr:uid="{00000000-0005-0000-0000-0000CD140000}"/>
    <cellStyle name="Currency 123 4 2" xfId="5330" xr:uid="{00000000-0005-0000-0000-0000CE140000}"/>
    <cellStyle name="Currency 123 4 3" xfId="5331" xr:uid="{00000000-0005-0000-0000-0000CF140000}"/>
    <cellStyle name="Currency 123 5" xfId="5332" xr:uid="{00000000-0005-0000-0000-0000D0140000}"/>
    <cellStyle name="Currency 123 6" xfId="5333" xr:uid="{00000000-0005-0000-0000-0000D1140000}"/>
    <cellStyle name="Currency 124" xfId="5334" xr:uid="{00000000-0005-0000-0000-0000D2140000}"/>
    <cellStyle name="Currency 124 2" xfId="5335" xr:uid="{00000000-0005-0000-0000-0000D3140000}"/>
    <cellStyle name="Currency 124 2 2" xfId="5336" xr:uid="{00000000-0005-0000-0000-0000D4140000}"/>
    <cellStyle name="Currency 124 2 2 2" xfId="5337" xr:uid="{00000000-0005-0000-0000-0000D5140000}"/>
    <cellStyle name="Currency 124 2 2 2 2" xfId="5338" xr:uid="{00000000-0005-0000-0000-0000D6140000}"/>
    <cellStyle name="Currency 124 2 2 2 3" xfId="5339" xr:uid="{00000000-0005-0000-0000-0000D7140000}"/>
    <cellStyle name="Currency 124 2 2 3" xfId="5340" xr:uid="{00000000-0005-0000-0000-0000D8140000}"/>
    <cellStyle name="Currency 124 2 2 4" xfId="5341" xr:uid="{00000000-0005-0000-0000-0000D9140000}"/>
    <cellStyle name="Currency 124 2 3" xfId="5342" xr:uid="{00000000-0005-0000-0000-0000DA140000}"/>
    <cellStyle name="Currency 124 2 3 2" xfId="5343" xr:uid="{00000000-0005-0000-0000-0000DB140000}"/>
    <cellStyle name="Currency 124 2 3 3" xfId="5344" xr:uid="{00000000-0005-0000-0000-0000DC140000}"/>
    <cellStyle name="Currency 124 2 4" xfId="5345" xr:uid="{00000000-0005-0000-0000-0000DD140000}"/>
    <cellStyle name="Currency 124 2 5" xfId="5346" xr:uid="{00000000-0005-0000-0000-0000DE140000}"/>
    <cellStyle name="Currency 124 3" xfId="5347" xr:uid="{00000000-0005-0000-0000-0000DF140000}"/>
    <cellStyle name="Currency 124 3 2" xfId="5348" xr:uid="{00000000-0005-0000-0000-0000E0140000}"/>
    <cellStyle name="Currency 124 3 2 2" xfId="5349" xr:uid="{00000000-0005-0000-0000-0000E1140000}"/>
    <cellStyle name="Currency 124 3 2 3" xfId="5350" xr:uid="{00000000-0005-0000-0000-0000E2140000}"/>
    <cellStyle name="Currency 124 3 3" xfId="5351" xr:uid="{00000000-0005-0000-0000-0000E3140000}"/>
    <cellStyle name="Currency 124 3 4" xfId="5352" xr:uid="{00000000-0005-0000-0000-0000E4140000}"/>
    <cellStyle name="Currency 124 4" xfId="5353" xr:uid="{00000000-0005-0000-0000-0000E5140000}"/>
    <cellStyle name="Currency 124 4 2" xfId="5354" xr:uid="{00000000-0005-0000-0000-0000E6140000}"/>
    <cellStyle name="Currency 124 4 3" xfId="5355" xr:uid="{00000000-0005-0000-0000-0000E7140000}"/>
    <cellStyle name="Currency 124 5" xfId="5356" xr:uid="{00000000-0005-0000-0000-0000E8140000}"/>
    <cellStyle name="Currency 124 6" xfId="5357" xr:uid="{00000000-0005-0000-0000-0000E9140000}"/>
    <cellStyle name="Currency 125" xfId="5358" xr:uid="{00000000-0005-0000-0000-0000EA140000}"/>
    <cellStyle name="Currency 125 2" xfId="5359" xr:uid="{00000000-0005-0000-0000-0000EB140000}"/>
    <cellStyle name="Currency 125 2 2" xfId="5360" xr:uid="{00000000-0005-0000-0000-0000EC140000}"/>
    <cellStyle name="Currency 125 2 2 2" xfId="5361" xr:uid="{00000000-0005-0000-0000-0000ED140000}"/>
    <cellStyle name="Currency 125 2 2 2 2" xfId="5362" xr:uid="{00000000-0005-0000-0000-0000EE140000}"/>
    <cellStyle name="Currency 125 2 2 2 3" xfId="5363" xr:uid="{00000000-0005-0000-0000-0000EF140000}"/>
    <cellStyle name="Currency 125 2 2 3" xfId="5364" xr:uid="{00000000-0005-0000-0000-0000F0140000}"/>
    <cellStyle name="Currency 125 2 2 4" xfId="5365" xr:uid="{00000000-0005-0000-0000-0000F1140000}"/>
    <cellStyle name="Currency 125 2 3" xfId="5366" xr:uid="{00000000-0005-0000-0000-0000F2140000}"/>
    <cellStyle name="Currency 125 2 3 2" xfId="5367" xr:uid="{00000000-0005-0000-0000-0000F3140000}"/>
    <cellStyle name="Currency 125 2 3 3" xfId="5368" xr:uid="{00000000-0005-0000-0000-0000F4140000}"/>
    <cellStyle name="Currency 125 2 4" xfId="5369" xr:uid="{00000000-0005-0000-0000-0000F5140000}"/>
    <cellStyle name="Currency 125 2 5" xfId="5370" xr:uid="{00000000-0005-0000-0000-0000F6140000}"/>
    <cellStyle name="Currency 125 3" xfId="5371" xr:uid="{00000000-0005-0000-0000-0000F7140000}"/>
    <cellStyle name="Currency 125 3 2" xfId="5372" xr:uid="{00000000-0005-0000-0000-0000F8140000}"/>
    <cellStyle name="Currency 125 3 2 2" xfId="5373" xr:uid="{00000000-0005-0000-0000-0000F9140000}"/>
    <cellStyle name="Currency 125 3 2 3" xfId="5374" xr:uid="{00000000-0005-0000-0000-0000FA140000}"/>
    <cellStyle name="Currency 125 3 3" xfId="5375" xr:uid="{00000000-0005-0000-0000-0000FB140000}"/>
    <cellStyle name="Currency 125 3 4" xfId="5376" xr:uid="{00000000-0005-0000-0000-0000FC140000}"/>
    <cellStyle name="Currency 125 4" xfId="5377" xr:uid="{00000000-0005-0000-0000-0000FD140000}"/>
    <cellStyle name="Currency 125 4 2" xfId="5378" xr:uid="{00000000-0005-0000-0000-0000FE140000}"/>
    <cellStyle name="Currency 125 4 3" xfId="5379" xr:uid="{00000000-0005-0000-0000-0000FF140000}"/>
    <cellStyle name="Currency 125 5" xfId="5380" xr:uid="{00000000-0005-0000-0000-000000150000}"/>
    <cellStyle name="Currency 125 6" xfId="5381" xr:uid="{00000000-0005-0000-0000-000001150000}"/>
    <cellStyle name="Currency 126" xfId="5382" xr:uid="{00000000-0005-0000-0000-000002150000}"/>
    <cellStyle name="Currency 126 2" xfId="5383" xr:uid="{00000000-0005-0000-0000-000003150000}"/>
    <cellStyle name="Currency 126 2 2" xfId="5384" xr:uid="{00000000-0005-0000-0000-000004150000}"/>
    <cellStyle name="Currency 126 2 2 2" xfId="5385" xr:uid="{00000000-0005-0000-0000-000005150000}"/>
    <cellStyle name="Currency 126 2 2 2 2" xfId="5386" xr:uid="{00000000-0005-0000-0000-000006150000}"/>
    <cellStyle name="Currency 126 2 2 2 3" xfId="5387" xr:uid="{00000000-0005-0000-0000-000007150000}"/>
    <cellStyle name="Currency 126 2 2 3" xfId="5388" xr:uid="{00000000-0005-0000-0000-000008150000}"/>
    <cellStyle name="Currency 126 2 2 4" xfId="5389" xr:uid="{00000000-0005-0000-0000-000009150000}"/>
    <cellStyle name="Currency 126 2 3" xfId="5390" xr:uid="{00000000-0005-0000-0000-00000A150000}"/>
    <cellStyle name="Currency 126 2 3 2" xfId="5391" xr:uid="{00000000-0005-0000-0000-00000B150000}"/>
    <cellStyle name="Currency 126 2 3 3" xfId="5392" xr:uid="{00000000-0005-0000-0000-00000C150000}"/>
    <cellStyle name="Currency 126 2 4" xfId="5393" xr:uid="{00000000-0005-0000-0000-00000D150000}"/>
    <cellStyle name="Currency 126 2 5" xfId="5394" xr:uid="{00000000-0005-0000-0000-00000E150000}"/>
    <cellStyle name="Currency 126 3" xfId="5395" xr:uid="{00000000-0005-0000-0000-00000F150000}"/>
    <cellStyle name="Currency 126 3 2" xfId="5396" xr:uid="{00000000-0005-0000-0000-000010150000}"/>
    <cellStyle name="Currency 126 3 2 2" xfId="5397" xr:uid="{00000000-0005-0000-0000-000011150000}"/>
    <cellStyle name="Currency 126 3 2 3" xfId="5398" xr:uid="{00000000-0005-0000-0000-000012150000}"/>
    <cellStyle name="Currency 126 3 3" xfId="5399" xr:uid="{00000000-0005-0000-0000-000013150000}"/>
    <cellStyle name="Currency 126 3 4" xfId="5400" xr:uid="{00000000-0005-0000-0000-000014150000}"/>
    <cellStyle name="Currency 126 4" xfId="5401" xr:uid="{00000000-0005-0000-0000-000015150000}"/>
    <cellStyle name="Currency 126 4 2" xfId="5402" xr:uid="{00000000-0005-0000-0000-000016150000}"/>
    <cellStyle name="Currency 126 4 3" xfId="5403" xr:uid="{00000000-0005-0000-0000-000017150000}"/>
    <cellStyle name="Currency 126 5" xfId="5404" xr:uid="{00000000-0005-0000-0000-000018150000}"/>
    <cellStyle name="Currency 126 6" xfId="5405" xr:uid="{00000000-0005-0000-0000-000019150000}"/>
    <cellStyle name="Currency 127" xfId="5406" xr:uid="{00000000-0005-0000-0000-00001A150000}"/>
    <cellStyle name="Currency 127 2" xfId="5407" xr:uid="{00000000-0005-0000-0000-00001B150000}"/>
    <cellStyle name="Currency 127 2 2" xfId="5408" xr:uid="{00000000-0005-0000-0000-00001C150000}"/>
    <cellStyle name="Currency 127 2 2 2" xfId="5409" xr:uid="{00000000-0005-0000-0000-00001D150000}"/>
    <cellStyle name="Currency 127 2 2 2 2" xfId="5410" xr:uid="{00000000-0005-0000-0000-00001E150000}"/>
    <cellStyle name="Currency 127 2 2 2 3" xfId="5411" xr:uid="{00000000-0005-0000-0000-00001F150000}"/>
    <cellStyle name="Currency 127 2 2 3" xfId="5412" xr:uid="{00000000-0005-0000-0000-000020150000}"/>
    <cellStyle name="Currency 127 2 2 4" xfId="5413" xr:uid="{00000000-0005-0000-0000-000021150000}"/>
    <cellStyle name="Currency 127 2 3" xfId="5414" xr:uid="{00000000-0005-0000-0000-000022150000}"/>
    <cellStyle name="Currency 127 2 3 2" xfId="5415" xr:uid="{00000000-0005-0000-0000-000023150000}"/>
    <cellStyle name="Currency 127 2 3 3" xfId="5416" xr:uid="{00000000-0005-0000-0000-000024150000}"/>
    <cellStyle name="Currency 127 2 4" xfId="5417" xr:uid="{00000000-0005-0000-0000-000025150000}"/>
    <cellStyle name="Currency 127 2 5" xfId="5418" xr:uid="{00000000-0005-0000-0000-000026150000}"/>
    <cellStyle name="Currency 127 3" xfId="5419" xr:uid="{00000000-0005-0000-0000-000027150000}"/>
    <cellStyle name="Currency 127 3 2" xfId="5420" xr:uid="{00000000-0005-0000-0000-000028150000}"/>
    <cellStyle name="Currency 127 3 2 2" xfId="5421" xr:uid="{00000000-0005-0000-0000-000029150000}"/>
    <cellStyle name="Currency 127 3 2 3" xfId="5422" xr:uid="{00000000-0005-0000-0000-00002A150000}"/>
    <cellStyle name="Currency 127 3 3" xfId="5423" xr:uid="{00000000-0005-0000-0000-00002B150000}"/>
    <cellStyle name="Currency 127 3 4" xfId="5424" xr:uid="{00000000-0005-0000-0000-00002C150000}"/>
    <cellStyle name="Currency 127 4" xfId="5425" xr:uid="{00000000-0005-0000-0000-00002D150000}"/>
    <cellStyle name="Currency 127 4 2" xfId="5426" xr:uid="{00000000-0005-0000-0000-00002E150000}"/>
    <cellStyle name="Currency 127 4 3" xfId="5427" xr:uid="{00000000-0005-0000-0000-00002F150000}"/>
    <cellStyle name="Currency 127 5" xfId="5428" xr:uid="{00000000-0005-0000-0000-000030150000}"/>
    <cellStyle name="Currency 127 6" xfId="5429" xr:uid="{00000000-0005-0000-0000-000031150000}"/>
    <cellStyle name="Currency 128" xfId="5430" xr:uid="{00000000-0005-0000-0000-000032150000}"/>
    <cellStyle name="Currency 128 2" xfId="5431" xr:uid="{00000000-0005-0000-0000-000033150000}"/>
    <cellStyle name="Currency 128 2 2" xfId="5432" xr:uid="{00000000-0005-0000-0000-000034150000}"/>
    <cellStyle name="Currency 128 2 2 2" xfId="5433" xr:uid="{00000000-0005-0000-0000-000035150000}"/>
    <cellStyle name="Currency 128 2 2 2 2" xfId="5434" xr:uid="{00000000-0005-0000-0000-000036150000}"/>
    <cellStyle name="Currency 128 2 2 2 3" xfId="5435" xr:uid="{00000000-0005-0000-0000-000037150000}"/>
    <cellStyle name="Currency 128 2 2 3" xfId="5436" xr:uid="{00000000-0005-0000-0000-000038150000}"/>
    <cellStyle name="Currency 128 2 2 4" xfId="5437" xr:uid="{00000000-0005-0000-0000-000039150000}"/>
    <cellStyle name="Currency 128 2 3" xfId="5438" xr:uid="{00000000-0005-0000-0000-00003A150000}"/>
    <cellStyle name="Currency 128 2 3 2" xfId="5439" xr:uid="{00000000-0005-0000-0000-00003B150000}"/>
    <cellStyle name="Currency 128 2 3 3" xfId="5440" xr:uid="{00000000-0005-0000-0000-00003C150000}"/>
    <cellStyle name="Currency 128 2 4" xfId="5441" xr:uid="{00000000-0005-0000-0000-00003D150000}"/>
    <cellStyle name="Currency 128 2 5" xfId="5442" xr:uid="{00000000-0005-0000-0000-00003E150000}"/>
    <cellStyle name="Currency 128 3" xfId="5443" xr:uid="{00000000-0005-0000-0000-00003F150000}"/>
    <cellStyle name="Currency 128 3 2" xfId="5444" xr:uid="{00000000-0005-0000-0000-000040150000}"/>
    <cellStyle name="Currency 128 3 2 2" xfId="5445" xr:uid="{00000000-0005-0000-0000-000041150000}"/>
    <cellStyle name="Currency 128 3 2 3" xfId="5446" xr:uid="{00000000-0005-0000-0000-000042150000}"/>
    <cellStyle name="Currency 128 3 3" xfId="5447" xr:uid="{00000000-0005-0000-0000-000043150000}"/>
    <cellStyle name="Currency 128 3 4" xfId="5448" xr:uid="{00000000-0005-0000-0000-000044150000}"/>
    <cellStyle name="Currency 128 4" xfId="5449" xr:uid="{00000000-0005-0000-0000-000045150000}"/>
    <cellStyle name="Currency 128 4 2" xfId="5450" xr:uid="{00000000-0005-0000-0000-000046150000}"/>
    <cellStyle name="Currency 128 4 3" xfId="5451" xr:uid="{00000000-0005-0000-0000-000047150000}"/>
    <cellStyle name="Currency 128 5" xfId="5452" xr:uid="{00000000-0005-0000-0000-000048150000}"/>
    <cellStyle name="Currency 128 6" xfId="5453" xr:uid="{00000000-0005-0000-0000-000049150000}"/>
    <cellStyle name="Currency 129" xfId="5454" xr:uid="{00000000-0005-0000-0000-00004A150000}"/>
    <cellStyle name="Currency 129 2" xfId="5455" xr:uid="{00000000-0005-0000-0000-00004B150000}"/>
    <cellStyle name="Currency 129 2 2" xfId="5456" xr:uid="{00000000-0005-0000-0000-00004C150000}"/>
    <cellStyle name="Currency 129 2 2 2" xfId="5457" xr:uid="{00000000-0005-0000-0000-00004D150000}"/>
    <cellStyle name="Currency 129 2 2 2 2" xfId="5458" xr:uid="{00000000-0005-0000-0000-00004E150000}"/>
    <cellStyle name="Currency 129 2 2 2 3" xfId="5459" xr:uid="{00000000-0005-0000-0000-00004F150000}"/>
    <cellStyle name="Currency 129 2 2 3" xfId="5460" xr:uid="{00000000-0005-0000-0000-000050150000}"/>
    <cellStyle name="Currency 129 2 2 4" xfId="5461" xr:uid="{00000000-0005-0000-0000-000051150000}"/>
    <cellStyle name="Currency 129 2 3" xfId="5462" xr:uid="{00000000-0005-0000-0000-000052150000}"/>
    <cellStyle name="Currency 129 2 3 2" xfId="5463" xr:uid="{00000000-0005-0000-0000-000053150000}"/>
    <cellStyle name="Currency 129 2 3 3" xfId="5464" xr:uid="{00000000-0005-0000-0000-000054150000}"/>
    <cellStyle name="Currency 129 2 4" xfId="5465" xr:uid="{00000000-0005-0000-0000-000055150000}"/>
    <cellStyle name="Currency 129 2 5" xfId="5466" xr:uid="{00000000-0005-0000-0000-000056150000}"/>
    <cellStyle name="Currency 129 3" xfId="5467" xr:uid="{00000000-0005-0000-0000-000057150000}"/>
    <cellStyle name="Currency 129 3 2" xfId="5468" xr:uid="{00000000-0005-0000-0000-000058150000}"/>
    <cellStyle name="Currency 129 3 2 2" xfId="5469" xr:uid="{00000000-0005-0000-0000-000059150000}"/>
    <cellStyle name="Currency 129 3 2 3" xfId="5470" xr:uid="{00000000-0005-0000-0000-00005A150000}"/>
    <cellStyle name="Currency 129 3 3" xfId="5471" xr:uid="{00000000-0005-0000-0000-00005B150000}"/>
    <cellStyle name="Currency 129 3 4" xfId="5472" xr:uid="{00000000-0005-0000-0000-00005C150000}"/>
    <cellStyle name="Currency 129 4" xfId="5473" xr:uid="{00000000-0005-0000-0000-00005D150000}"/>
    <cellStyle name="Currency 129 4 2" xfId="5474" xr:uid="{00000000-0005-0000-0000-00005E150000}"/>
    <cellStyle name="Currency 129 4 3" xfId="5475" xr:uid="{00000000-0005-0000-0000-00005F150000}"/>
    <cellStyle name="Currency 129 5" xfId="5476" xr:uid="{00000000-0005-0000-0000-000060150000}"/>
    <cellStyle name="Currency 129 6" xfId="5477" xr:uid="{00000000-0005-0000-0000-000061150000}"/>
    <cellStyle name="Currency 13" xfId="5478" xr:uid="{00000000-0005-0000-0000-000062150000}"/>
    <cellStyle name="Currency 13 2" xfId="5479" xr:uid="{00000000-0005-0000-0000-000063150000}"/>
    <cellStyle name="Currency 13 3" xfId="5480" xr:uid="{00000000-0005-0000-0000-000064150000}"/>
    <cellStyle name="Currency 130" xfId="5481" xr:uid="{00000000-0005-0000-0000-000065150000}"/>
    <cellStyle name="Currency 130 2" xfId="5482" xr:uid="{00000000-0005-0000-0000-000066150000}"/>
    <cellStyle name="Currency 130 2 2" xfId="5483" xr:uid="{00000000-0005-0000-0000-000067150000}"/>
    <cellStyle name="Currency 130 2 2 2" xfId="5484" xr:uid="{00000000-0005-0000-0000-000068150000}"/>
    <cellStyle name="Currency 130 2 2 2 2" xfId="5485" xr:uid="{00000000-0005-0000-0000-000069150000}"/>
    <cellStyle name="Currency 130 2 2 2 3" xfId="5486" xr:uid="{00000000-0005-0000-0000-00006A150000}"/>
    <cellStyle name="Currency 130 2 2 3" xfId="5487" xr:uid="{00000000-0005-0000-0000-00006B150000}"/>
    <cellStyle name="Currency 130 2 2 4" xfId="5488" xr:uid="{00000000-0005-0000-0000-00006C150000}"/>
    <cellStyle name="Currency 130 2 3" xfId="5489" xr:uid="{00000000-0005-0000-0000-00006D150000}"/>
    <cellStyle name="Currency 130 2 3 2" xfId="5490" xr:uid="{00000000-0005-0000-0000-00006E150000}"/>
    <cellStyle name="Currency 130 2 3 3" xfId="5491" xr:uid="{00000000-0005-0000-0000-00006F150000}"/>
    <cellStyle name="Currency 130 2 4" xfId="5492" xr:uid="{00000000-0005-0000-0000-000070150000}"/>
    <cellStyle name="Currency 130 2 5" xfId="5493" xr:uid="{00000000-0005-0000-0000-000071150000}"/>
    <cellStyle name="Currency 130 3" xfId="5494" xr:uid="{00000000-0005-0000-0000-000072150000}"/>
    <cellStyle name="Currency 130 3 2" xfId="5495" xr:uid="{00000000-0005-0000-0000-000073150000}"/>
    <cellStyle name="Currency 130 3 2 2" xfId="5496" xr:uid="{00000000-0005-0000-0000-000074150000}"/>
    <cellStyle name="Currency 130 3 2 3" xfId="5497" xr:uid="{00000000-0005-0000-0000-000075150000}"/>
    <cellStyle name="Currency 130 3 3" xfId="5498" xr:uid="{00000000-0005-0000-0000-000076150000}"/>
    <cellStyle name="Currency 130 3 4" xfId="5499" xr:uid="{00000000-0005-0000-0000-000077150000}"/>
    <cellStyle name="Currency 130 4" xfId="5500" xr:uid="{00000000-0005-0000-0000-000078150000}"/>
    <cellStyle name="Currency 130 4 2" xfId="5501" xr:uid="{00000000-0005-0000-0000-000079150000}"/>
    <cellStyle name="Currency 130 4 3" xfId="5502" xr:uid="{00000000-0005-0000-0000-00007A150000}"/>
    <cellStyle name="Currency 130 5" xfId="5503" xr:uid="{00000000-0005-0000-0000-00007B150000}"/>
    <cellStyle name="Currency 130 6" xfId="5504" xr:uid="{00000000-0005-0000-0000-00007C150000}"/>
    <cellStyle name="Currency 131" xfId="5505" xr:uid="{00000000-0005-0000-0000-00007D150000}"/>
    <cellStyle name="Currency 132" xfId="5506" xr:uid="{00000000-0005-0000-0000-00007E150000}"/>
    <cellStyle name="Currency 133" xfId="5507" xr:uid="{00000000-0005-0000-0000-00007F150000}"/>
    <cellStyle name="Currency 134" xfId="5508" xr:uid="{00000000-0005-0000-0000-000080150000}"/>
    <cellStyle name="Currency 135" xfId="5509" xr:uid="{00000000-0005-0000-0000-000081150000}"/>
    <cellStyle name="Currency 136" xfId="5510" xr:uid="{00000000-0005-0000-0000-000082150000}"/>
    <cellStyle name="Currency 137" xfId="5511" xr:uid="{00000000-0005-0000-0000-000083150000}"/>
    <cellStyle name="Currency 138" xfId="5512" xr:uid="{00000000-0005-0000-0000-000084150000}"/>
    <cellStyle name="Currency 139" xfId="5513" xr:uid="{00000000-0005-0000-0000-000085150000}"/>
    <cellStyle name="Currency 14" xfId="5514" xr:uid="{00000000-0005-0000-0000-000086150000}"/>
    <cellStyle name="Currency 14 2" xfId="5515" xr:uid="{00000000-0005-0000-0000-000087150000}"/>
    <cellStyle name="Currency 14 3" xfId="5516" xr:uid="{00000000-0005-0000-0000-000088150000}"/>
    <cellStyle name="Currency 140" xfId="5517" xr:uid="{00000000-0005-0000-0000-000089150000}"/>
    <cellStyle name="Currency 141" xfId="5518" xr:uid="{00000000-0005-0000-0000-00008A150000}"/>
    <cellStyle name="Currency 142" xfId="5519" xr:uid="{00000000-0005-0000-0000-00008B150000}"/>
    <cellStyle name="Currency 143" xfId="5520" xr:uid="{00000000-0005-0000-0000-00008C150000}"/>
    <cellStyle name="Currency 144" xfId="5521" xr:uid="{00000000-0005-0000-0000-00008D150000}"/>
    <cellStyle name="Currency 145" xfId="5522" xr:uid="{00000000-0005-0000-0000-00008E150000}"/>
    <cellStyle name="Currency 146" xfId="5523" xr:uid="{00000000-0005-0000-0000-00008F150000}"/>
    <cellStyle name="Currency 147" xfId="5524" xr:uid="{00000000-0005-0000-0000-000090150000}"/>
    <cellStyle name="Currency 148" xfId="5525" xr:uid="{00000000-0005-0000-0000-000091150000}"/>
    <cellStyle name="Currency 149" xfId="5526" xr:uid="{00000000-0005-0000-0000-000092150000}"/>
    <cellStyle name="Currency 15" xfId="5527" xr:uid="{00000000-0005-0000-0000-000093150000}"/>
    <cellStyle name="Currency 15 2" xfId="5528" xr:uid="{00000000-0005-0000-0000-000094150000}"/>
    <cellStyle name="Currency 15 3" xfId="5529" xr:uid="{00000000-0005-0000-0000-000095150000}"/>
    <cellStyle name="Currency 150" xfId="5530" xr:uid="{00000000-0005-0000-0000-000096150000}"/>
    <cellStyle name="Currency 151" xfId="5531" xr:uid="{00000000-0005-0000-0000-000097150000}"/>
    <cellStyle name="Currency 152" xfId="5532" xr:uid="{00000000-0005-0000-0000-000098150000}"/>
    <cellStyle name="Currency 153" xfId="5533" xr:uid="{00000000-0005-0000-0000-000099150000}"/>
    <cellStyle name="Currency 154" xfId="5534" xr:uid="{00000000-0005-0000-0000-00009A150000}"/>
    <cellStyle name="Currency 155" xfId="5535" xr:uid="{00000000-0005-0000-0000-00009B150000}"/>
    <cellStyle name="Currency 156" xfId="5536" xr:uid="{00000000-0005-0000-0000-00009C150000}"/>
    <cellStyle name="Currency 157" xfId="5537" xr:uid="{00000000-0005-0000-0000-00009D150000}"/>
    <cellStyle name="Currency 158" xfId="5538" xr:uid="{00000000-0005-0000-0000-00009E150000}"/>
    <cellStyle name="Currency 159" xfId="5539" xr:uid="{00000000-0005-0000-0000-00009F150000}"/>
    <cellStyle name="Currency 159 2" xfId="5540" xr:uid="{00000000-0005-0000-0000-0000A0150000}"/>
    <cellStyle name="Currency 159 2 2" xfId="5541" xr:uid="{00000000-0005-0000-0000-0000A1150000}"/>
    <cellStyle name="Currency 159 2 2 2" xfId="5542" xr:uid="{00000000-0005-0000-0000-0000A2150000}"/>
    <cellStyle name="Currency 159 2 2 2 2" xfId="5543" xr:uid="{00000000-0005-0000-0000-0000A3150000}"/>
    <cellStyle name="Currency 159 2 2 2 3" xfId="5544" xr:uid="{00000000-0005-0000-0000-0000A4150000}"/>
    <cellStyle name="Currency 159 2 2 3" xfId="5545" xr:uid="{00000000-0005-0000-0000-0000A5150000}"/>
    <cellStyle name="Currency 159 2 2 4" xfId="5546" xr:uid="{00000000-0005-0000-0000-0000A6150000}"/>
    <cellStyle name="Currency 159 2 3" xfId="5547" xr:uid="{00000000-0005-0000-0000-0000A7150000}"/>
    <cellStyle name="Currency 159 2 3 2" xfId="5548" xr:uid="{00000000-0005-0000-0000-0000A8150000}"/>
    <cellStyle name="Currency 159 2 3 3" xfId="5549" xr:uid="{00000000-0005-0000-0000-0000A9150000}"/>
    <cellStyle name="Currency 159 2 4" xfId="5550" xr:uid="{00000000-0005-0000-0000-0000AA150000}"/>
    <cellStyle name="Currency 159 2 5" xfId="5551" xr:uid="{00000000-0005-0000-0000-0000AB150000}"/>
    <cellStyle name="Currency 159 3" xfId="5552" xr:uid="{00000000-0005-0000-0000-0000AC150000}"/>
    <cellStyle name="Currency 159 3 2" xfId="5553" xr:uid="{00000000-0005-0000-0000-0000AD150000}"/>
    <cellStyle name="Currency 159 3 2 2" xfId="5554" xr:uid="{00000000-0005-0000-0000-0000AE150000}"/>
    <cellStyle name="Currency 159 3 2 3" xfId="5555" xr:uid="{00000000-0005-0000-0000-0000AF150000}"/>
    <cellStyle name="Currency 159 3 3" xfId="5556" xr:uid="{00000000-0005-0000-0000-0000B0150000}"/>
    <cellStyle name="Currency 159 3 4" xfId="5557" xr:uid="{00000000-0005-0000-0000-0000B1150000}"/>
    <cellStyle name="Currency 159 4" xfId="5558" xr:uid="{00000000-0005-0000-0000-0000B2150000}"/>
    <cellStyle name="Currency 159 4 2" xfId="5559" xr:uid="{00000000-0005-0000-0000-0000B3150000}"/>
    <cellStyle name="Currency 159 4 3" xfId="5560" xr:uid="{00000000-0005-0000-0000-0000B4150000}"/>
    <cellStyle name="Currency 159 5" xfId="5561" xr:uid="{00000000-0005-0000-0000-0000B5150000}"/>
    <cellStyle name="Currency 159 6" xfId="5562" xr:uid="{00000000-0005-0000-0000-0000B6150000}"/>
    <cellStyle name="Currency 16" xfId="5563" xr:uid="{00000000-0005-0000-0000-0000B7150000}"/>
    <cellStyle name="Currency 16 2" xfId="5564" xr:uid="{00000000-0005-0000-0000-0000B8150000}"/>
    <cellStyle name="Currency 16 3" xfId="5565" xr:uid="{00000000-0005-0000-0000-0000B9150000}"/>
    <cellStyle name="Currency 160" xfId="5566" xr:uid="{00000000-0005-0000-0000-0000BA150000}"/>
    <cellStyle name="Currency 161" xfId="5567" xr:uid="{00000000-0005-0000-0000-0000BB150000}"/>
    <cellStyle name="Currency 162" xfId="5568" xr:uid="{00000000-0005-0000-0000-0000BC150000}"/>
    <cellStyle name="Currency 162 2" xfId="5569" xr:uid="{00000000-0005-0000-0000-0000BD150000}"/>
    <cellStyle name="Currency 162 3" xfId="5570" xr:uid="{00000000-0005-0000-0000-0000BE150000}"/>
    <cellStyle name="Currency 162 3 2" xfId="5571" xr:uid="{00000000-0005-0000-0000-0000BF150000}"/>
    <cellStyle name="Currency 162 3 2 2" xfId="5572" xr:uid="{00000000-0005-0000-0000-0000C0150000}"/>
    <cellStyle name="Currency 162 3 2 3" xfId="5573" xr:uid="{00000000-0005-0000-0000-0000C1150000}"/>
    <cellStyle name="Currency 162 3 3" xfId="5574" xr:uid="{00000000-0005-0000-0000-0000C2150000}"/>
    <cellStyle name="Currency 162 3 4" xfId="5575" xr:uid="{00000000-0005-0000-0000-0000C3150000}"/>
    <cellStyle name="Currency 162 4" xfId="5576" xr:uid="{00000000-0005-0000-0000-0000C4150000}"/>
    <cellStyle name="Currency 162 4 2" xfId="5577" xr:uid="{00000000-0005-0000-0000-0000C5150000}"/>
    <cellStyle name="Currency 162 4 3" xfId="5578" xr:uid="{00000000-0005-0000-0000-0000C6150000}"/>
    <cellStyle name="Currency 162 5" xfId="5579" xr:uid="{00000000-0005-0000-0000-0000C7150000}"/>
    <cellStyle name="Currency 162 6" xfId="5580" xr:uid="{00000000-0005-0000-0000-0000C8150000}"/>
    <cellStyle name="Currency 163" xfId="5581" xr:uid="{00000000-0005-0000-0000-0000C9150000}"/>
    <cellStyle name="Currency 164" xfId="5582" xr:uid="{00000000-0005-0000-0000-0000CA150000}"/>
    <cellStyle name="Currency 165" xfId="5583" xr:uid="{00000000-0005-0000-0000-0000CB150000}"/>
    <cellStyle name="Currency 166" xfId="5584" xr:uid="{00000000-0005-0000-0000-0000CC150000}"/>
    <cellStyle name="Currency 167" xfId="5585" xr:uid="{00000000-0005-0000-0000-0000CD150000}"/>
    <cellStyle name="Currency 168" xfId="5586" xr:uid="{00000000-0005-0000-0000-0000CE150000}"/>
    <cellStyle name="Currency 169" xfId="5587" xr:uid="{00000000-0005-0000-0000-0000CF150000}"/>
    <cellStyle name="Currency 17" xfId="5588" xr:uid="{00000000-0005-0000-0000-0000D0150000}"/>
    <cellStyle name="Currency 17 2" xfId="5589" xr:uid="{00000000-0005-0000-0000-0000D1150000}"/>
    <cellStyle name="Currency 17 3" xfId="5590" xr:uid="{00000000-0005-0000-0000-0000D2150000}"/>
    <cellStyle name="Currency 170" xfId="5591" xr:uid="{00000000-0005-0000-0000-0000D3150000}"/>
    <cellStyle name="Currency 171" xfId="5592" xr:uid="{00000000-0005-0000-0000-0000D4150000}"/>
    <cellStyle name="Currency 172" xfId="5593" xr:uid="{00000000-0005-0000-0000-0000D5150000}"/>
    <cellStyle name="Currency 173" xfId="5594" xr:uid="{00000000-0005-0000-0000-0000D6150000}"/>
    <cellStyle name="Currency 174" xfId="5595" xr:uid="{00000000-0005-0000-0000-0000D7150000}"/>
    <cellStyle name="Currency 175" xfId="5596" xr:uid="{00000000-0005-0000-0000-0000D8150000}"/>
    <cellStyle name="Currency 176" xfId="5597" xr:uid="{00000000-0005-0000-0000-0000D9150000}"/>
    <cellStyle name="Currency 177" xfId="5598" xr:uid="{00000000-0005-0000-0000-0000DA150000}"/>
    <cellStyle name="Currency 178" xfId="5599" xr:uid="{00000000-0005-0000-0000-0000DB150000}"/>
    <cellStyle name="Currency 179" xfId="5600" xr:uid="{00000000-0005-0000-0000-0000DC150000}"/>
    <cellStyle name="Currency 179 2" xfId="5601" xr:uid="{00000000-0005-0000-0000-0000DD150000}"/>
    <cellStyle name="Currency 179 2 2" xfId="5602" xr:uid="{00000000-0005-0000-0000-0000DE150000}"/>
    <cellStyle name="Currency 179 2 2 2" xfId="5603" xr:uid="{00000000-0005-0000-0000-0000DF150000}"/>
    <cellStyle name="Currency 179 2 2 3" xfId="5604" xr:uid="{00000000-0005-0000-0000-0000E0150000}"/>
    <cellStyle name="Currency 179 2 3" xfId="5605" xr:uid="{00000000-0005-0000-0000-0000E1150000}"/>
    <cellStyle name="Currency 179 2 4" xfId="5606" xr:uid="{00000000-0005-0000-0000-0000E2150000}"/>
    <cellStyle name="Currency 179 3" xfId="5607" xr:uid="{00000000-0005-0000-0000-0000E3150000}"/>
    <cellStyle name="Currency 179 3 2" xfId="5608" xr:uid="{00000000-0005-0000-0000-0000E4150000}"/>
    <cellStyle name="Currency 179 3 3" xfId="5609" xr:uid="{00000000-0005-0000-0000-0000E5150000}"/>
    <cellStyle name="Currency 179 4" xfId="5610" xr:uid="{00000000-0005-0000-0000-0000E6150000}"/>
    <cellStyle name="Currency 179 5" xfId="5611" xr:uid="{00000000-0005-0000-0000-0000E7150000}"/>
    <cellStyle name="Currency 18" xfId="5612" xr:uid="{00000000-0005-0000-0000-0000E8150000}"/>
    <cellStyle name="Currency 18 2" xfId="5613" xr:uid="{00000000-0005-0000-0000-0000E9150000}"/>
    <cellStyle name="Currency 18 3" xfId="5614" xr:uid="{00000000-0005-0000-0000-0000EA150000}"/>
    <cellStyle name="Currency 180" xfId="5615" xr:uid="{00000000-0005-0000-0000-0000EB150000}"/>
    <cellStyle name="Currency 181" xfId="5616" xr:uid="{00000000-0005-0000-0000-0000EC150000}"/>
    <cellStyle name="Currency 182" xfId="5617" xr:uid="{00000000-0005-0000-0000-0000ED150000}"/>
    <cellStyle name="Currency 183" xfId="5618" xr:uid="{00000000-0005-0000-0000-0000EE150000}"/>
    <cellStyle name="Currency 184" xfId="5619" xr:uid="{00000000-0005-0000-0000-0000EF150000}"/>
    <cellStyle name="Currency 185" xfId="5620" xr:uid="{00000000-0005-0000-0000-0000F0150000}"/>
    <cellStyle name="Currency 186" xfId="5621" xr:uid="{00000000-0005-0000-0000-0000F1150000}"/>
    <cellStyle name="Currency 187" xfId="5622" xr:uid="{00000000-0005-0000-0000-0000F2150000}"/>
    <cellStyle name="Currency 188" xfId="5623" xr:uid="{00000000-0005-0000-0000-0000F3150000}"/>
    <cellStyle name="Currency 189" xfId="21845" xr:uid="{00000000-0005-0000-0000-0000F4150000}"/>
    <cellStyle name="Currency 19" xfId="5624" xr:uid="{00000000-0005-0000-0000-0000F5150000}"/>
    <cellStyle name="Currency 19 2" xfId="5625" xr:uid="{00000000-0005-0000-0000-0000F6150000}"/>
    <cellStyle name="Currency 19 3" xfId="5626" xr:uid="{00000000-0005-0000-0000-0000F7150000}"/>
    <cellStyle name="Currency 190" xfId="21853" xr:uid="{00000000-0005-0000-0000-0000F8150000}"/>
    <cellStyle name="Currency 191" xfId="21857" xr:uid="{00000000-0005-0000-0000-0000F9150000}"/>
    <cellStyle name="Currency 192" xfId="21860" xr:uid="{00000000-0005-0000-0000-0000FA150000}"/>
    <cellStyle name="Currency 193" xfId="21862" xr:uid="{00000000-0005-0000-0000-0000FB150000}"/>
    <cellStyle name="Currency 194" xfId="21864" xr:uid="{00000000-0005-0000-0000-0000FC150000}"/>
    <cellStyle name="Currency 195" xfId="21866" xr:uid="{00000000-0005-0000-0000-0000FD150000}"/>
    <cellStyle name="Currency 196" xfId="21870" xr:uid="{00000000-0005-0000-0000-0000FE150000}"/>
    <cellStyle name="Currency 197" xfId="21874" xr:uid="{00000000-0005-0000-0000-0000FF150000}"/>
    <cellStyle name="Currency 198" xfId="21877" xr:uid="{00000000-0005-0000-0000-000000160000}"/>
    <cellStyle name="Currency 199" xfId="21880" xr:uid="{00000000-0005-0000-0000-000001160000}"/>
    <cellStyle name="Currency 2" xfId="15" xr:uid="{00000000-0005-0000-0000-000002160000}"/>
    <cellStyle name="Currency 2 10" xfId="54" xr:uid="{00000000-0005-0000-0000-000003160000}"/>
    <cellStyle name="Currency 2 10 2" xfId="5627" xr:uid="{00000000-0005-0000-0000-000004160000}"/>
    <cellStyle name="Currency 2 10 3" xfId="5628" xr:uid="{00000000-0005-0000-0000-000005160000}"/>
    <cellStyle name="Currency 2 11" xfId="5629" xr:uid="{00000000-0005-0000-0000-000006160000}"/>
    <cellStyle name="Currency 2 11 2" xfId="5630" xr:uid="{00000000-0005-0000-0000-000007160000}"/>
    <cellStyle name="Currency 2 11 3" xfId="5631" xr:uid="{00000000-0005-0000-0000-000008160000}"/>
    <cellStyle name="Currency 2 12" xfId="5632" xr:uid="{00000000-0005-0000-0000-000009160000}"/>
    <cellStyle name="Currency 2 12 2" xfId="5633" xr:uid="{00000000-0005-0000-0000-00000A160000}"/>
    <cellStyle name="Currency 2 12 3" xfId="5634" xr:uid="{00000000-0005-0000-0000-00000B160000}"/>
    <cellStyle name="Currency 2 13" xfId="5635" xr:uid="{00000000-0005-0000-0000-00000C160000}"/>
    <cellStyle name="Currency 2 13 2" xfId="5636" xr:uid="{00000000-0005-0000-0000-00000D160000}"/>
    <cellStyle name="Currency 2 13 3" xfId="5637" xr:uid="{00000000-0005-0000-0000-00000E160000}"/>
    <cellStyle name="Currency 2 14" xfId="5638" xr:uid="{00000000-0005-0000-0000-00000F160000}"/>
    <cellStyle name="Currency 2 14 2" xfId="5639" xr:uid="{00000000-0005-0000-0000-000010160000}"/>
    <cellStyle name="Currency 2 14 3" xfId="5640" xr:uid="{00000000-0005-0000-0000-000011160000}"/>
    <cellStyle name="Currency 2 15" xfId="5641" xr:uid="{00000000-0005-0000-0000-000012160000}"/>
    <cellStyle name="Currency 2 15 2" xfId="5642" xr:uid="{00000000-0005-0000-0000-000013160000}"/>
    <cellStyle name="Currency 2 15 3" xfId="5643" xr:uid="{00000000-0005-0000-0000-000014160000}"/>
    <cellStyle name="Currency 2 16" xfId="5644" xr:uid="{00000000-0005-0000-0000-000015160000}"/>
    <cellStyle name="Currency 2 16 2" xfId="5645" xr:uid="{00000000-0005-0000-0000-000016160000}"/>
    <cellStyle name="Currency 2 16 3" xfId="5646" xr:uid="{00000000-0005-0000-0000-000017160000}"/>
    <cellStyle name="Currency 2 17" xfId="5647" xr:uid="{00000000-0005-0000-0000-000018160000}"/>
    <cellStyle name="Currency 2 17 2" xfId="5648" xr:uid="{00000000-0005-0000-0000-000019160000}"/>
    <cellStyle name="Currency 2 17 3" xfId="5649" xr:uid="{00000000-0005-0000-0000-00001A160000}"/>
    <cellStyle name="Currency 2 18" xfId="5650" xr:uid="{00000000-0005-0000-0000-00001B160000}"/>
    <cellStyle name="Currency 2 18 2" xfId="5651" xr:uid="{00000000-0005-0000-0000-00001C160000}"/>
    <cellStyle name="Currency 2 18 3" xfId="5652" xr:uid="{00000000-0005-0000-0000-00001D160000}"/>
    <cellStyle name="Currency 2 19" xfId="5653" xr:uid="{00000000-0005-0000-0000-00001E160000}"/>
    <cellStyle name="Currency 2 19 2" xfId="5654" xr:uid="{00000000-0005-0000-0000-00001F160000}"/>
    <cellStyle name="Currency 2 19 3" xfId="5655" xr:uid="{00000000-0005-0000-0000-000020160000}"/>
    <cellStyle name="Currency 2 2" xfId="20" xr:uid="{00000000-0005-0000-0000-000021160000}"/>
    <cellStyle name="Currency 2 2 10" xfId="5656" xr:uid="{00000000-0005-0000-0000-000022160000}"/>
    <cellStyle name="Currency 2 2 10 2" xfId="5657" xr:uid="{00000000-0005-0000-0000-000023160000}"/>
    <cellStyle name="Currency 2 2 10 2 2" xfId="5658" xr:uid="{00000000-0005-0000-0000-000024160000}"/>
    <cellStyle name="Currency 2 2 10 2 2 2" xfId="5659" xr:uid="{00000000-0005-0000-0000-000025160000}"/>
    <cellStyle name="Currency 2 2 10 2 2 2 2" xfId="5660" xr:uid="{00000000-0005-0000-0000-000026160000}"/>
    <cellStyle name="Currency 2 2 10 2 2 2 3" xfId="5661" xr:uid="{00000000-0005-0000-0000-000027160000}"/>
    <cellStyle name="Currency 2 2 10 2 2 3" xfId="5662" xr:uid="{00000000-0005-0000-0000-000028160000}"/>
    <cellStyle name="Currency 2 2 10 2 2 4" xfId="5663" xr:uid="{00000000-0005-0000-0000-000029160000}"/>
    <cellStyle name="Currency 2 2 10 2 3" xfId="5664" xr:uid="{00000000-0005-0000-0000-00002A160000}"/>
    <cellStyle name="Currency 2 2 10 2 3 2" xfId="5665" xr:uid="{00000000-0005-0000-0000-00002B160000}"/>
    <cellStyle name="Currency 2 2 10 2 3 3" xfId="5666" xr:uid="{00000000-0005-0000-0000-00002C160000}"/>
    <cellStyle name="Currency 2 2 10 2 4" xfId="5667" xr:uid="{00000000-0005-0000-0000-00002D160000}"/>
    <cellStyle name="Currency 2 2 10 2 5" xfId="5668" xr:uid="{00000000-0005-0000-0000-00002E160000}"/>
    <cellStyle name="Currency 2 2 10 3" xfId="5669" xr:uid="{00000000-0005-0000-0000-00002F160000}"/>
    <cellStyle name="Currency 2 2 10 3 2" xfId="5670" xr:uid="{00000000-0005-0000-0000-000030160000}"/>
    <cellStyle name="Currency 2 2 10 3 2 2" xfId="5671" xr:uid="{00000000-0005-0000-0000-000031160000}"/>
    <cellStyle name="Currency 2 2 10 3 2 3" xfId="5672" xr:uid="{00000000-0005-0000-0000-000032160000}"/>
    <cellStyle name="Currency 2 2 10 3 3" xfId="5673" xr:uid="{00000000-0005-0000-0000-000033160000}"/>
    <cellStyle name="Currency 2 2 10 3 4" xfId="5674" xr:uid="{00000000-0005-0000-0000-000034160000}"/>
    <cellStyle name="Currency 2 2 10 4" xfId="5675" xr:uid="{00000000-0005-0000-0000-000035160000}"/>
    <cellStyle name="Currency 2 2 10 4 2" xfId="5676" xr:uid="{00000000-0005-0000-0000-000036160000}"/>
    <cellStyle name="Currency 2 2 10 4 3" xfId="5677" xr:uid="{00000000-0005-0000-0000-000037160000}"/>
    <cellStyle name="Currency 2 2 10 5" xfId="5678" xr:uid="{00000000-0005-0000-0000-000038160000}"/>
    <cellStyle name="Currency 2 2 10 6" xfId="5679" xr:uid="{00000000-0005-0000-0000-000039160000}"/>
    <cellStyle name="Currency 2 2 11" xfId="5680" xr:uid="{00000000-0005-0000-0000-00003A160000}"/>
    <cellStyle name="Currency 2 2 11 2" xfId="5681" xr:uid="{00000000-0005-0000-0000-00003B160000}"/>
    <cellStyle name="Currency 2 2 11 2 2" xfId="5682" xr:uid="{00000000-0005-0000-0000-00003C160000}"/>
    <cellStyle name="Currency 2 2 11 2 2 2" xfId="5683" xr:uid="{00000000-0005-0000-0000-00003D160000}"/>
    <cellStyle name="Currency 2 2 11 2 2 2 2" xfId="5684" xr:uid="{00000000-0005-0000-0000-00003E160000}"/>
    <cellStyle name="Currency 2 2 11 2 2 2 3" xfId="5685" xr:uid="{00000000-0005-0000-0000-00003F160000}"/>
    <cellStyle name="Currency 2 2 11 2 2 3" xfId="5686" xr:uid="{00000000-0005-0000-0000-000040160000}"/>
    <cellStyle name="Currency 2 2 11 2 2 4" xfId="5687" xr:uid="{00000000-0005-0000-0000-000041160000}"/>
    <cellStyle name="Currency 2 2 11 2 3" xfId="5688" xr:uid="{00000000-0005-0000-0000-000042160000}"/>
    <cellStyle name="Currency 2 2 11 2 3 2" xfId="5689" xr:uid="{00000000-0005-0000-0000-000043160000}"/>
    <cellStyle name="Currency 2 2 11 2 3 3" xfId="5690" xr:uid="{00000000-0005-0000-0000-000044160000}"/>
    <cellStyle name="Currency 2 2 11 2 4" xfId="5691" xr:uid="{00000000-0005-0000-0000-000045160000}"/>
    <cellStyle name="Currency 2 2 11 2 5" xfId="5692" xr:uid="{00000000-0005-0000-0000-000046160000}"/>
    <cellStyle name="Currency 2 2 11 3" xfId="5693" xr:uid="{00000000-0005-0000-0000-000047160000}"/>
    <cellStyle name="Currency 2 2 11 3 2" xfId="5694" xr:uid="{00000000-0005-0000-0000-000048160000}"/>
    <cellStyle name="Currency 2 2 11 3 2 2" xfId="5695" xr:uid="{00000000-0005-0000-0000-000049160000}"/>
    <cellStyle name="Currency 2 2 11 3 2 3" xfId="5696" xr:uid="{00000000-0005-0000-0000-00004A160000}"/>
    <cellStyle name="Currency 2 2 11 3 3" xfId="5697" xr:uid="{00000000-0005-0000-0000-00004B160000}"/>
    <cellStyle name="Currency 2 2 11 3 4" xfId="5698" xr:uid="{00000000-0005-0000-0000-00004C160000}"/>
    <cellStyle name="Currency 2 2 11 4" xfId="5699" xr:uid="{00000000-0005-0000-0000-00004D160000}"/>
    <cellStyle name="Currency 2 2 11 4 2" xfId="5700" xr:uid="{00000000-0005-0000-0000-00004E160000}"/>
    <cellStyle name="Currency 2 2 11 4 3" xfId="5701" xr:uid="{00000000-0005-0000-0000-00004F160000}"/>
    <cellStyle name="Currency 2 2 11 5" xfId="5702" xr:uid="{00000000-0005-0000-0000-000050160000}"/>
    <cellStyle name="Currency 2 2 11 6" xfId="5703" xr:uid="{00000000-0005-0000-0000-000051160000}"/>
    <cellStyle name="Currency 2 2 12" xfId="5704" xr:uid="{00000000-0005-0000-0000-000052160000}"/>
    <cellStyle name="Currency 2 2 12 2" xfId="5705" xr:uid="{00000000-0005-0000-0000-000053160000}"/>
    <cellStyle name="Currency 2 2 12 2 2" xfId="5706" xr:uid="{00000000-0005-0000-0000-000054160000}"/>
    <cellStyle name="Currency 2 2 12 2 2 2" xfId="5707" xr:uid="{00000000-0005-0000-0000-000055160000}"/>
    <cellStyle name="Currency 2 2 12 2 2 2 2" xfId="5708" xr:uid="{00000000-0005-0000-0000-000056160000}"/>
    <cellStyle name="Currency 2 2 12 2 2 2 3" xfId="5709" xr:uid="{00000000-0005-0000-0000-000057160000}"/>
    <cellStyle name="Currency 2 2 12 2 2 3" xfId="5710" xr:uid="{00000000-0005-0000-0000-000058160000}"/>
    <cellStyle name="Currency 2 2 12 2 2 4" xfId="5711" xr:uid="{00000000-0005-0000-0000-000059160000}"/>
    <cellStyle name="Currency 2 2 12 2 3" xfId="5712" xr:uid="{00000000-0005-0000-0000-00005A160000}"/>
    <cellStyle name="Currency 2 2 12 2 3 2" xfId="5713" xr:uid="{00000000-0005-0000-0000-00005B160000}"/>
    <cellStyle name="Currency 2 2 12 2 3 3" xfId="5714" xr:uid="{00000000-0005-0000-0000-00005C160000}"/>
    <cellStyle name="Currency 2 2 12 2 4" xfId="5715" xr:uid="{00000000-0005-0000-0000-00005D160000}"/>
    <cellStyle name="Currency 2 2 12 2 5" xfId="5716" xr:uid="{00000000-0005-0000-0000-00005E160000}"/>
    <cellStyle name="Currency 2 2 12 3" xfId="5717" xr:uid="{00000000-0005-0000-0000-00005F160000}"/>
    <cellStyle name="Currency 2 2 12 3 2" xfId="5718" xr:uid="{00000000-0005-0000-0000-000060160000}"/>
    <cellStyle name="Currency 2 2 12 3 2 2" xfId="5719" xr:uid="{00000000-0005-0000-0000-000061160000}"/>
    <cellStyle name="Currency 2 2 12 3 2 3" xfId="5720" xr:uid="{00000000-0005-0000-0000-000062160000}"/>
    <cellStyle name="Currency 2 2 12 3 3" xfId="5721" xr:uid="{00000000-0005-0000-0000-000063160000}"/>
    <cellStyle name="Currency 2 2 12 3 4" xfId="5722" xr:uid="{00000000-0005-0000-0000-000064160000}"/>
    <cellStyle name="Currency 2 2 12 4" xfId="5723" xr:uid="{00000000-0005-0000-0000-000065160000}"/>
    <cellStyle name="Currency 2 2 12 4 2" xfId="5724" xr:uid="{00000000-0005-0000-0000-000066160000}"/>
    <cellStyle name="Currency 2 2 12 4 3" xfId="5725" xr:uid="{00000000-0005-0000-0000-000067160000}"/>
    <cellStyle name="Currency 2 2 12 5" xfId="5726" xr:uid="{00000000-0005-0000-0000-000068160000}"/>
    <cellStyle name="Currency 2 2 12 6" xfId="5727" xr:uid="{00000000-0005-0000-0000-000069160000}"/>
    <cellStyle name="Currency 2 2 13" xfId="5728" xr:uid="{00000000-0005-0000-0000-00006A160000}"/>
    <cellStyle name="Currency 2 2 13 2" xfId="5729" xr:uid="{00000000-0005-0000-0000-00006B160000}"/>
    <cellStyle name="Currency 2 2 13 2 2" xfId="5730" xr:uid="{00000000-0005-0000-0000-00006C160000}"/>
    <cellStyle name="Currency 2 2 13 2 2 2" xfId="5731" xr:uid="{00000000-0005-0000-0000-00006D160000}"/>
    <cellStyle name="Currency 2 2 13 2 2 2 2" xfId="5732" xr:uid="{00000000-0005-0000-0000-00006E160000}"/>
    <cellStyle name="Currency 2 2 13 2 2 2 3" xfId="5733" xr:uid="{00000000-0005-0000-0000-00006F160000}"/>
    <cellStyle name="Currency 2 2 13 2 2 3" xfId="5734" xr:uid="{00000000-0005-0000-0000-000070160000}"/>
    <cellStyle name="Currency 2 2 13 2 2 4" xfId="5735" xr:uid="{00000000-0005-0000-0000-000071160000}"/>
    <cellStyle name="Currency 2 2 13 2 3" xfId="5736" xr:uid="{00000000-0005-0000-0000-000072160000}"/>
    <cellStyle name="Currency 2 2 13 2 3 2" xfId="5737" xr:uid="{00000000-0005-0000-0000-000073160000}"/>
    <cellStyle name="Currency 2 2 13 2 3 3" xfId="5738" xr:uid="{00000000-0005-0000-0000-000074160000}"/>
    <cellStyle name="Currency 2 2 13 2 4" xfId="5739" xr:uid="{00000000-0005-0000-0000-000075160000}"/>
    <cellStyle name="Currency 2 2 13 2 5" xfId="5740" xr:uid="{00000000-0005-0000-0000-000076160000}"/>
    <cellStyle name="Currency 2 2 13 3" xfId="5741" xr:uid="{00000000-0005-0000-0000-000077160000}"/>
    <cellStyle name="Currency 2 2 13 3 2" xfId="5742" xr:uid="{00000000-0005-0000-0000-000078160000}"/>
    <cellStyle name="Currency 2 2 13 3 2 2" xfId="5743" xr:uid="{00000000-0005-0000-0000-000079160000}"/>
    <cellStyle name="Currency 2 2 13 3 2 3" xfId="5744" xr:uid="{00000000-0005-0000-0000-00007A160000}"/>
    <cellStyle name="Currency 2 2 13 3 3" xfId="5745" xr:uid="{00000000-0005-0000-0000-00007B160000}"/>
    <cellStyle name="Currency 2 2 13 3 4" xfId="5746" xr:uid="{00000000-0005-0000-0000-00007C160000}"/>
    <cellStyle name="Currency 2 2 13 4" xfId="5747" xr:uid="{00000000-0005-0000-0000-00007D160000}"/>
    <cellStyle name="Currency 2 2 13 4 2" xfId="5748" xr:uid="{00000000-0005-0000-0000-00007E160000}"/>
    <cellStyle name="Currency 2 2 13 4 3" xfId="5749" xr:uid="{00000000-0005-0000-0000-00007F160000}"/>
    <cellStyle name="Currency 2 2 13 5" xfId="5750" xr:uid="{00000000-0005-0000-0000-000080160000}"/>
    <cellStyle name="Currency 2 2 13 6" xfId="5751" xr:uid="{00000000-0005-0000-0000-000081160000}"/>
    <cellStyle name="Currency 2 2 14" xfId="5752" xr:uid="{00000000-0005-0000-0000-000082160000}"/>
    <cellStyle name="Currency 2 2 14 2" xfId="5753" xr:uid="{00000000-0005-0000-0000-000083160000}"/>
    <cellStyle name="Currency 2 2 14 2 2" xfId="5754" xr:uid="{00000000-0005-0000-0000-000084160000}"/>
    <cellStyle name="Currency 2 2 14 2 2 2" xfId="5755" xr:uid="{00000000-0005-0000-0000-000085160000}"/>
    <cellStyle name="Currency 2 2 14 2 2 2 2" xfId="5756" xr:uid="{00000000-0005-0000-0000-000086160000}"/>
    <cellStyle name="Currency 2 2 14 2 2 2 3" xfId="5757" xr:uid="{00000000-0005-0000-0000-000087160000}"/>
    <cellStyle name="Currency 2 2 14 2 2 3" xfId="5758" xr:uid="{00000000-0005-0000-0000-000088160000}"/>
    <cellStyle name="Currency 2 2 14 2 2 4" xfId="5759" xr:uid="{00000000-0005-0000-0000-000089160000}"/>
    <cellStyle name="Currency 2 2 14 2 3" xfId="5760" xr:uid="{00000000-0005-0000-0000-00008A160000}"/>
    <cellStyle name="Currency 2 2 14 2 3 2" xfId="5761" xr:uid="{00000000-0005-0000-0000-00008B160000}"/>
    <cellStyle name="Currency 2 2 14 2 3 3" xfId="5762" xr:uid="{00000000-0005-0000-0000-00008C160000}"/>
    <cellStyle name="Currency 2 2 14 2 4" xfId="5763" xr:uid="{00000000-0005-0000-0000-00008D160000}"/>
    <cellStyle name="Currency 2 2 14 2 5" xfId="5764" xr:uid="{00000000-0005-0000-0000-00008E160000}"/>
    <cellStyle name="Currency 2 2 14 3" xfId="5765" xr:uid="{00000000-0005-0000-0000-00008F160000}"/>
    <cellStyle name="Currency 2 2 14 3 2" xfId="5766" xr:uid="{00000000-0005-0000-0000-000090160000}"/>
    <cellStyle name="Currency 2 2 14 3 2 2" xfId="5767" xr:uid="{00000000-0005-0000-0000-000091160000}"/>
    <cellStyle name="Currency 2 2 14 3 2 3" xfId="5768" xr:uid="{00000000-0005-0000-0000-000092160000}"/>
    <cellStyle name="Currency 2 2 14 3 3" xfId="5769" xr:uid="{00000000-0005-0000-0000-000093160000}"/>
    <cellStyle name="Currency 2 2 14 3 4" xfId="5770" xr:uid="{00000000-0005-0000-0000-000094160000}"/>
    <cellStyle name="Currency 2 2 14 4" xfId="5771" xr:uid="{00000000-0005-0000-0000-000095160000}"/>
    <cellStyle name="Currency 2 2 14 4 2" xfId="5772" xr:uid="{00000000-0005-0000-0000-000096160000}"/>
    <cellStyle name="Currency 2 2 14 4 3" xfId="5773" xr:uid="{00000000-0005-0000-0000-000097160000}"/>
    <cellStyle name="Currency 2 2 14 5" xfId="5774" xr:uid="{00000000-0005-0000-0000-000098160000}"/>
    <cellStyle name="Currency 2 2 14 6" xfId="5775" xr:uid="{00000000-0005-0000-0000-000099160000}"/>
    <cellStyle name="Currency 2 2 15" xfId="5776" xr:uid="{00000000-0005-0000-0000-00009A160000}"/>
    <cellStyle name="Currency 2 2 15 2" xfId="5777" xr:uid="{00000000-0005-0000-0000-00009B160000}"/>
    <cellStyle name="Currency 2 2 15 2 2" xfId="5778" xr:uid="{00000000-0005-0000-0000-00009C160000}"/>
    <cellStyle name="Currency 2 2 15 2 2 2" xfId="5779" xr:uid="{00000000-0005-0000-0000-00009D160000}"/>
    <cellStyle name="Currency 2 2 15 2 2 2 2" xfId="5780" xr:uid="{00000000-0005-0000-0000-00009E160000}"/>
    <cellStyle name="Currency 2 2 15 2 2 2 3" xfId="5781" xr:uid="{00000000-0005-0000-0000-00009F160000}"/>
    <cellStyle name="Currency 2 2 15 2 2 3" xfId="5782" xr:uid="{00000000-0005-0000-0000-0000A0160000}"/>
    <cellStyle name="Currency 2 2 15 2 2 4" xfId="5783" xr:uid="{00000000-0005-0000-0000-0000A1160000}"/>
    <cellStyle name="Currency 2 2 15 2 3" xfId="5784" xr:uid="{00000000-0005-0000-0000-0000A2160000}"/>
    <cellStyle name="Currency 2 2 15 2 3 2" xfId="5785" xr:uid="{00000000-0005-0000-0000-0000A3160000}"/>
    <cellStyle name="Currency 2 2 15 2 3 3" xfId="5786" xr:uid="{00000000-0005-0000-0000-0000A4160000}"/>
    <cellStyle name="Currency 2 2 15 2 4" xfId="5787" xr:uid="{00000000-0005-0000-0000-0000A5160000}"/>
    <cellStyle name="Currency 2 2 15 2 5" xfId="5788" xr:uid="{00000000-0005-0000-0000-0000A6160000}"/>
    <cellStyle name="Currency 2 2 15 3" xfId="5789" xr:uid="{00000000-0005-0000-0000-0000A7160000}"/>
    <cellStyle name="Currency 2 2 15 3 2" xfId="5790" xr:uid="{00000000-0005-0000-0000-0000A8160000}"/>
    <cellStyle name="Currency 2 2 15 3 2 2" xfId="5791" xr:uid="{00000000-0005-0000-0000-0000A9160000}"/>
    <cellStyle name="Currency 2 2 15 3 2 3" xfId="5792" xr:uid="{00000000-0005-0000-0000-0000AA160000}"/>
    <cellStyle name="Currency 2 2 15 3 3" xfId="5793" xr:uid="{00000000-0005-0000-0000-0000AB160000}"/>
    <cellStyle name="Currency 2 2 15 3 4" xfId="5794" xr:uid="{00000000-0005-0000-0000-0000AC160000}"/>
    <cellStyle name="Currency 2 2 15 4" xfId="5795" xr:uid="{00000000-0005-0000-0000-0000AD160000}"/>
    <cellStyle name="Currency 2 2 15 4 2" xfId="5796" xr:uid="{00000000-0005-0000-0000-0000AE160000}"/>
    <cellStyle name="Currency 2 2 15 4 3" xfId="5797" xr:uid="{00000000-0005-0000-0000-0000AF160000}"/>
    <cellStyle name="Currency 2 2 15 5" xfId="5798" xr:uid="{00000000-0005-0000-0000-0000B0160000}"/>
    <cellStyle name="Currency 2 2 15 6" xfId="5799" xr:uid="{00000000-0005-0000-0000-0000B1160000}"/>
    <cellStyle name="Currency 2 2 16" xfId="5800" xr:uid="{00000000-0005-0000-0000-0000B2160000}"/>
    <cellStyle name="Currency 2 2 16 2" xfId="5801" xr:uid="{00000000-0005-0000-0000-0000B3160000}"/>
    <cellStyle name="Currency 2 2 16 2 2" xfId="5802" xr:uid="{00000000-0005-0000-0000-0000B4160000}"/>
    <cellStyle name="Currency 2 2 16 2 2 2" xfId="5803" xr:uid="{00000000-0005-0000-0000-0000B5160000}"/>
    <cellStyle name="Currency 2 2 16 2 2 2 2" xfId="5804" xr:uid="{00000000-0005-0000-0000-0000B6160000}"/>
    <cellStyle name="Currency 2 2 16 2 2 2 3" xfId="5805" xr:uid="{00000000-0005-0000-0000-0000B7160000}"/>
    <cellStyle name="Currency 2 2 16 2 2 3" xfId="5806" xr:uid="{00000000-0005-0000-0000-0000B8160000}"/>
    <cellStyle name="Currency 2 2 16 2 2 4" xfId="5807" xr:uid="{00000000-0005-0000-0000-0000B9160000}"/>
    <cellStyle name="Currency 2 2 16 2 3" xfId="5808" xr:uid="{00000000-0005-0000-0000-0000BA160000}"/>
    <cellStyle name="Currency 2 2 16 2 3 2" xfId="5809" xr:uid="{00000000-0005-0000-0000-0000BB160000}"/>
    <cellStyle name="Currency 2 2 16 2 3 3" xfId="5810" xr:uid="{00000000-0005-0000-0000-0000BC160000}"/>
    <cellStyle name="Currency 2 2 16 2 4" xfId="5811" xr:uid="{00000000-0005-0000-0000-0000BD160000}"/>
    <cellStyle name="Currency 2 2 16 2 5" xfId="5812" xr:uid="{00000000-0005-0000-0000-0000BE160000}"/>
    <cellStyle name="Currency 2 2 16 3" xfId="5813" xr:uid="{00000000-0005-0000-0000-0000BF160000}"/>
    <cellStyle name="Currency 2 2 16 3 2" xfId="5814" xr:uid="{00000000-0005-0000-0000-0000C0160000}"/>
    <cellStyle name="Currency 2 2 16 3 2 2" xfId="5815" xr:uid="{00000000-0005-0000-0000-0000C1160000}"/>
    <cellStyle name="Currency 2 2 16 3 2 3" xfId="5816" xr:uid="{00000000-0005-0000-0000-0000C2160000}"/>
    <cellStyle name="Currency 2 2 16 3 3" xfId="5817" xr:uid="{00000000-0005-0000-0000-0000C3160000}"/>
    <cellStyle name="Currency 2 2 16 3 4" xfId="5818" xr:uid="{00000000-0005-0000-0000-0000C4160000}"/>
    <cellStyle name="Currency 2 2 16 4" xfId="5819" xr:uid="{00000000-0005-0000-0000-0000C5160000}"/>
    <cellStyle name="Currency 2 2 16 4 2" xfId="5820" xr:uid="{00000000-0005-0000-0000-0000C6160000}"/>
    <cellStyle name="Currency 2 2 16 4 3" xfId="5821" xr:uid="{00000000-0005-0000-0000-0000C7160000}"/>
    <cellStyle name="Currency 2 2 16 5" xfId="5822" xr:uid="{00000000-0005-0000-0000-0000C8160000}"/>
    <cellStyle name="Currency 2 2 16 6" xfId="5823" xr:uid="{00000000-0005-0000-0000-0000C9160000}"/>
    <cellStyle name="Currency 2 2 17" xfId="5824" xr:uid="{00000000-0005-0000-0000-0000CA160000}"/>
    <cellStyle name="Currency 2 2 17 2" xfId="5825" xr:uid="{00000000-0005-0000-0000-0000CB160000}"/>
    <cellStyle name="Currency 2 2 17 2 2" xfId="5826" xr:uid="{00000000-0005-0000-0000-0000CC160000}"/>
    <cellStyle name="Currency 2 2 17 2 2 2" xfId="5827" xr:uid="{00000000-0005-0000-0000-0000CD160000}"/>
    <cellStyle name="Currency 2 2 17 2 2 2 2" xfId="5828" xr:uid="{00000000-0005-0000-0000-0000CE160000}"/>
    <cellStyle name="Currency 2 2 17 2 2 2 3" xfId="5829" xr:uid="{00000000-0005-0000-0000-0000CF160000}"/>
    <cellStyle name="Currency 2 2 17 2 2 3" xfId="5830" xr:uid="{00000000-0005-0000-0000-0000D0160000}"/>
    <cellStyle name="Currency 2 2 17 2 2 4" xfId="5831" xr:uid="{00000000-0005-0000-0000-0000D1160000}"/>
    <cellStyle name="Currency 2 2 17 2 3" xfId="5832" xr:uid="{00000000-0005-0000-0000-0000D2160000}"/>
    <cellStyle name="Currency 2 2 17 2 3 2" xfId="5833" xr:uid="{00000000-0005-0000-0000-0000D3160000}"/>
    <cellStyle name="Currency 2 2 17 2 3 3" xfId="5834" xr:uid="{00000000-0005-0000-0000-0000D4160000}"/>
    <cellStyle name="Currency 2 2 17 2 4" xfId="5835" xr:uid="{00000000-0005-0000-0000-0000D5160000}"/>
    <cellStyle name="Currency 2 2 17 2 5" xfId="5836" xr:uid="{00000000-0005-0000-0000-0000D6160000}"/>
    <cellStyle name="Currency 2 2 17 3" xfId="5837" xr:uid="{00000000-0005-0000-0000-0000D7160000}"/>
    <cellStyle name="Currency 2 2 17 3 2" xfId="5838" xr:uid="{00000000-0005-0000-0000-0000D8160000}"/>
    <cellStyle name="Currency 2 2 17 3 2 2" xfId="5839" xr:uid="{00000000-0005-0000-0000-0000D9160000}"/>
    <cellStyle name="Currency 2 2 17 3 2 3" xfId="5840" xr:uid="{00000000-0005-0000-0000-0000DA160000}"/>
    <cellStyle name="Currency 2 2 17 3 3" xfId="5841" xr:uid="{00000000-0005-0000-0000-0000DB160000}"/>
    <cellStyle name="Currency 2 2 17 3 4" xfId="5842" xr:uid="{00000000-0005-0000-0000-0000DC160000}"/>
    <cellStyle name="Currency 2 2 17 4" xfId="5843" xr:uid="{00000000-0005-0000-0000-0000DD160000}"/>
    <cellStyle name="Currency 2 2 17 4 2" xfId="5844" xr:uid="{00000000-0005-0000-0000-0000DE160000}"/>
    <cellStyle name="Currency 2 2 17 4 3" xfId="5845" xr:uid="{00000000-0005-0000-0000-0000DF160000}"/>
    <cellStyle name="Currency 2 2 17 5" xfId="5846" xr:uid="{00000000-0005-0000-0000-0000E0160000}"/>
    <cellStyle name="Currency 2 2 17 6" xfId="5847" xr:uid="{00000000-0005-0000-0000-0000E1160000}"/>
    <cellStyle name="Currency 2 2 18" xfId="5848" xr:uid="{00000000-0005-0000-0000-0000E2160000}"/>
    <cellStyle name="Currency 2 2 18 2" xfId="5849" xr:uid="{00000000-0005-0000-0000-0000E3160000}"/>
    <cellStyle name="Currency 2 2 18 2 2" xfId="5850" xr:uid="{00000000-0005-0000-0000-0000E4160000}"/>
    <cellStyle name="Currency 2 2 18 2 2 2" xfId="5851" xr:uid="{00000000-0005-0000-0000-0000E5160000}"/>
    <cellStyle name="Currency 2 2 18 2 2 2 2" xfId="5852" xr:uid="{00000000-0005-0000-0000-0000E6160000}"/>
    <cellStyle name="Currency 2 2 18 2 2 2 3" xfId="5853" xr:uid="{00000000-0005-0000-0000-0000E7160000}"/>
    <cellStyle name="Currency 2 2 18 2 2 3" xfId="5854" xr:uid="{00000000-0005-0000-0000-0000E8160000}"/>
    <cellStyle name="Currency 2 2 18 2 2 4" xfId="5855" xr:uid="{00000000-0005-0000-0000-0000E9160000}"/>
    <cellStyle name="Currency 2 2 18 2 3" xfId="5856" xr:uid="{00000000-0005-0000-0000-0000EA160000}"/>
    <cellStyle name="Currency 2 2 18 2 3 2" xfId="5857" xr:uid="{00000000-0005-0000-0000-0000EB160000}"/>
    <cellStyle name="Currency 2 2 18 2 3 3" xfId="5858" xr:uid="{00000000-0005-0000-0000-0000EC160000}"/>
    <cellStyle name="Currency 2 2 18 2 4" xfId="5859" xr:uid="{00000000-0005-0000-0000-0000ED160000}"/>
    <cellStyle name="Currency 2 2 18 2 5" xfId="5860" xr:uid="{00000000-0005-0000-0000-0000EE160000}"/>
    <cellStyle name="Currency 2 2 18 3" xfId="5861" xr:uid="{00000000-0005-0000-0000-0000EF160000}"/>
    <cellStyle name="Currency 2 2 18 3 2" xfId="5862" xr:uid="{00000000-0005-0000-0000-0000F0160000}"/>
    <cellStyle name="Currency 2 2 18 3 2 2" xfId="5863" xr:uid="{00000000-0005-0000-0000-0000F1160000}"/>
    <cellStyle name="Currency 2 2 18 3 2 3" xfId="5864" xr:uid="{00000000-0005-0000-0000-0000F2160000}"/>
    <cellStyle name="Currency 2 2 18 3 3" xfId="5865" xr:uid="{00000000-0005-0000-0000-0000F3160000}"/>
    <cellStyle name="Currency 2 2 18 3 4" xfId="5866" xr:uid="{00000000-0005-0000-0000-0000F4160000}"/>
    <cellStyle name="Currency 2 2 18 4" xfId="5867" xr:uid="{00000000-0005-0000-0000-0000F5160000}"/>
    <cellStyle name="Currency 2 2 18 4 2" xfId="5868" xr:uid="{00000000-0005-0000-0000-0000F6160000}"/>
    <cellStyle name="Currency 2 2 18 4 3" xfId="5869" xr:uid="{00000000-0005-0000-0000-0000F7160000}"/>
    <cellStyle name="Currency 2 2 18 5" xfId="5870" xr:uid="{00000000-0005-0000-0000-0000F8160000}"/>
    <cellStyle name="Currency 2 2 18 6" xfId="5871" xr:uid="{00000000-0005-0000-0000-0000F9160000}"/>
    <cellStyle name="Currency 2 2 19" xfId="5872" xr:uid="{00000000-0005-0000-0000-0000FA160000}"/>
    <cellStyle name="Currency 2 2 2" xfId="5873" xr:uid="{00000000-0005-0000-0000-0000FB160000}"/>
    <cellStyle name="Currency 2 2 2 2" xfId="5874" xr:uid="{00000000-0005-0000-0000-0000FC160000}"/>
    <cellStyle name="Currency 2 2 2 2 2" xfId="5875" xr:uid="{00000000-0005-0000-0000-0000FD160000}"/>
    <cellStyle name="Currency 2 2 2 2 2 2" xfId="5876" xr:uid="{00000000-0005-0000-0000-0000FE160000}"/>
    <cellStyle name="Currency 2 2 2 2 2 2 2" xfId="5877" xr:uid="{00000000-0005-0000-0000-0000FF160000}"/>
    <cellStyle name="Currency 2 2 2 2 2 2 2 2" xfId="5878" xr:uid="{00000000-0005-0000-0000-000000170000}"/>
    <cellStyle name="Currency 2 2 2 2 2 2 2 3" xfId="5879" xr:uid="{00000000-0005-0000-0000-000001170000}"/>
    <cellStyle name="Currency 2 2 2 2 2 2 3" xfId="5880" xr:uid="{00000000-0005-0000-0000-000002170000}"/>
    <cellStyle name="Currency 2 2 2 2 2 2 4" xfId="5881" xr:uid="{00000000-0005-0000-0000-000003170000}"/>
    <cellStyle name="Currency 2 2 2 2 2 3" xfId="5882" xr:uid="{00000000-0005-0000-0000-000004170000}"/>
    <cellStyle name="Currency 2 2 2 2 2 3 2" xfId="5883" xr:uid="{00000000-0005-0000-0000-000005170000}"/>
    <cellStyle name="Currency 2 2 2 2 2 3 3" xfId="5884" xr:uid="{00000000-0005-0000-0000-000006170000}"/>
    <cellStyle name="Currency 2 2 2 2 2 4" xfId="5885" xr:uid="{00000000-0005-0000-0000-000007170000}"/>
    <cellStyle name="Currency 2 2 2 2 2 5" xfId="5886" xr:uid="{00000000-0005-0000-0000-000008170000}"/>
    <cellStyle name="Currency 2 2 2 2 3" xfId="5887" xr:uid="{00000000-0005-0000-0000-000009170000}"/>
    <cellStyle name="Currency 2 2 2 2 3 2" xfId="5888" xr:uid="{00000000-0005-0000-0000-00000A170000}"/>
    <cellStyle name="Currency 2 2 2 2 3 2 2" xfId="5889" xr:uid="{00000000-0005-0000-0000-00000B170000}"/>
    <cellStyle name="Currency 2 2 2 2 3 2 3" xfId="5890" xr:uid="{00000000-0005-0000-0000-00000C170000}"/>
    <cellStyle name="Currency 2 2 2 2 3 3" xfId="5891" xr:uid="{00000000-0005-0000-0000-00000D170000}"/>
    <cellStyle name="Currency 2 2 2 2 3 4" xfId="5892" xr:uid="{00000000-0005-0000-0000-00000E170000}"/>
    <cellStyle name="Currency 2 2 2 2 4" xfId="5893" xr:uid="{00000000-0005-0000-0000-00000F170000}"/>
    <cellStyle name="Currency 2 2 2 2 4 2" xfId="5894" xr:uid="{00000000-0005-0000-0000-000010170000}"/>
    <cellStyle name="Currency 2 2 2 2 4 3" xfId="5895" xr:uid="{00000000-0005-0000-0000-000011170000}"/>
    <cellStyle name="Currency 2 2 2 2 5" xfId="5896" xr:uid="{00000000-0005-0000-0000-000012170000}"/>
    <cellStyle name="Currency 2 2 2 2 6" xfId="5897" xr:uid="{00000000-0005-0000-0000-000013170000}"/>
    <cellStyle name="Currency 2 2 2 3" xfId="5898" xr:uid="{00000000-0005-0000-0000-000014170000}"/>
    <cellStyle name="Currency 2 2 2 3 2" xfId="5899" xr:uid="{00000000-0005-0000-0000-000015170000}"/>
    <cellStyle name="Currency 2 2 2 3 2 2" xfId="5900" xr:uid="{00000000-0005-0000-0000-000016170000}"/>
    <cellStyle name="Currency 2 2 2 3 2 2 2" xfId="5901" xr:uid="{00000000-0005-0000-0000-000017170000}"/>
    <cellStyle name="Currency 2 2 2 3 2 2 2 2" xfId="5902" xr:uid="{00000000-0005-0000-0000-000018170000}"/>
    <cellStyle name="Currency 2 2 2 3 2 2 2 3" xfId="5903" xr:uid="{00000000-0005-0000-0000-000019170000}"/>
    <cellStyle name="Currency 2 2 2 3 2 2 3" xfId="5904" xr:uid="{00000000-0005-0000-0000-00001A170000}"/>
    <cellStyle name="Currency 2 2 2 3 2 2 4" xfId="5905" xr:uid="{00000000-0005-0000-0000-00001B170000}"/>
    <cellStyle name="Currency 2 2 2 3 2 3" xfId="5906" xr:uid="{00000000-0005-0000-0000-00001C170000}"/>
    <cellStyle name="Currency 2 2 2 3 2 3 2" xfId="5907" xr:uid="{00000000-0005-0000-0000-00001D170000}"/>
    <cellStyle name="Currency 2 2 2 3 2 3 3" xfId="5908" xr:uid="{00000000-0005-0000-0000-00001E170000}"/>
    <cellStyle name="Currency 2 2 2 3 2 4" xfId="5909" xr:uid="{00000000-0005-0000-0000-00001F170000}"/>
    <cellStyle name="Currency 2 2 2 3 2 5" xfId="5910" xr:uid="{00000000-0005-0000-0000-000020170000}"/>
    <cellStyle name="Currency 2 2 2 3 3" xfId="5911" xr:uid="{00000000-0005-0000-0000-000021170000}"/>
    <cellStyle name="Currency 2 2 2 3 3 2" xfId="5912" xr:uid="{00000000-0005-0000-0000-000022170000}"/>
    <cellStyle name="Currency 2 2 2 3 3 2 2" xfId="5913" xr:uid="{00000000-0005-0000-0000-000023170000}"/>
    <cellStyle name="Currency 2 2 2 3 3 2 3" xfId="5914" xr:uid="{00000000-0005-0000-0000-000024170000}"/>
    <cellStyle name="Currency 2 2 2 3 3 3" xfId="5915" xr:uid="{00000000-0005-0000-0000-000025170000}"/>
    <cellStyle name="Currency 2 2 2 3 3 4" xfId="5916" xr:uid="{00000000-0005-0000-0000-000026170000}"/>
    <cellStyle name="Currency 2 2 2 3 4" xfId="5917" xr:uid="{00000000-0005-0000-0000-000027170000}"/>
    <cellStyle name="Currency 2 2 2 3 4 2" xfId="5918" xr:uid="{00000000-0005-0000-0000-000028170000}"/>
    <cellStyle name="Currency 2 2 2 3 4 3" xfId="5919" xr:uid="{00000000-0005-0000-0000-000029170000}"/>
    <cellStyle name="Currency 2 2 2 3 5" xfId="5920" xr:uid="{00000000-0005-0000-0000-00002A170000}"/>
    <cellStyle name="Currency 2 2 2 3 6" xfId="5921" xr:uid="{00000000-0005-0000-0000-00002B170000}"/>
    <cellStyle name="Currency 2 2 2 4" xfId="5922" xr:uid="{00000000-0005-0000-0000-00002C170000}"/>
    <cellStyle name="Currency 2 2 2 4 2" xfId="5923" xr:uid="{00000000-0005-0000-0000-00002D170000}"/>
    <cellStyle name="Currency 2 2 2 4 2 2" xfId="5924" xr:uid="{00000000-0005-0000-0000-00002E170000}"/>
    <cellStyle name="Currency 2 2 2 4 2 2 2" xfId="5925" xr:uid="{00000000-0005-0000-0000-00002F170000}"/>
    <cellStyle name="Currency 2 2 2 4 2 2 2 2" xfId="5926" xr:uid="{00000000-0005-0000-0000-000030170000}"/>
    <cellStyle name="Currency 2 2 2 4 2 2 2 3" xfId="5927" xr:uid="{00000000-0005-0000-0000-000031170000}"/>
    <cellStyle name="Currency 2 2 2 4 2 2 3" xfId="5928" xr:uid="{00000000-0005-0000-0000-000032170000}"/>
    <cellStyle name="Currency 2 2 2 4 2 2 4" xfId="5929" xr:uid="{00000000-0005-0000-0000-000033170000}"/>
    <cellStyle name="Currency 2 2 2 4 2 3" xfId="5930" xr:uid="{00000000-0005-0000-0000-000034170000}"/>
    <cellStyle name="Currency 2 2 2 4 2 3 2" xfId="5931" xr:uid="{00000000-0005-0000-0000-000035170000}"/>
    <cellStyle name="Currency 2 2 2 4 2 3 3" xfId="5932" xr:uid="{00000000-0005-0000-0000-000036170000}"/>
    <cellStyle name="Currency 2 2 2 4 2 4" xfId="5933" xr:uid="{00000000-0005-0000-0000-000037170000}"/>
    <cellStyle name="Currency 2 2 2 4 2 5" xfId="5934" xr:uid="{00000000-0005-0000-0000-000038170000}"/>
    <cellStyle name="Currency 2 2 2 4 3" xfId="5935" xr:uid="{00000000-0005-0000-0000-000039170000}"/>
    <cellStyle name="Currency 2 2 2 4 3 2" xfId="5936" xr:uid="{00000000-0005-0000-0000-00003A170000}"/>
    <cellStyle name="Currency 2 2 2 4 3 2 2" xfId="5937" xr:uid="{00000000-0005-0000-0000-00003B170000}"/>
    <cellStyle name="Currency 2 2 2 4 3 2 3" xfId="5938" xr:uid="{00000000-0005-0000-0000-00003C170000}"/>
    <cellStyle name="Currency 2 2 2 4 3 3" xfId="5939" xr:uid="{00000000-0005-0000-0000-00003D170000}"/>
    <cellStyle name="Currency 2 2 2 4 3 4" xfId="5940" xr:uid="{00000000-0005-0000-0000-00003E170000}"/>
    <cellStyle name="Currency 2 2 2 4 4" xfId="5941" xr:uid="{00000000-0005-0000-0000-00003F170000}"/>
    <cellStyle name="Currency 2 2 2 4 4 2" xfId="5942" xr:uid="{00000000-0005-0000-0000-000040170000}"/>
    <cellStyle name="Currency 2 2 2 4 4 3" xfId="5943" xr:uid="{00000000-0005-0000-0000-000041170000}"/>
    <cellStyle name="Currency 2 2 2 4 5" xfId="5944" xr:uid="{00000000-0005-0000-0000-000042170000}"/>
    <cellStyle name="Currency 2 2 2 4 6" xfId="5945" xr:uid="{00000000-0005-0000-0000-000043170000}"/>
    <cellStyle name="Currency 2 2 2 5" xfId="5946" xr:uid="{00000000-0005-0000-0000-000044170000}"/>
    <cellStyle name="Currency 2 2 2 5 2" xfId="5947" xr:uid="{00000000-0005-0000-0000-000045170000}"/>
    <cellStyle name="Currency 2 2 2 5 2 2" xfId="5948" xr:uid="{00000000-0005-0000-0000-000046170000}"/>
    <cellStyle name="Currency 2 2 2 5 2 2 2" xfId="5949" xr:uid="{00000000-0005-0000-0000-000047170000}"/>
    <cellStyle name="Currency 2 2 2 5 2 2 2 2" xfId="5950" xr:uid="{00000000-0005-0000-0000-000048170000}"/>
    <cellStyle name="Currency 2 2 2 5 2 2 2 3" xfId="5951" xr:uid="{00000000-0005-0000-0000-000049170000}"/>
    <cellStyle name="Currency 2 2 2 5 2 2 3" xfId="5952" xr:uid="{00000000-0005-0000-0000-00004A170000}"/>
    <cellStyle name="Currency 2 2 2 5 2 2 4" xfId="5953" xr:uid="{00000000-0005-0000-0000-00004B170000}"/>
    <cellStyle name="Currency 2 2 2 5 2 3" xfId="5954" xr:uid="{00000000-0005-0000-0000-00004C170000}"/>
    <cellStyle name="Currency 2 2 2 5 2 3 2" xfId="5955" xr:uid="{00000000-0005-0000-0000-00004D170000}"/>
    <cellStyle name="Currency 2 2 2 5 2 3 3" xfId="5956" xr:uid="{00000000-0005-0000-0000-00004E170000}"/>
    <cellStyle name="Currency 2 2 2 5 2 4" xfId="5957" xr:uid="{00000000-0005-0000-0000-00004F170000}"/>
    <cellStyle name="Currency 2 2 2 5 2 5" xfId="5958" xr:uid="{00000000-0005-0000-0000-000050170000}"/>
    <cellStyle name="Currency 2 2 2 5 3" xfId="5959" xr:uid="{00000000-0005-0000-0000-000051170000}"/>
    <cellStyle name="Currency 2 2 2 5 3 2" xfId="5960" xr:uid="{00000000-0005-0000-0000-000052170000}"/>
    <cellStyle name="Currency 2 2 2 5 3 2 2" xfId="5961" xr:uid="{00000000-0005-0000-0000-000053170000}"/>
    <cellStyle name="Currency 2 2 2 5 3 2 3" xfId="5962" xr:uid="{00000000-0005-0000-0000-000054170000}"/>
    <cellStyle name="Currency 2 2 2 5 3 3" xfId="5963" xr:uid="{00000000-0005-0000-0000-000055170000}"/>
    <cellStyle name="Currency 2 2 2 5 3 4" xfId="5964" xr:uid="{00000000-0005-0000-0000-000056170000}"/>
    <cellStyle name="Currency 2 2 2 5 4" xfId="5965" xr:uid="{00000000-0005-0000-0000-000057170000}"/>
    <cellStyle name="Currency 2 2 2 5 4 2" xfId="5966" xr:uid="{00000000-0005-0000-0000-000058170000}"/>
    <cellStyle name="Currency 2 2 2 5 4 3" xfId="5967" xr:uid="{00000000-0005-0000-0000-000059170000}"/>
    <cellStyle name="Currency 2 2 2 5 5" xfId="5968" xr:uid="{00000000-0005-0000-0000-00005A170000}"/>
    <cellStyle name="Currency 2 2 2 5 6" xfId="5969" xr:uid="{00000000-0005-0000-0000-00005B170000}"/>
    <cellStyle name="Currency 2 2 20" xfId="5970" xr:uid="{00000000-0005-0000-0000-00005C170000}"/>
    <cellStyle name="Currency 2 2 20 2" xfId="5971" xr:uid="{00000000-0005-0000-0000-00005D170000}"/>
    <cellStyle name="Currency 2 2 20 2 2" xfId="5972" xr:uid="{00000000-0005-0000-0000-00005E170000}"/>
    <cellStyle name="Currency 2 2 20 2 2 2" xfId="5973" xr:uid="{00000000-0005-0000-0000-00005F170000}"/>
    <cellStyle name="Currency 2 2 20 2 2 2 2" xfId="5974" xr:uid="{00000000-0005-0000-0000-000060170000}"/>
    <cellStyle name="Currency 2 2 20 2 2 2 3" xfId="5975" xr:uid="{00000000-0005-0000-0000-000061170000}"/>
    <cellStyle name="Currency 2 2 20 2 2 3" xfId="5976" xr:uid="{00000000-0005-0000-0000-000062170000}"/>
    <cellStyle name="Currency 2 2 20 2 2 4" xfId="5977" xr:uid="{00000000-0005-0000-0000-000063170000}"/>
    <cellStyle name="Currency 2 2 20 2 3" xfId="5978" xr:uid="{00000000-0005-0000-0000-000064170000}"/>
    <cellStyle name="Currency 2 2 20 2 3 2" xfId="5979" xr:uid="{00000000-0005-0000-0000-000065170000}"/>
    <cellStyle name="Currency 2 2 20 2 3 3" xfId="5980" xr:uid="{00000000-0005-0000-0000-000066170000}"/>
    <cellStyle name="Currency 2 2 20 2 4" xfId="5981" xr:uid="{00000000-0005-0000-0000-000067170000}"/>
    <cellStyle name="Currency 2 2 20 2 5" xfId="5982" xr:uid="{00000000-0005-0000-0000-000068170000}"/>
    <cellStyle name="Currency 2 2 20 3" xfId="5983" xr:uid="{00000000-0005-0000-0000-000069170000}"/>
    <cellStyle name="Currency 2 2 20 3 2" xfId="5984" xr:uid="{00000000-0005-0000-0000-00006A170000}"/>
    <cellStyle name="Currency 2 2 20 3 2 2" xfId="5985" xr:uid="{00000000-0005-0000-0000-00006B170000}"/>
    <cellStyle name="Currency 2 2 20 3 2 3" xfId="5986" xr:uid="{00000000-0005-0000-0000-00006C170000}"/>
    <cellStyle name="Currency 2 2 20 3 3" xfId="5987" xr:uid="{00000000-0005-0000-0000-00006D170000}"/>
    <cellStyle name="Currency 2 2 20 3 4" xfId="5988" xr:uid="{00000000-0005-0000-0000-00006E170000}"/>
    <cellStyle name="Currency 2 2 20 4" xfId="5989" xr:uid="{00000000-0005-0000-0000-00006F170000}"/>
    <cellStyle name="Currency 2 2 20 4 2" xfId="5990" xr:uid="{00000000-0005-0000-0000-000070170000}"/>
    <cellStyle name="Currency 2 2 20 4 3" xfId="5991" xr:uid="{00000000-0005-0000-0000-000071170000}"/>
    <cellStyle name="Currency 2 2 20 5" xfId="5992" xr:uid="{00000000-0005-0000-0000-000072170000}"/>
    <cellStyle name="Currency 2 2 20 6" xfId="5993" xr:uid="{00000000-0005-0000-0000-000073170000}"/>
    <cellStyle name="Currency 2 2 3" xfId="5994" xr:uid="{00000000-0005-0000-0000-000074170000}"/>
    <cellStyle name="Currency 2 2 3 10" xfId="5995" xr:uid="{00000000-0005-0000-0000-000075170000}"/>
    <cellStyle name="Currency 2 2 3 2" xfId="5996" xr:uid="{00000000-0005-0000-0000-000076170000}"/>
    <cellStyle name="Currency 2 2 3 2 2" xfId="5997" xr:uid="{00000000-0005-0000-0000-000077170000}"/>
    <cellStyle name="Currency 2 2 3 2 2 2" xfId="5998" xr:uid="{00000000-0005-0000-0000-000078170000}"/>
    <cellStyle name="Currency 2 2 3 2 2 2 2" xfId="5999" xr:uid="{00000000-0005-0000-0000-000079170000}"/>
    <cellStyle name="Currency 2 2 3 2 2 2 2 2" xfId="6000" xr:uid="{00000000-0005-0000-0000-00007A170000}"/>
    <cellStyle name="Currency 2 2 3 2 2 2 2 3" xfId="6001" xr:uid="{00000000-0005-0000-0000-00007B170000}"/>
    <cellStyle name="Currency 2 2 3 2 2 2 3" xfId="6002" xr:uid="{00000000-0005-0000-0000-00007C170000}"/>
    <cellStyle name="Currency 2 2 3 2 2 2 4" xfId="6003" xr:uid="{00000000-0005-0000-0000-00007D170000}"/>
    <cellStyle name="Currency 2 2 3 2 2 3" xfId="6004" xr:uid="{00000000-0005-0000-0000-00007E170000}"/>
    <cellStyle name="Currency 2 2 3 2 2 3 2" xfId="6005" xr:uid="{00000000-0005-0000-0000-00007F170000}"/>
    <cellStyle name="Currency 2 2 3 2 2 3 3" xfId="6006" xr:uid="{00000000-0005-0000-0000-000080170000}"/>
    <cellStyle name="Currency 2 2 3 2 2 4" xfId="6007" xr:uid="{00000000-0005-0000-0000-000081170000}"/>
    <cellStyle name="Currency 2 2 3 2 2 5" xfId="6008" xr:uid="{00000000-0005-0000-0000-000082170000}"/>
    <cellStyle name="Currency 2 2 3 2 3" xfId="6009" xr:uid="{00000000-0005-0000-0000-000083170000}"/>
    <cellStyle name="Currency 2 2 3 2 3 2" xfId="6010" xr:uid="{00000000-0005-0000-0000-000084170000}"/>
    <cellStyle name="Currency 2 2 3 2 3 2 2" xfId="6011" xr:uid="{00000000-0005-0000-0000-000085170000}"/>
    <cellStyle name="Currency 2 2 3 2 3 2 3" xfId="6012" xr:uid="{00000000-0005-0000-0000-000086170000}"/>
    <cellStyle name="Currency 2 2 3 2 3 3" xfId="6013" xr:uid="{00000000-0005-0000-0000-000087170000}"/>
    <cellStyle name="Currency 2 2 3 2 3 4" xfId="6014" xr:uid="{00000000-0005-0000-0000-000088170000}"/>
    <cellStyle name="Currency 2 2 3 2 4" xfId="6015" xr:uid="{00000000-0005-0000-0000-000089170000}"/>
    <cellStyle name="Currency 2 2 3 2 4 2" xfId="6016" xr:uid="{00000000-0005-0000-0000-00008A170000}"/>
    <cellStyle name="Currency 2 2 3 2 4 3" xfId="6017" xr:uid="{00000000-0005-0000-0000-00008B170000}"/>
    <cellStyle name="Currency 2 2 3 2 5" xfId="6018" xr:uid="{00000000-0005-0000-0000-00008C170000}"/>
    <cellStyle name="Currency 2 2 3 2 6" xfId="6019" xr:uid="{00000000-0005-0000-0000-00008D170000}"/>
    <cellStyle name="Currency 2 2 3 3" xfId="6020" xr:uid="{00000000-0005-0000-0000-00008E170000}"/>
    <cellStyle name="Currency 2 2 3 3 2" xfId="6021" xr:uid="{00000000-0005-0000-0000-00008F170000}"/>
    <cellStyle name="Currency 2 2 3 3 2 2" xfId="6022" xr:uid="{00000000-0005-0000-0000-000090170000}"/>
    <cellStyle name="Currency 2 2 3 3 2 2 2" xfId="6023" xr:uid="{00000000-0005-0000-0000-000091170000}"/>
    <cellStyle name="Currency 2 2 3 3 2 2 2 2" xfId="6024" xr:uid="{00000000-0005-0000-0000-000092170000}"/>
    <cellStyle name="Currency 2 2 3 3 2 2 2 3" xfId="6025" xr:uid="{00000000-0005-0000-0000-000093170000}"/>
    <cellStyle name="Currency 2 2 3 3 2 2 3" xfId="6026" xr:uid="{00000000-0005-0000-0000-000094170000}"/>
    <cellStyle name="Currency 2 2 3 3 2 2 4" xfId="6027" xr:uid="{00000000-0005-0000-0000-000095170000}"/>
    <cellStyle name="Currency 2 2 3 3 2 3" xfId="6028" xr:uid="{00000000-0005-0000-0000-000096170000}"/>
    <cellStyle name="Currency 2 2 3 3 2 3 2" xfId="6029" xr:uid="{00000000-0005-0000-0000-000097170000}"/>
    <cellStyle name="Currency 2 2 3 3 2 3 3" xfId="6030" xr:uid="{00000000-0005-0000-0000-000098170000}"/>
    <cellStyle name="Currency 2 2 3 3 2 4" xfId="6031" xr:uid="{00000000-0005-0000-0000-000099170000}"/>
    <cellStyle name="Currency 2 2 3 3 2 5" xfId="6032" xr:uid="{00000000-0005-0000-0000-00009A170000}"/>
    <cellStyle name="Currency 2 2 3 3 3" xfId="6033" xr:uid="{00000000-0005-0000-0000-00009B170000}"/>
    <cellStyle name="Currency 2 2 3 3 3 2" xfId="6034" xr:uid="{00000000-0005-0000-0000-00009C170000}"/>
    <cellStyle name="Currency 2 2 3 3 3 2 2" xfId="6035" xr:uid="{00000000-0005-0000-0000-00009D170000}"/>
    <cellStyle name="Currency 2 2 3 3 3 2 3" xfId="6036" xr:uid="{00000000-0005-0000-0000-00009E170000}"/>
    <cellStyle name="Currency 2 2 3 3 3 3" xfId="6037" xr:uid="{00000000-0005-0000-0000-00009F170000}"/>
    <cellStyle name="Currency 2 2 3 3 3 4" xfId="6038" xr:uid="{00000000-0005-0000-0000-0000A0170000}"/>
    <cellStyle name="Currency 2 2 3 3 4" xfId="6039" xr:uid="{00000000-0005-0000-0000-0000A1170000}"/>
    <cellStyle name="Currency 2 2 3 3 4 2" xfId="6040" xr:uid="{00000000-0005-0000-0000-0000A2170000}"/>
    <cellStyle name="Currency 2 2 3 3 4 3" xfId="6041" xr:uid="{00000000-0005-0000-0000-0000A3170000}"/>
    <cellStyle name="Currency 2 2 3 3 5" xfId="6042" xr:uid="{00000000-0005-0000-0000-0000A4170000}"/>
    <cellStyle name="Currency 2 2 3 3 6" xfId="6043" xr:uid="{00000000-0005-0000-0000-0000A5170000}"/>
    <cellStyle name="Currency 2 2 3 4" xfId="6044" xr:uid="{00000000-0005-0000-0000-0000A6170000}"/>
    <cellStyle name="Currency 2 2 3 4 2" xfId="6045" xr:uid="{00000000-0005-0000-0000-0000A7170000}"/>
    <cellStyle name="Currency 2 2 3 4 2 2" xfId="6046" xr:uid="{00000000-0005-0000-0000-0000A8170000}"/>
    <cellStyle name="Currency 2 2 3 4 2 2 2" xfId="6047" xr:uid="{00000000-0005-0000-0000-0000A9170000}"/>
    <cellStyle name="Currency 2 2 3 4 2 2 2 2" xfId="6048" xr:uid="{00000000-0005-0000-0000-0000AA170000}"/>
    <cellStyle name="Currency 2 2 3 4 2 2 2 3" xfId="6049" xr:uid="{00000000-0005-0000-0000-0000AB170000}"/>
    <cellStyle name="Currency 2 2 3 4 2 2 3" xfId="6050" xr:uid="{00000000-0005-0000-0000-0000AC170000}"/>
    <cellStyle name="Currency 2 2 3 4 2 2 4" xfId="6051" xr:uid="{00000000-0005-0000-0000-0000AD170000}"/>
    <cellStyle name="Currency 2 2 3 4 2 3" xfId="6052" xr:uid="{00000000-0005-0000-0000-0000AE170000}"/>
    <cellStyle name="Currency 2 2 3 4 2 3 2" xfId="6053" xr:uid="{00000000-0005-0000-0000-0000AF170000}"/>
    <cellStyle name="Currency 2 2 3 4 2 3 3" xfId="6054" xr:uid="{00000000-0005-0000-0000-0000B0170000}"/>
    <cellStyle name="Currency 2 2 3 4 2 4" xfId="6055" xr:uid="{00000000-0005-0000-0000-0000B1170000}"/>
    <cellStyle name="Currency 2 2 3 4 2 5" xfId="6056" xr:uid="{00000000-0005-0000-0000-0000B2170000}"/>
    <cellStyle name="Currency 2 2 3 4 3" xfId="6057" xr:uid="{00000000-0005-0000-0000-0000B3170000}"/>
    <cellStyle name="Currency 2 2 3 4 3 2" xfId="6058" xr:uid="{00000000-0005-0000-0000-0000B4170000}"/>
    <cellStyle name="Currency 2 2 3 4 3 2 2" xfId="6059" xr:uid="{00000000-0005-0000-0000-0000B5170000}"/>
    <cellStyle name="Currency 2 2 3 4 3 2 3" xfId="6060" xr:uid="{00000000-0005-0000-0000-0000B6170000}"/>
    <cellStyle name="Currency 2 2 3 4 3 3" xfId="6061" xr:uid="{00000000-0005-0000-0000-0000B7170000}"/>
    <cellStyle name="Currency 2 2 3 4 3 4" xfId="6062" xr:uid="{00000000-0005-0000-0000-0000B8170000}"/>
    <cellStyle name="Currency 2 2 3 4 4" xfId="6063" xr:uid="{00000000-0005-0000-0000-0000B9170000}"/>
    <cellStyle name="Currency 2 2 3 4 4 2" xfId="6064" xr:uid="{00000000-0005-0000-0000-0000BA170000}"/>
    <cellStyle name="Currency 2 2 3 4 4 3" xfId="6065" xr:uid="{00000000-0005-0000-0000-0000BB170000}"/>
    <cellStyle name="Currency 2 2 3 4 5" xfId="6066" xr:uid="{00000000-0005-0000-0000-0000BC170000}"/>
    <cellStyle name="Currency 2 2 3 4 6" xfId="6067" xr:uid="{00000000-0005-0000-0000-0000BD170000}"/>
    <cellStyle name="Currency 2 2 3 5" xfId="6068" xr:uid="{00000000-0005-0000-0000-0000BE170000}"/>
    <cellStyle name="Currency 2 2 3 5 2" xfId="6069" xr:uid="{00000000-0005-0000-0000-0000BF170000}"/>
    <cellStyle name="Currency 2 2 3 5 2 2" xfId="6070" xr:uid="{00000000-0005-0000-0000-0000C0170000}"/>
    <cellStyle name="Currency 2 2 3 5 2 2 2" xfId="6071" xr:uid="{00000000-0005-0000-0000-0000C1170000}"/>
    <cellStyle name="Currency 2 2 3 5 2 2 2 2" xfId="6072" xr:uid="{00000000-0005-0000-0000-0000C2170000}"/>
    <cellStyle name="Currency 2 2 3 5 2 2 2 3" xfId="6073" xr:uid="{00000000-0005-0000-0000-0000C3170000}"/>
    <cellStyle name="Currency 2 2 3 5 2 2 3" xfId="6074" xr:uid="{00000000-0005-0000-0000-0000C4170000}"/>
    <cellStyle name="Currency 2 2 3 5 2 2 4" xfId="6075" xr:uid="{00000000-0005-0000-0000-0000C5170000}"/>
    <cellStyle name="Currency 2 2 3 5 2 3" xfId="6076" xr:uid="{00000000-0005-0000-0000-0000C6170000}"/>
    <cellStyle name="Currency 2 2 3 5 2 3 2" xfId="6077" xr:uid="{00000000-0005-0000-0000-0000C7170000}"/>
    <cellStyle name="Currency 2 2 3 5 2 3 3" xfId="6078" xr:uid="{00000000-0005-0000-0000-0000C8170000}"/>
    <cellStyle name="Currency 2 2 3 5 2 4" xfId="6079" xr:uid="{00000000-0005-0000-0000-0000C9170000}"/>
    <cellStyle name="Currency 2 2 3 5 2 5" xfId="6080" xr:uid="{00000000-0005-0000-0000-0000CA170000}"/>
    <cellStyle name="Currency 2 2 3 5 3" xfId="6081" xr:uid="{00000000-0005-0000-0000-0000CB170000}"/>
    <cellStyle name="Currency 2 2 3 5 3 2" xfId="6082" xr:uid="{00000000-0005-0000-0000-0000CC170000}"/>
    <cellStyle name="Currency 2 2 3 5 3 2 2" xfId="6083" xr:uid="{00000000-0005-0000-0000-0000CD170000}"/>
    <cellStyle name="Currency 2 2 3 5 3 2 3" xfId="6084" xr:uid="{00000000-0005-0000-0000-0000CE170000}"/>
    <cellStyle name="Currency 2 2 3 5 3 3" xfId="6085" xr:uid="{00000000-0005-0000-0000-0000CF170000}"/>
    <cellStyle name="Currency 2 2 3 5 3 4" xfId="6086" xr:uid="{00000000-0005-0000-0000-0000D0170000}"/>
    <cellStyle name="Currency 2 2 3 5 4" xfId="6087" xr:uid="{00000000-0005-0000-0000-0000D1170000}"/>
    <cellStyle name="Currency 2 2 3 5 4 2" xfId="6088" xr:uid="{00000000-0005-0000-0000-0000D2170000}"/>
    <cellStyle name="Currency 2 2 3 5 4 3" xfId="6089" xr:uid="{00000000-0005-0000-0000-0000D3170000}"/>
    <cellStyle name="Currency 2 2 3 5 5" xfId="6090" xr:uid="{00000000-0005-0000-0000-0000D4170000}"/>
    <cellStyle name="Currency 2 2 3 5 6" xfId="6091" xr:uid="{00000000-0005-0000-0000-0000D5170000}"/>
    <cellStyle name="Currency 2 2 3 6" xfId="6092" xr:uid="{00000000-0005-0000-0000-0000D6170000}"/>
    <cellStyle name="Currency 2 2 3 6 2" xfId="6093" xr:uid="{00000000-0005-0000-0000-0000D7170000}"/>
    <cellStyle name="Currency 2 2 3 6 2 2" xfId="6094" xr:uid="{00000000-0005-0000-0000-0000D8170000}"/>
    <cellStyle name="Currency 2 2 3 6 2 2 2" xfId="6095" xr:uid="{00000000-0005-0000-0000-0000D9170000}"/>
    <cellStyle name="Currency 2 2 3 6 2 2 3" xfId="6096" xr:uid="{00000000-0005-0000-0000-0000DA170000}"/>
    <cellStyle name="Currency 2 2 3 6 2 3" xfId="6097" xr:uid="{00000000-0005-0000-0000-0000DB170000}"/>
    <cellStyle name="Currency 2 2 3 6 2 4" xfId="6098" xr:uid="{00000000-0005-0000-0000-0000DC170000}"/>
    <cellStyle name="Currency 2 2 3 6 3" xfId="6099" xr:uid="{00000000-0005-0000-0000-0000DD170000}"/>
    <cellStyle name="Currency 2 2 3 6 3 2" xfId="6100" xr:uid="{00000000-0005-0000-0000-0000DE170000}"/>
    <cellStyle name="Currency 2 2 3 6 3 3" xfId="6101" xr:uid="{00000000-0005-0000-0000-0000DF170000}"/>
    <cellStyle name="Currency 2 2 3 6 4" xfId="6102" xr:uid="{00000000-0005-0000-0000-0000E0170000}"/>
    <cellStyle name="Currency 2 2 3 6 5" xfId="6103" xr:uid="{00000000-0005-0000-0000-0000E1170000}"/>
    <cellStyle name="Currency 2 2 3 7" xfId="6104" xr:uid="{00000000-0005-0000-0000-0000E2170000}"/>
    <cellStyle name="Currency 2 2 3 7 2" xfId="6105" xr:uid="{00000000-0005-0000-0000-0000E3170000}"/>
    <cellStyle name="Currency 2 2 3 7 2 2" xfId="6106" xr:uid="{00000000-0005-0000-0000-0000E4170000}"/>
    <cellStyle name="Currency 2 2 3 7 2 3" xfId="6107" xr:uid="{00000000-0005-0000-0000-0000E5170000}"/>
    <cellStyle name="Currency 2 2 3 7 3" xfId="6108" xr:uid="{00000000-0005-0000-0000-0000E6170000}"/>
    <cellStyle name="Currency 2 2 3 7 4" xfId="6109" xr:uid="{00000000-0005-0000-0000-0000E7170000}"/>
    <cellStyle name="Currency 2 2 3 8" xfId="6110" xr:uid="{00000000-0005-0000-0000-0000E8170000}"/>
    <cellStyle name="Currency 2 2 3 8 2" xfId="6111" xr:uid="{00000000-0005-0000-0000-0000E9170000}"/>
    <cellStyle name="Currency 2 2 3 8 3" xfId="6112" xr:uid="{00000000-0005-0000-0000-0000EA170000}"/>
    <cellStyle name="Currency 2 2 3 9" xfId="6113" xr:uid="{00000000-0005-0000-0000-0000EB170000}"/>
    <cellStyle name="Currency 2 2 4" xfId="6114" xr:uid="{00000000-0005-0000-0000-0000EC170000}"/>
    <cellStyle name="Currency 2 2 4 2" xfId="6115" xr:uid="{00000000-0005-0000-0000-0000ED170000}"/>
    <cellStyle name="Currency 2 2 4 2 2" xfId="6116" xr:uid="{00000000-0005-0000-0000-0000EE170000}"/>
    <cellStyle name="Currency 2 2 4 2 2 2" xfId="6117" xr:uid="{00000000-0005-0000-0000-0000EF170000}"/>
    <cellStyle name="Currency 2 2 4 2 2 2 2" xfId="6118" xr:uid="{00000000-0005-0000-0000-0000F0170000}"/>
    <cellStyle name="Currency 2 2 4 2 2 2 3" xfId="6119" xr:uid="{00000000-0005-0000-0000-0000F1170000}"/>
    <cellStyle name="Currency 2 2 4 2 2 3" xfId="6120" xr:uid="{00000000-0005-0000-0000-0000F2170000}"/>
    <cellStyle name="Currency 2 2 4 2 2 4" xfId="6121" xr:uid="{00000000-0005-0000-0000-0000F3170000}"/>
    <cellStyle name="Currency 2 2 4 2 3" xfId="6122" xr:uid="{00000000-0005-0000-0000-0000F4170000}"/>
    <cellStyle name="Currency 2 2 4 2 3 2" xfId="6123" xr:uid="{00000000-0005-0000-0000-0000F5170000}"/>
    <cellStyle name="Currency 2 2 4 2 3 3" xfId="6124" xr:uid="{00000000-0005-0000-0000-0000F6170000}"/>
    <cellStyle name="Currency 2 2 4 2 4" xfId="6125" xr:uid="{00000000-0005-0000-0000-0000F7170000}"/>
    <cellStyle name="Currency 2 2 4 2 5" xfId="6126" xr:uid="{00000000-0005-0000-0000-0000F8170000}"/>
    <cellStyle name="Currency 2 2 4 3" xfId="6127" xr:uid="{00000000-0005-0000-0000-0000F9170000}"/>
    <cellStyle name="Currency 2 2 4 3 2" xfId="6128" xr:uid="{00000000-0005-0000-0000-0000FA170000}"/>
    <cellStyle name="Currency 2 2 4 3 2 2" xfId="6129" xr:uid="{00000000-0005-0000-0000-0000FB170000}"/>
    <cellStyle name="Currency 2 2 4 3 2 3" xfId="6130" xr:uid="{00000000-0005-0000-0000-0000FC170000}"/>
    <cellStyle name="Currency 2 2 4 3 3" xfId="6131" xr:uid="{00000000-0005-0000-0000-0000FD170000}"/>
    <cellStyle name="Currency 2 2 4 3 4" xfId="6132" xr:uid="{00000000-0005-0000-0000-0000FE170000}"/>
    <cellStyle name="Currency 2 2 4 4" xfId="6133" xr:uid="{00000000-0005-0000-0000-0000FF170000}"/>
    <cellStyle name="Currency 2 2 4 4 2" xfId="6134" xr:uid="{00000000-0005-0000-0000-000000180000}"/>
    <cellStyle name="Currency 2 2 4 4 3" xfId="6135" xr:uid="{00000000-0005-0000-0000-000001180000}"/>
    <cellStyle name="Currency 2 2 4 5" xfId="6136" xr:uid="{00000000-0005-0000-0000-000002180000}"/>
    <cellStyle name="Currency 2 2 4 6" xfId="6137" xr:uid="{00000000-0005-0000-0000-000003180000}"/>
    <cellStyle name="Currency 2 2 5" xfId="6138" xr:uid="{00000000-0005-0000-0000-000004180000}"/>
    <cellStyle name="Currency 2 2 5 2" xfId="6139" xr:uid="{00000000-0005-0000-0000-000005180000}"/>
    <cellStyle name="Currency 2 2 5 2 2" xfId="6140" xr:uid="{00000000-0005-0000-0000-000006180000}"/>
    <cellStyle name="Currency 2 2 5 2 2 2" xfId="6141" xr:uid="{00000000-0005-0000-0000-000007180000}"/>
    <cellStyle name="Currency 2 2 5 2 2 2 2" xfId="6142" xr:uid="{00000000-0005-0000-0000-000008180000}"/>
    <cellStyle name="Currency 2 2 5 2 2 2 3" xfId="6143" xr:uid="{00000000-0005-0000-0000-000009180000}"/>
    <cellStyle name="Currency 2 2 5 2 2 3" xfId="6144" xr:uid="{00000000-0005-0000-0000-00000A180000}"/>
    <cellStyle name="Currency 2 2 5 2 2 4" xfId="6145" xr:uid="{00000000-0005-0000-0000-00000B180000}"/>
    <cellStyle name="Currency 2 2 5 2 3" xfId="6146" xr:uid="{00000000-0005-0000-0000-00000C180000}"/>
    <cellStyle name="Currency 2 2 5 2 3 2" xfId="6147" xr:uid="{00000000-0005-0000-0000-00000D180000}"/>
    <cellStyle name="Currency 2 2 5 2 3 3" xfId="6148" xr:uid="{00000000-0005-0000-0000-00000E180000}"/>
    <cellStyle name="Currency 2 2 5 2 4" xfId="6149" xr:uid="{00000000-0005-0000-0000-00000F180000}"/>
    <cellStyle name="Currency 2 2 5 2 5" xfId="6150" xr:uid="{00000000-0005-0000-0000-000010180000}"/>
    <cellStyle name="Currency 2 2 5 3" xfId="6151" xr:uid="{00000000-0005-0000-0000-000011180000}"/>
    <cellStyle name="Currency 2 2 5 3 2" xfId="6152" xr:uid="{00000000-0005-0000-0000-000012180000}"/>
    <cellStyle name="Currency 2 2 5 3 2 2" xfId="6153" xr:uid="{00000000-0005-0000-0000-000013180000}"/>
    <cellStyle name="Currency 2 2 5 3 2 3" xfId="6154" xr:uid="{00000000-0005-0000-0000-000014180000}"/>
    <cellStyle name="Currency 2 2 5 3 3" xfId="6155" xr:uid="{00000000-0005-0000-0000-000015180000}"/>
    <cellStyle name="Currency 2 2 5 3 4" xfId="6156" xr:uid="{00000000-0005-0000-0000-000016180000}"/>
    <cellStyle name="Currency 2 2 5 4" xfId="6157" xr:uid="{00000000-0005-0000-0000-000017180000}"/>
    <cellStyle name="Currency 2 2 5 4 2" xfId="6158" xr:uid="{00000000-0005-0000-0000-000018180000}"/>
    <cellStyle name="Currency 2 2 5 4 3" xfId="6159" xr:uid="{00000000-0005-0000-0000-000019180000}"/>
    <cellStyle name="Currency 2 2 5 5" xfId="6160" xr:uid="{00000000-0005-0000-0000-00001A180000}"/>
    <cellStyle name="Currency 2 2 5 6" xfId="6161" xr:uid="{00000000-0005-0000-0000-00001B180000}"/>
    <cellStyle name="Currency 2 2 6" xfId="6162" xr:uid="{00000000-0005-0000-0000-00001C180000}"/>
    <cellStyle name="Currency 2 2 6 2" xfId="6163" xr:uid="{00000000-0005-0000-0000-00001D180000}"/>
    <cellStyle name="Currency 2 2 6 2 2" xfId="6164" xr:uid="{00000000-0005-0000-0000-00001E180000}"/>
    <cellStyle name="Currency 2 2 6 2 2 2" xfId="6165" xr:uid="{00000000-0005-0000-0000-00001F180000}"/>
    <cellStyle name="Currency 2 2 6 2 2 2 2" xfId="6166" xr:uid="{00000000-0005-0000-0000-000020180000}"/>
    <cellStyle name="Currency 2 2 6 2 2 2 3" xfId="6167" xr:uid="{00000000-0005-0000-0000-000021180000}"/>
    <cellStyle name="Currency 2 2 6 2 2 3" xfId="6168" xr:uid="{00000000-0005-0000-0000-000022180000}"/>
    <cellStyle name="Currency 2 2 6 2 2 4" xfId="6169" xr:uid="{00000000-0005-0000-0000-000023180000}"/>
    <cellStyle name="Currency 2 2 6 2 3" xfId="6170" xr:uid="{00000000-0005-0000-0000-000024180000}"/>
    <cellStyle name="Currency 2 2 6 2 3 2" xfId="6171" xr:uid="{00000000-0005-0000-0000-000025180000}"/>
    <cellStyle name="Currency 2 2 6 2 3 3" xfId="6172" xr:uid="{00000000-0005-0000-0000-000026180000}"/>
    <cellStyle name="Currency 2 2 6 2 4" xfId="6173" xr:uid="{00000000-0005-0000-0000-000027180000}"/>
    <cellStyle name="Currency 2 2 6 2 5" xfId="6174" xr:uid="{00000000-0005-0000-0000-000028180000}"/>
    <cellStyle name="Currency 2 2 6 3" xfId="6175" xr:uid="{00000000-0005-0000-0000-000029180000}"/>
    <cellStyle name="Currency 2 2 6 3 2" xfId="6176" xr:uid="{00000000-0005-0000-0000-00002A180000}"/>
    <cellStyle name="Currency 2 2 6 3 2 2" xfId="6177" xr:uid="{00000000-0005-0000-0000-00002B180000}"/>
    <cellStyle name="Currency 2 2 6 3 2 3" xfId="6178" xr:uid="{00000000-0005-0000-0000-00002C180000}"/>
    <cellStyle name="Currency 2 2 6 3 3" xfId="6179" xr:uid="{00000000-0005-0000-0000-00002D180000}"/>
    <cellStyle name="Currency 2 2 6 3 4" xfId="6180" xr:uid="{00000000-0005-0000-0000-00002E180000}"/>
    <cellStyle name="Currency 2 2 6 4" xfId="6181" xr:uid="{00000000-0005-0000-0000-00002F180000}"/>
    <cellStyle name="Currency 2 2 6 4 2" xfId="6182" xr:uid="{00000000-0005-0000-0000-000030180000}"/>
    <cellStyle name="Currency 2 2 6 4 3" xfId="6183" xr:uid="{00000000-0005-0000-0000-000031180000}"/>
    <cellStyle name="Currency 2 2 6 5" xfId="6184" xr:uid="{00000000-0005-0000-0000-000032180000}"/>
    <cellStyle name="Currency 2 2 6 6" xfId="6185" xr:uid="{00000000-0005-0000-0000-000033180000}"/>
    <cellStyle name="Currency 2 2 7" xfId="6186" xr:uid="{00000000-0005-0000-0000-000034180000}"/>
    <cellStyle name="Currency 2 2 7 2" xfId="6187" xr:uid="{00000000-0005-0000-0000-000035180000}"/>
    <cellStyle name="Currency 2 2 7 2 2" xfId="6188" xr:uid="{00000000-0005-0000-0000-000036180000}"/>
    <cellStyle name="Currency 2 2 7 2 2 2" xfId="6189" xr:uid="{00000000-0005-0000-0000-000037180000}"/>
    <cellStyle name="Currency 2 2 7 2 2 2 2" xfId="6190" xr:uid="{00000000-0005-0000-0000-000038180000}"/>
    <cellStyle name="Currency 2 2 7 2 2 2 3" xfId="6191" xr:uid="{00000000-0005-0000-0000-000039180000}"/>
    <cellStyle name="Currency 2 2 7 2 2 3" xfId="6192" xr:uid="{00000000-0005-0000-0000-00003A180000}"/>
    <cellStyle name="Currency 2 2 7 2 2 4" xfId="6193" xr:uid="{00000000-0005-0000-0000-00003B180000}"/>
    <cellStyle name="Currency 2 2 7 2 3" xfId="6194" xr:uid="{00000000-0005-0000-0000-00003C180000}"/>
    <cellStyle name="Currency 2 2 7 2 3 2" xfId="6195" xr:uid="{00000000-0005-0000-0000-00003D180000}"/>
    <cellStyle name="Currency 2 2 7 2 3 3" xfId="6196" xr:uid="{00000000-0005-0000-0000-00003E180000}"/>
    <cellStyle name="Currency 2 2 7 2 4" xfId="6197" xr:uid="{00000000-0005-0000-0000-00003F180000}"/>
    <cellStyle name="Currency 2 2 7 2 5" xfId="6198" xr:uid="{00000000-0005-0000-0000-000040180000}"/>
    <cellStyle name="Currency 2 2 7 3" xfId="6199" xr:uid="{00000000-0005-0000-0000-000041180000}"/>
    <cellStyle name="Currency 2 2 7 3 2" xfId="6200" xr:uid="{00000000-0005-0000-0000-000042180000}"/>
    <cellStyle name="Currency 2 2 7 3 2 2" xfId="6201" xr:uid="{00000000-0005-0000-0000-000043180000}"/>
    <cellStyle name="Currency 2 2 7 3 2 3" xfId="6202" xr:uid="{00000000-0005-0000-0000-000044180000}"/>
    <cellStyle name="Currency 2 2 7 3 3" xfId="6203" xr:uid="{00000000-0005-0000-0000-000045180000}"/>
    <cellStyle name="Currency 2 2 7 3 4" xfId="6204" xr:uid="{00000000-0005-0000-0000-000046180000}"/>
    <cellStyle name="Currency 2 2 7 4" xfId="6205" xr:uid="{00000000-0005-0000-0000-000047180000}"/>
    <cellStyle name="Currency 2 2 7 4 2" xfId="6206" xr:uid="{00000000-0005-0000-0000-000048180000}"/>
    <cellStyle name="Currency 2 2 7 4 3" xfId="6207" xr:uid="{00000000-0005-0000-0000-000049180000}"/>
    <cellStyle name="Currency 2 2 7 5" xfId="6208" xr:uid="{00000000-0005-0000-0000-00004A180000}"/>
    <cellStyle name="Currency 2 2 7 6" xfId="6209" xr:uid="{00000000-0005-0000-0000-00004B180000}"/>
    <cellStyle name="Currency 2 2 8" xfId="6210" xr:uid="{00000000-0005-0000-0000-00004C180000}"/>
    <cellStyle name="Currency 2 2 8 2" xfId="6211" xr:uid="{00000000-0005-0000-0000-00004D180000}"/>
    <cellStyle name="Currency 2 2 8 2 2" xfId="6212" xr:uid="{00000000-0005-0000-0000-00004E180000}"/>
    <cellStyle name="Currency 2 2 8 2 2 2" xfId="6213" xr:uid="{00000000-0005-0000-0000-00004F180000}"/>
    <cellStyle name="Currency 2 2 8 2 2 2 2" xfId="6214" xr:uid="{00000000-0005-0000-0000-000050180000}"/>
    <cellStyle name="Currency 2 2 8 2 2 2 3" xfId="6215" xr:uid="{00000000-0005-0000-0000-000051180000}"/>
    <cellStyle name="Currency 2 2 8 2 2 3" xfId="6216" xr:uid="{00000000-0005-0000-0000-000052180000}"/>
    <cellStyle name="Currency 2 2 8 2 2 4" xfId="6217" xr:uid="{00000000-0005-0000-0000-000053180000}"/>
    <cellStyle name="Currency 2 2 8 2 3" xfId="6218" xr:uid="{00000000-0005-0000-0000-000054180000}"/>
    <cellStyle name="Currency 2 2 8 2 3 2" xfId="6219" xr:uid="{00000000-0005-0000-0000-000055180000}"/>
    <cellStyle name="Currency 2 2 8 2 3 3" xfId="6220" xr:uid="{00000000-0005-0000-0000-000056180000}"/>
    <cellStyle name="Currency 2 2 8 2 4" xfId="6221" xr:uid="{00000000-0005-0000-0000-000057180000}"/>
    <cellStyle name="Currency 2 2 8 2 5" xfId="6222" xr:uid="{00000000-0005-0000-0000-000058180000}"/>
    <cellStyle name="Currency 2 2 8 3" xfId="6223" xr:uid="{00000000-0005-0000-0000-000059180000}"/>
    <cellStyle name="Currency 2 2 8 3 2" xfId="6224" xr:uid="{00000000-0005-0000-0000-00005A180000}"/>
    <cellStyle name="Currency 2 2 8 3 2 2" xfId="6225" xr:uid="{00000000-0005-0000-0000-00005B180000}"/>
    <cellStyle name="Currency 2 2 8 3 2 3" xfId="6226" xr:uid="{00000000-0005-0000-0000-00005C180000}"/>
    <cellStyle name="Currency 2 2 8 3 3" xfId="6227" xr:uid="{00000000-0005-0000-0000-00005D180000}"/>
    <cellStyle name="Currency 2 2 8 3 4" xfId="6228" xr:uid="{00000000-0005-0000-0000-00005E180000}"/>
    <cellStyle name="Currency 2 2 8 4" xfId="6229" xr:uid="{00000000-0005-0000-0000-00005F180000}"/>
    <cellStyle name="Currency 2 2 8 4 2" xfId="6230" xr:uid="{00000000-0005-0000-0000-000060180000}"/>
    <cellStyle name="Currency 2 2 8 4 3" xfId="6231" xr:uid="{00000000-0005-0000-0000-000061180000}"/>
    <cellStyle name="Currency 2 2 8 5" xfId="6232" xr:uid="{00000000-0005-0000-0000-000062180000}"/>
    <cellStyle name="Currency 2 2 8 6" xfId="6233" xr:uid="{00000000-0005-0000-0000-000063180000}"/>
    <cellStyle name="Currency 2 2 9" xfId="6234" xr:uid="{00000000-0005-0000-0000-000064180000}"/>
    <cellStyle name="Currency 2 2 9 2" xfId="6235" xr:uid="{00000000-0005-0000-0000-000065180000}"/>
    <cellStyle name="Currency 2 2 9 2 2" xfId="6236" xr:uid="{00000000-0005-0000-0000-000066180000}"/>
    <cellStyle name="Currency 2 2 9 2 2 2" xfId="6237" xr:uid="{00000000-0005-0000-0000-000067180000}"/>
    <cellStyle name="Currency 2 2 9 2 2 2 2" xfId="6238" xr:uid="{00000000-0005-0000-0000-000068180000}"/>
    <cellStyle name="Currency 2 2 9 2 2 2 3" xfId="6239" xr:uid="{00000000-0005-0000-0000-000069180000}"/>
    <cellStyle name="Currency 2 2 9 2 2 3" xfId="6240" xr:uid="{00000000-0005-0000-0000-00006A180000}"/>
    <cellStyle name="Currency 2 2 9 2 2 4" xfId="6241" xr:uid="{00000000-0005-0000-0000-00006B180000}"/>
    <cellStyle name="Currency 2 2 9 2 3" xfId="6242" xr:uid="{00000000-0005-0000-0000-00006C180000}"/>
    <cellStyle name="Currency 2 2 9 2 3 2" xfId="6243" xr:uid="{00000000-0005-0000-0000-00006D180000}"/>
    <cellStyle name="Currency 2 2 9 2 3 3" xfId="6244" xr:uid="{00000000-0005-0000-0000-00006E180000}"/>
    <cellStyle name="Currency 2 2 9 2 4" xfId="6245" xr:uid="{00000000-0005-0000-0000-00006F180000}"/>
    <cellStyle name="Currency 2 2 9 2 5" xfId="6246" xr:uid="{00000000-0005-0000-0000-000070180000}"/>
    <cellStyle name="Currency 2 2 9 3" xfId="6247" xr:uid="{00000000-0005-0000-0000-000071180000}"/>
    <cellStyle name="Currency 2 2 9 3 2" xfId="6248" xr:uid="{00000000-0005-0000-0000-000072180000}"/>
    <cellStyle name="Currency 2 2 9 3 2 2" xfId="6249" xr:uid="{00000000-0005-0000-0000-000073180000}"/>
    <cellStyle name="Currency 2 2 9 3 2 3" xfId="6250" xr:uid="{00000000-0005-0000-0000-000074180000}"/>
    <cellStyle name="Currency 2 2 9 3 3" xfId="6251" xr:uid="{00000000-0005-0000-0000-000075180000}"/>
    <cellStyle name="Currency 2 2 9 3 4" xfId="6252" xr:uid="{00000000-0005-0000-0000-000076180000}"/>
    <cellStyle name="Currency 2 2 9 4" xfId="6253" xr:uid="{00000000-0005-0000-0000-000077180000}"/>
    <cellStyle name="Currency 2 2 9 4 2" xfId="6254" xr:uid="{00000000-0005-0000-0000-000078180000}"/>
    <cellStyle name="Currency 2 2 9 4 3" xfId="6255" xr:uid="{00000000-0005-0000-0000-000079180000}"/>
    <cellStyle name="Currency 2 2 9 5" xfId="6256" xr:uid="{00000000-0005-0000-0000-00007A180000}"/>
    <cellStyle name="Currency 2 2 9 6" xfId="6257" xr:uid="{00000000-0005-0000-0000-00007B180000}"/>
    <cellStyle name="Currency 2 20" xfId="6258" xr:uid="{00000000-0005-0000-0000-00007C180000}"/>
    <cellStyle name="Currency 2 21" xfId="6259" xr:uid="{00000000-0005-0000-0000-00007D180000}"/>
    <cellStyle name="Currency 2 22" xfId="6260" xr:uid="{00000000-0005-0000-0000-00007E180000}"/>
    <cellStyle name="Currency 2 23" xfId="6261" xr:uid="{00000000-0005-0000-0000-00007F180000}"/>
    <cellStyle name="Currency 2 24" xfId="6262" xr:uid="{00000000-0005-0000-0000-000080180000}"/>
    <cellStyle name="Currency 2 24 2" xfId="6263" xr:uid="{00000000-0005-0000-0000-000081180000}"/>
    <cellStyle name="Currency 2 24 3" xfId="6264" xr:uid="{00000000-0005-0000-0000-000082180000}"/>
    <cellStyle name="Currency 2 25" xfId="6265" xr:uid="{00000000-0005-0000-0000-000083180000}"/>
    <cellStyle name="Currency 2 25 2" xfId="6266" xr:uid="{00000000-0005-0000-0000-000084180000}"/>
    <cellStyle name="Currency 2 26" xfId="6267" xr:uid="{00000000-0005-0000-0000-000085180000}"/>
    <cellStyle name="Currency 2 26 2" xfId="6268" xr:uid="{00000000-0005-0000-0000-000086180000}"/>
    <cellStyle name="Currency 2 27" xfId="6269" xr:uid="{00000000-0005-0000-0000-000087180000}"/>
    <cellStyle name="Currency 2 27 2" xfId="6270" xr:uid="{00000000-0005-0000-0000-000088180000}"/>
    <cellStyle name="Currency 2 27 2 2" xfId="6271" xr:uid="{00000000-0005-0000-0000-000089180000}"/>
    <cellStyle name="Currency 2 27 2 2 2" xfId="6272" xr:uid="{00000000-0005-0000-0000-00008A180000}"/>
    <cellStyle name="Currency 2 27 2 2 2 2" xfId="6273" xr:uid="{00000000-0005-0000-0000-00008B180000}"/>
    <cellStyle name="Currency 2 27 2 2 2 3" xfId="6274" xr:uid="{00000000-0005-0000-0000-00008C180000}"/>
    <cellStyle name="Currency 2 27 2 2 3" xfId="6275" xr:uid="{00000000-0005-0000-0000-00008D180000}"/>
    <cellStyle name="Currency 2 27 2 2 4" xfId="6276" xr:uid="{00000000-0005-0000-0000-00008E180000}"/>
    <cellStyle name="Currency 2 27 2 3" xfId="6277" xr:uid="{00000000-0005-0000-0000-00008F180000}"/>
    <cellStyle name="Currency 2 27 2 3 2" xfId="6278" xr:uid="{00000000-0005-0000-0000-000090180000}"/>
    <cellStyle name="Currency 2 27 2 3 3" xfId="6279" xr:uid="{00000000-0005-0000-0000-000091180000}"/>
    <cellStyle name="Currency 2 27 2 4" xfId="6280" xr:uid="{00000000-0005-0000-0000-000092180000}"/>
    <cellStyle name="Currency 2 27 2 5" xfId="6281" xr:uid="{00000000-0005-0000-0000-000093180000}"/>
    <cellStyle name="Currency 2 27 3" xfId="6282" xr:uid="{00000000-0005-0000-0000-000094180000}"/>
    <cellStyle name="Currency 2 27 3 2" xfId="6283" xr:uid="{00000000-0005-0000-0000-000095180000}"/>
    <cellStyle name="Currency 2 27 3 2 2" xfId="6284" xr:uid="{00000000-0005-0000-0000-000096180000}"/>
    <cellStyle name="Currency 2 27 3 2 3" xfId="6285" xr:uid="{00000000-0005-0000-0000-000097180000}"/>
    <cellStyle name="Currency 2 27 3 3" xfId="6286" xr:uid="{00000000-0005-0000-0000-000098180000}"/>
    <cellStyle name="Currency 2 27 3 4" xfId="6287" xr:uid="{00000000-0005-0000-0000-000099180000}"/>
    <cellStyle name="Currency 2 27 4" xfId="6288" xr:uid="{00000000-0005-0000-0000-00009A180000}"/>
    <cellStyle name="Currency 2 27 4 2" xfId="6289" xr:uid="{00000000-0005-0000-0000-00009B180000}"/>
    <cellStyle name="Currency 2 27 4 3" xfId="6290" xr:uid="{00000000-0005-0000-0000-00009C180000}"/>
    <cellStyle name="Currency 2 27 5" xfId="6291" xr:uid="{00000000-0005-0000-0000-00009D180000}"/>
    <cellStyle name="Currency 2 27 6" xfId="6292" xr:uid="{00000000-0005-0000-0000-00009E180000}"/>
    <cellStyle name="Currency 2 28" xfId="6293" xr:uid="{00000000-0005-0000-0000-00009F180000}"/>
    <cellStyle name="Currency 2 29" xfId="6294" xr:uid="{00000000-0005-0000-0000-0000A0180000}"/>
    <cellStyle name="Currency 2 3" xfId="21" xr:uid="{00000000-0005-0000-0000-0000A1180000}"/>
    <cellStyle name="Currency 2 3 2" xfId="6295" xr:uid="{00000000-0005-0000-0000-0000A2180000}"/>
    <cellStyle name="Currency 2 3 3" xfId="6296" xr:uid="{00000000-0005-0000-0000-0000A3180000}"/>
    <cellStyle name="Currency 2 3 4" xfId="6297" xr:uid="{00000000-0005-0000-0000-0000A4180000}"/>
    <cellStyle name="Currency 2 3 5" xfId="6298" xr:uid="{00000000-0005-0000-0000-0000A5180000}"/>
    <cellStyle name="Currency 2 30" xfId="6299" xr:uid="{00000000-0005-0000-0000-0000A6180000}"/>
    <cellStyle name="Currency 2 31" xfId="6300" xr:uid="{00000000-0005-0000-0000-0000A7180000}"/>
    <cellStyle name="Currency 2 32" xfId="6301" xr:uid="{00000000-0005-0000-0000-0000A8180000}"/>
    <cellStyle name="Currency 2 33" xfId="6302" xr:uid="{00000000-0005-0000-0000-0000A9180000}"/>
    <cellStyle name="Currency 2 34" xfId="6303" xr:uid="{00000000-0005-0000-0000-0000AA180000}"/>
    <cellStyle name="Currency 2 35" xfId="6304" xr:uid="{00000000-0005-0000-0000-0000AB180000}"/>
    <cellStyle name="Currency 2 36" xfId="6305" xr:uid="{00000000-0005-0000-0000-0000AC180000}"/>
    <cellStyle name="Currency 2 37" xfId="6306" xr:uid="{00000000-0005-0000-0000-0000AD180000}"/>
    <cellStyle name="Currency 2 38" xfId="6307" xr:uid="{00000000-0005-0000-0000-0000AE180000}"/>
    <cellStyle name="Currency 2 4" xfId="6308" xr:uid="{00000000-0005-0000-0000-0000AF180000}"/>
    <cellStyle name="Currency 2 4 2" xfId="6309" xr:uid="{00000000-0005-0000-0000-0000B0180000}"/>
    <cellStyle name="Currency 2 4 3" xfId="6310" xr:uid="{00000000-0005-0000-0000-0000B1180000}"/>
    <cellStyle name="Currency 2 5" xfId="6311" xr:uid="{00000000-0005-0000-0000-0000B2180000}"/>
    <cellStyle name="Currency 2 6" xfId="6312" xr:uid="{00000000-0005-0000-0000-0000B3180000}"/>
    <cellStyle name="Currency 2 6 2" xfId="6313" xr:uid="{00000000-0005-0000-0000-0000B4180000}"/>
    <cellStyle name="Currency 2 6 3" xfId="6314" xr:uid="{00000000-0005-0000-0000-0000B5180000}"/>
    <cellStyle name="Currency 2 7" xfId="6315" xr:uid="{00000000-0005-0000-0000-0000B6180000}"/>
    <cellStyle name="Currency 2 7 2" xfId="6316" xr:uid="{00000000-0005-0000-0000-0000B7180000}"/>
    <cellStyle name="Currency 2 7 3" xfId="6317" xr:uid="{00000000-0005-0000-0000-0000B8180000}"/>
    <cellStyle name="Currency 2 8" xfId="6318" xr:uid="{00000000-0005-0000-0000-0000B9180000}"/>
    <cellStyle name="Currency 2 8 2" xfId="6319" xr:uid="{00000000-0005-0000-0000-0000BA180000}"/>
    <cellStyle name="Currency 2 8 3" xfId="6320" xr:uid="{00000000-0005-0000-0000-0000BB180000}"/>
    <cellStyle name="Currency 2 9" xfId="6321" xr:uid="{00000000-0005-0000-0000-0000BC180000}"/>
    <cellStyle name="Currency 2 9 2" xfId="6322" xr:uid="{00000000-0005-0000-0000-0000BD180000}"/>
    <cellStyle name="Currency 2 9 3" xfId="6323" xr:uid="{00000000-0005-0000-0000-0000BE180000}"/>
    <cellStyle name="Currency 20" xfId="6324" xr:uid="{00000000-0005-0000-0000-0000BF180000}"/>
    <cellStyle name="Currency 20 2" xfId="6325" xr:uid="{00000000-0005-0000-0000-0000C0180000}"/>
    <cellStyle name="Currency 20 3" xfId="6326" xr:uid="{00000000-0005-0000-0000-0000C1180000}"/>
    <cellStyle name="Currency 200" xfId="21883" xr:uid="{00000000-0005-0000-0000-0000C2180000}"/>
    <cellStyle name="Currency 201" xfId="21885" xr:uid="{00000000-0005-0000-0000-0000C3180000}"/>
    <cellStyle name="Currency 202" xfId="21887" xr:uid="{00000000-0005-0000-0000-0000C4180000}"/>
    <cellStyle name="Currency 203" xfId="21889" xr:uid="{00000000-0005-0000-0000-0000C5180000}"/>
    <cellStyle name="Currency 21" xfId="6327" xr:uid="{00000000-0005-0000-0000-0000C6180000}"/>
    <cellStyle name="Currency 22" xfId="6328" xr:uid="{00000000-0005-0000-0000-0000C7180000}"/>
    <cellStyle name="Currency 23" xfId="6329" xr:uid="{00000000-0005-0000-0000-0000C8180000}"/>
    <cellStyle name="Currency 24" xfId="6330" xr:uid="{00000000-0005-0000-0000-0000C9180000}"/>
    <cellStyle name="Currency 25" xfId="6331" xr:uid="{00000000-0005-0000-0000-0000CA180000}"/>
    <cellStyle name="Currency 26" xfId="6332" xr:uid="{00000000-0005-0000-0000-0000CB180000}"/>
    <cellStyle name="Currency 27" xfId="6333" xr:uid="{00000000-0005-0000-0000-0000CC180000}"/>
    <cellStyle name="Currency 28" xfId="6334" xr:uid="{00000000-0005-0000-0000-0000CD180000}"/>
    <cellStyle name="Currency 29" xfId="6335" xr:uid="{00000000-0005-0000-0000-0000CE180000}"/>
    <cellStyle name="Currency 3" xfId="22" xr:uid="{00000000-0005-0000-0000-0000CF180000}"/>
    <cellStyle name="Currency 3 10" xfId="6336" xr:uid="{00000000-0005-0000-0000-0000D0180000}"/>
    <cellStyle name="Currency 3 10 2" xfId="6337" xr:uid="{00000000-0005-0000-0000-0000D1180000}"/>
    <cellStyle name="Currency 3 10 2 2" xfId="6338" xr:uid="{00000000-0005-0000-0000-0000D2180000}"/>
    <cellStyle name="Currency 3 10 2 2 2" xfId="6339" xr:uid="{00000000-0005-0000-0000-0000D3180000}"/>
    <cellStyle name="Currency 3 10 2 2 2 2" xfId="6340" xr:uid="{00000000-0005-0000-0000-0000D4180000}"/>
    <cellStyle name="Currency 3 10 2 2 2 3" xfId="6341" xr:uid="{00000000-0005-0000-0000-0000D5180000}"/>
    <cellStyle name="Currency 3 10 2 2 3" xfId="6342" xr:uid="{00000000-0005-0000-0000-0000D6180000}"/>
    <cellStyle name="Currency 3 10 2 2 4" xfId="6343" xr:uid="{00000000-0005-0000-0000-0000D7180000}"/>
    <cellStyle name="Currency 3 10 2 3" xfId="6344" xr:uid="{00000000-0005-0000-0000-0000D8180000}"/>
    <cellStyle name="Currency 3 10 2 3 2" xfId="6345" xr:uid="{00000000-0005-0000-0000-0000D9180000}"/>
    <cellStyle name="Currency 3 10 2 3 3" xfId="6346" xr:uid="{00000000-0005-0000-0000-0000DA180000}"/>
    <cellStyle name="Currency 3 10 2 4" xfId="6347" xr:uid="{00000000-0005-0000-0000-0000DB180000}"/>
    <cellStyle name="Currency 3 10 2 5" xfId="6348" xr:uid="{00000000-0005-0000-0000-0000DC180000}"/>
    <cellStyle name="Currency 3 10 3" xfId="6349" xr:uid="{00000000-0005-0000-0000-0000DD180000}"/>
    <cellStyle name="Currency 3 10 3 2" xfId="6350" xr:uid="{00000000-0005-0000-0000-0000DE180000}"/>
    <cellStyle name="Currency 3 10 3 2 2" xfId="6351" xr:uid="{00000000-0005-0000-0000-0000DF180000}"/>
    <cellStyle name="Currency 3 10 3 2 3" xfId="6352" xr:uid="{00000000-0005-0000-0000-0000E0180000}"/>
    <cellStyle name="Currency 3 10 3 3" xfId="6353" xr:uid="{00000000-0005-0000-0000-0000E1180000}"/>
    <cellStyle name="Currency 3 10 3 4" xfId="6354" xr:uid="{00000000-0005-0000-0000-0000E2180000}"/>
    <cellStyle name="Currency 3 10 4" xfId="6355" xr:uid="{00000000-0005-0000-0000-0000E3180000}"/>
    <cellStyle name="Currency 3 10 4 2" xfId="6356" xr:uid="{00000000-0005-0000-0000-0000E4180000}"/>
    <cellStyle name="Currency 3 10 4 3" xfId="6357" xr:uid="{00000000-0005-0000-0000-0000E5180000}"/>
    <cellStyle name="Currency 3 10 5" xfId="6358" xr:uid="{00000000-0005-0000-0000-0000E6180000}"/>
    <cellStyle name="Currency 3 10 6" xfId="6359" xr:uid="{00000000-0005-0000-0000-0000E7180000}"/>
    <cellStyle name="Currency 3 11" xfId="6360" xr:uid="{00000000-0005-0000-0000-0000E8180000}"/>
    <cellStyle name="Currency 3 11 2" xfId="6361" xr:uid="{00000000-0005-0000-0000-0000E9180000}"/>
    <cellStyle name="Currency 3 11 2 2" xfId="6362" xr:uid="{00000000-0005-0000-0000-0000EA180000}"/>
    <cellStyle name="Currency 3 11 2 2 2" xfId="6363" xr:uid="{00000000-0005-0000-0000-0000EB180000}"/>
    <cellStyle name="Currency 3 11 2 2 2 2" xfId="6364" xr:uid="{00000000-0005-0000-0000-0000EC180000}"/>
    <cellStyle name="Currency 3 11 2 2 2 3" xfId="6365" xr:uid="{00000000-0005-0000-0000-0000ED180000}"/>
    <cellStyle name="Currency 3 11 2 2 3" xfId="6366" xr:uid="{00000000-0005-0000-0000-0000EE180000}"/>
    <cellStyle name="Currency 3 11 2 2 4" xfId="6367" xr:uid="{00000000-0005-0000-0000-0000EF180000}"/>
    <cellStyle name="Currency 3 11 2 3" xfId="6368" xr:uid="{00000000-0005-0000-0000-0000F0180000}"/>
    <cellStyle name="Currency 3 11 2 3 2" xfId="6369" xr:uid="{00000000-0005-0000-0000-0000F1180000}"/>
    <cellStyle name="Currency 3 11 2 3 3" xfId="6370" xr:uid="{00000000-0005-0000-0000-0000F2180000}"/>
    <cellStyle name="Currency 3 11 2 4" xfId="6371" xr:uid="{00000000-0005-0000-0000-0000F3180000}"/>
    <cellStyle name="Currency 3 11 2 5" xfId="6372" xr:uid="{00000000-0005-0000-0000-0000F4180000}"/>
    <cellStyle name="Currency 3 11 3" xfId="6373" xr:uid="{00000000-0005-0000-0000-0000F5180000}"/>
    <cellStyle name="Currency 3 11 3 2" xfId="6374" xr:uid="{00000000-0005-0000-0000-0000F6180000}"/>
    <cellStyle name="Currency 3 11 3 2 2" xfId="6375" xr:uid="{00000000-0005-0000-0000-0000F7180000}"/>
    <cellStyle name="Currency 3 11 3 2 3" xfId="6376" xr:uid="{00000000-0005-0000-0000-0000F8180000}"/>
    <cellStyle name="Currency 3 11 3 3" xfId="6377" xr:uid="{00000000-0005-0000-0000-0000F9180000}"/>
    <cellStyle name="Currency 3 11 3 4" xfId="6378" xr:uid="{00000000-0005-0000-0000-0000FA180000}"/>
    <cellStyle name="Currency 3 11 4" xfId="6379" xr:uid="{00000000-0005-0000-0000-0000FB180000}"/>
    <cellStyle name="Currency 3 11 4 2" xfId="6380" xr:uid="{00000000-0005-0000-0000-0000FC180000}"/>
    <cellStyle name="Currency 3 11 4 3" xfId="6381" xr:uid="{00000000-0005-0000-0000-0000FD180000}"/>
    <cellStyle name="Currency 3 11 5" xfId="6382" xr:uid="{00000000-0005-0000-0000-0000FE180000}"/>
    <cellStyle name="Currency 3 11 6" xfId="6383" xr:uid="{00000000-0005-0000-0000-0000FF180000}"/>
    <cellStyle name="Currency 3 12" xfId="6384" xr:uid="{00000000-0005-0000-0000-000000190000}"/>
    <cellStyle name="Currency 3 12 2" xfId="6385" xr:uid="{00000000-0005-0000-0000-000001190000}"/>
    <cellStyle name="Currency 3 12 2 2" xfId="6386" xr:uid="{00000000-0005-0000-0000-000002190000}"/>
    <cellStyle name="Currency 3 12 2 2 2" xfId="6387" xr:uid="{00000000-0005-0000-0000-000003190000}"/>
    <cellStyle name="Currency 3 12 2 2 2 2" xfId="6388" xr:uid="{00000000-0005-0000-0000-000004190000}"/>
    <cellStyle name="Currency 3 12 2 2 2 3" xfId="6389" xr:uid="{00000000-0005-0000-0000-000005190000}"/>
    <cellStyle name="Currency 3 12 2 2 3" xfId="6390" xr:uid="{00000000-0005-0000-0000-000006190000}"/>
    <cellStyle name="Currency 3 12 2 2 4" xfId="6391" xr:uid="{00000000-0005-0000-0000-000007190000}"/>
    <cellStyle name="Currency 3 12 2 3" xfId="6392" xr:uid="{00000000-0005-0000-0000-000008190000}"/>
    <cellStyle name="Currency 3 12 2 3 2" xfId="6393" xr:uid="{00000000-0005-0000-0000-000009190000}"/>
    <cellStyle name="Currency 3 12 2 3 3" xfId="6394" xr:uid="{00000000-0005-0000-0000-00000A190000}"/>
    <cellStyle name="Currency 3 12 2 4" xfId="6395" xr:uid="{00000000-0005-0000-0000-00000B190000}"/>
    <cellStyle name="Currency 3 12 2 5" xfId="6396" xr:uid="{00000000-0005-0000-0000-00000C190000}"/>
    <cellStyle name="Currency 3 12 3" xfId="6397" xr:uid="{00000000-0005-0000-0000-00000D190000}"/>
    <cellStyle name="Currency 3 12 3 2" xfId="6398" xr:uid="{00000000-0005-0000-0000-00000E190000}"/>
    <cellStyle name="Currency 3 12 3 2 2" xfId="6399" xr:uid="{00000000-0005-0000-0000-00000F190000}"/>
    <cellStyle name="Currency 3 12 3 2 3" xfId="6400" xr:uid="{00000000-0005-0000-0000-000010190000}"/>
    <cellStyle name="Currency 3 12 3 3" xfId="6401" xr:uid="{00000000-0005-0000-0000-000011190000}"/>
    <cellStyle name="Currency 3 12 3 4" xfId="6402" xr:uid="{00000000-0005-0000-0000-000012190000}"/>
    <cellStyle name="Currency 3 12 4" xfId="6403" xr:uid="{00000000-0005-0000-0000-000013190000}"/>
    <cellStyle name="Currency 3 12 4 2" xfId="6404" xr:uid="{00000000-0005-0000-0000-000014190000}"/>
    <cellStyle name="Currency 3 12 4 3" xfId="6405" xr:uid="{00000000-0005-0000-0000-000015190000}"/>
    <cellStyle name="Currency 3 12 5" xfId="6406" xr:uid="{00000000-0005-0000-0000-000016190000}"/>
    <cellStyle name="Currency 3 12 6" xfId="6407" xr:uid="{00000000-0005-0000-0000-000017190000}"/>
    <cellStyle name="Currency 3 13" xfId="6408" xr:uid="{00000000-0005-0000-0000-000018190000}"/>
    <cellStyle name="Currency 3 13 2" xfId="6409" xr:uid="{00000000-0005-0000-0000-000019190000}"/>
    <cellStyle name="Currency 3 13 2 2" xfId="6410" xr:uid="{00000000-0005-0000-0000-00001A190000}"/>
    <cellStyle name="Currency 3 13 2 2 2" xfId="6411" xr:uid="{00000000-0005-0000-0000-00001B190000}"/>
    <cellStyle name="Currency 3 13 2 2 2 2" xfId="6412" xr:uid="{00000000-0005-0000-0000-00001C190000}"/>
    <cellStyle name="Currency 3 13 2 2 2 3" xfId="6413" xr:uid="{00000000-0005-0000-0000-00001D190000}"/>
    <cellStyle name="Currency 3 13 2 2 3" xfId="6414" xr:uid="{00000000-0005-0000-0000-00001E190000}"/>
    <cellStyle name="Currency 3 13 2 2 4" xfId="6415" xr:uid="{00000000-0005-0000-0000-00001F190000}"/>
    <cellStyle name="Currency 3 13 2 3" xfId="6416" xr:uid="{00000000-0005-0000-0000-000020190000}"/>
    <cellStyle name="Currency 3 13 2 3 2" xfId="6417" xr:uid="{00000000-0005-0000-0000-000021190000}"/>
    <cellStyle name="Currency 3 13 2 3 3" xfId="6418" xr:uid="{00000000-0005-0000-0000-000022190000}"/>
    <cellStyle name="Currency 3 13 2 4" xfId="6419" xr:uid="{00000000-0005-0000-0000-000023190000}"/>
    <cellStyle name="Currency 3 13 2 5" xfId="6420" xr:uid="{00000000-0005-0000-0000-000024190000}"/>
    <cellStyle name="Currency 3 13 3" xfId="6421" xr:uid="{00000000-0005-0000-0000-000025190000}"/>
    <cellStyle name="Currency 3 13 3 2" xfId="6422" xr:uid="{00000000-0005-0000-0000-000026190000}"/>
    <cellStyle name="Currency 3 13 3 2 2" xfId="6423" xr:uid="{00000000-0005-0000-0000-000027190000}"/>
    <cellStyle name="Currency 3 13 3 2 3" xfId="6424" xr:uid="{00000000-0005-0000-0000-000028190000}"/>
    <cellStyle name="Currency 3 13 3 3" xfId="6425" xr:uid="{00000000-0005-0000-0000-000029190000}"/>
    <cellStyle name="Currency 3 13 3 4" xfId="6426" xr:uid="{00000000-0005-0000-0000-00002A190000}"/>
    <cellStyle name="Currency 3 13 4" xfId="6427" xr:uid="{00000000-0005-0000-0000-00002B190000}"/>
    <cellStyle name="Currency 3 13 4 2" xfId="6428" xr:uid="{00000000-0005-0000-0000-00002C190000}"/>
    <cellStyle name="Currency 3 13 4 3" xfId="6429" xr:uid="{00000000-0005-0000-0000-00002D190000}"/>
    <cellStyle name="Currency 3 13 5" xfId="6430" xr:uid="{00000000-0005-0000-0000-00002E190000}"/>
    <cellStyle name="Currency 3 13 6" xfId="6431" xr:uid="{00000000-0005-0000-0000-00002F190000}"/>
    <cellStyle name="Currency 3 14" xfId="6432" xr:uid="{00000000-0005-0000-0000-000030190000}"/>
    <cellStyle name="Currency 3 14 2" xfId="6433" xr:uid="{00000000-0005-0000-0000-000031190000}"/>
    <cellStyle name="Currency 3 14 2 2" xfId="6434" xr:uid="{00000000-0005-0000-0000-000032190000}"/>
    <cellStyle name="Currency 3 14 2 2 2" xfId="6435" xr:uid="{00000000-0005-0000-0000-000033190000}"/>
    <cellStyle name="Currency 3 14 2 2 2 2" xfId="6436" xr:uid="{00000000-0005-0000-0000-000034190000}"/>
    <cellStyle name="Currency 3 14 2 2 2 3" xfId="6437" xr:uid="{00000000-0005-0000-0000-000035190000}"/>
    <cellStyle name="Currency 3 14 2 2 3" xfId="6438" xr:uid="{00000000-0005-0000-0000-000036190000}"/>
    <cellStyle name="Currency 3 14 2 2 4" xfId="6439" xr:uid="{00000000-0005-0000-0000-000037190000}"/>
    <cellStyle name="Currency 3 14 2 3" xfId="6440" xr:uid="{00000000-0005-0000-0000-000038190000}"/>
    <cellStyle name="Currency 3 14 2 3 2" xfId="6441" xr:uid="{00000000-0005-0000-0000-000039190000}"/>
    <cellStyle name="Currency 3 14 2 3 3" xfId="6442" xr:uid="{00000000-0005-0000-0000-00003A190000}"/>
    <cellStyle name="Currency 3 14 2 4" xfId="6443" xr:uid="{00000000-0005-0000-0000-00003B190000}"/>
    <cellStyle name="Currency 3 14 2 5" xfId="6444" xr:uid="{00000000-0005-0000-0000-00003C190000}"/>
    <cellStyle name="Currency 3 14 3" xfId="6445" xr:uid="{00000000-0005-0000-0000-00003D190000}"/>
    <cellStyle name="Currency 3 14 3 2" xfId="6446" xr:uid="{00000000-0005-0000-0000-00003E190000}"/>
    <cellStyle name="Currency 3 14 3 2 2" xfId="6447" xr:uid="{00000000-0005-0000-0000-00003F190000}"/>
    <cellStyle name="Currency 3 14 3 2 3" xfId="6448" xr:uid="{00000000-0005-0000-0000-000040190000}"/>
    <cellStyle name="Currency 3 14 3 3" xfId="6449" xr:uid="{00000000-0005-0000-0000-000041190000}"/>
    <cellStyle name="Currency 3 14 3 4" xfId="6450" xr:uid="{00000000-0005-0000-0000-000042190000}"/>
    <cellStyle name="Currency 3 14 4" xfId="6451" xr:uid="{00000000-0005-0000-0000-000043190000}"/>
    <cellStyle name="Currency 3 14 4 2" xfId="6452" xr:uid="{00000000-0005-0000-0000-000044190000}"/>
    <cellStyle name="Currency 3 14 4 3" xfId="6453" xr:uid="{00000000-0005-0000-0000-000045190000}"/>
    <cellStyle name="Currency 3 14 5" xfId="6454" xr:uid="{00000000-0005-0000-0000-000046190000}"/>
    <cellStyle name="Currency 3 14 6" xfId="6455" xr:uid="{00000000-0005-0000-0000-000047190000}"/>
    <cellStyle name="Currency 3 15" xfId="6456" xr:uid="{00000000-0005-0000-0000-000048190000}"/>
    <cellStyle name="Currency 3 15 2" xfId="6457" xr:uid="{00000000-0005-0000-0000-000049190000}"/>
    <cellStyle name="Currency 3 15 2 2" xfId="6458" xr:uid="{00000000-0005-0000-0000-00004A190000}"/>
    <cellStyle name="Currency 3 15 2 2 2" xfId="6459" xr:uid="{00000000-0005-0000-0000-00004B190000}"/>
    <cellStyle name="Currency 3 15 2 2 2 2" xfId="6460" xr:uid="{00000000-0005-0000-0000-00004C190000}"/>
    <cellStyle name="Currency 3 15 2 2 2 3" xfId="6461" xr:uid="{00000000-0005-0000-0000-00004D190000}"/>
    <cellStyle name="Currency 3 15 2 2 3" xfId="6462" xr:uid="{00000000-0005-0000-0000-00004E190000}"/>
    <cellStyle name="Currency 3 15 2 2 4" xfId="6463" xr:uid="{00000000-0005-0000-0000-00004F190000}"/>
    <cellStyle name="Currency 3 15 2 3" xfId="6464" xr:uid="{00000000-0005-0000-0000-000050190000}"/>
    <cellStyle name="Currency 3 15 2 3 2" xfId="6465" xr:uid="{00000000-0005-0000-0000-000051190000}"/>
    <cellStyle name="Currency 3 15 2 3 3" xfId="6466" xr:uid="{00000000-0005-0000-0000-000052190000}"/>
    <cellStyle name="Currency 3 15 2 4" xfId="6467" xr:uid="{00000000-0005-0000-0000-000053190000}"/>
    <cellStyle name="Currency 3 15 2 5" xfId="6468" xr:uid="{00000000-0005-0000-0000-000054190000}"/>
    <cellStyle name="Currency 3 15 3" xfId="6469" xr:uid="{00000000-0005-0000-0000-000055190000}"/>
    <cellStyle name="Currency 3 15 3 2" xfId="6470" xr:uid="{00000000-0005-0000-0000-000056190000}"/>
    <cellStyle name="Currency 3 15 3 2 2" xfId="6471" xr:uid="{00000000-0005-0000-0000-000057190000}"/>
    <cellStyle name="Currency 3 15 3 2 3" xfId="6472" xr:uid="{00000000-0005-0000-0000-000058190000}"/>
    <cellStyle name="Currency 3 15 3 3" xfId="6473" xr:uid="{00000000-0005-0000-0000-000059190000}"/>
    <cellStyle name="Currency 3 15 3 4" xfId="6474" xr:uid="{00000000-0005-0000-0000-00005A190000}"/>
    <cellStyle name="Currency 3 15 4" xfId="6475" xr:uid="{00000000-0005-0000-0000-00005B190000}"/>
    <cellStyle name="Currency 3 15 4 2" xfId="6476" xr:uid="{00000000-0005-0000-0000-00005C190000}"/>
    <cellStyle name="Currency 3 15 4 3" xfId="6477" xr:uid="{00000000-0005-0000-0000-00005D190000}"/>
    <cellStyle name="Currency 3 15 5" xfId="6478" xr:uid="{00000000-0005-0000-0000-00005E190000}"/>
    <cellStyle name="Currency 3 15 6" xfId="6479" xr:uid="{00000000-0005-0000-0000-00005F190000}"/>
    <cellStyle name="Currency 3 16" xfId="6480" xr:uid="{00000000-0005-0000-0000-000060190000}"/>
    <cellStyle name="Currency 3 16 2" xfId="6481" xr:uid="{00000000-0005-0000-0000-000061190000}"/>
    <cellStyle name="Currency 3 16 2 2" xfId="6482" xr:uid="{00000000-0005-0000-0000-000062190000}"/>
    <cellStyle name="Currency 3 16 2 2 2" xfId="6483" xr:uid="{00000000-0005-0000-0000-000063190000}"/>
    <cellStyle name="Currency 3 16 2 2 2 2" xfId="6484" xr:uid="{00000000-0005-0000-0000-000064190000}"/>
    <cellStyle name="Currency 3 16 2 2 2 3" xfId="6485" xr:uid="{00000000-0005-0000-0000-000065190000}"/>
    <cellStyle name="Currency 3 16 2 2 3" xfId="6486" xr:uid="{00000000-0005-0000-0000-000066190000}"/>
    <cellStyle name="Currency 3 16 2 2 4" xfId="6487" xr:uid="{00000000-0005-0000-0000-000067190000}"/>
    <cellStyle name="Currency 3 16 2 3" xfId="6488" xr:uid="{00000000-0005-0000-0000-000068190000}"/>
    <cellStyle name="Currency 3 16 2 3 2" xfId="6489" xr:uid="{00000000-0005-0000-0000-000069190000}"/>
    <cellStyle name="Currency 3 16 2 3 3" xfId="6490" xr:uid="{00000000-0005-0000-0000-00006A190000}"/>
    <cellStyle name="Currency 3 16 2 4" xfId="6491" xr:uid="{00000000-0005-0000-0000-00006B190000}"/>
    <cellStyle name="Currency 3 16 2 5" xfId="6492" xr:uid="{00000000-0005-0000-0000-00006C190000}"/>
    <cellStyle name="Currency 3 16 3" xfId="6493" xr:uid="{00000000-0005-0000-0000-00006D190000}"/>
    <cellStyle name="Currency 3 16 3 2" xfId="6494" xr:uid="{00000000-0005-0000-0000-00006E190000}"/>
    <cellStyle name="Currency 3 16 3 2 2" xfId="6495" xr:uid="{00000000-0005-0000-0000-00006F190000}"/>
    <cellStyle name="Currency 3 16 3 2 3" xfId="6496" xr:uid="{00000000-0005-0000-0000-000070190000}"/>
    <cellStyle name="Currency 3 16 3 3" xfId="6497" xr:uid="{00000000-0005-0000-0000-000071190000}"/>
    <cellStyle name="Currency 3 16 3 4" xfId="6498" xr:uid="{00000000-0005-0000-0000-000072190000}"/>
    <cellStyle name="Currency 3 16 4" xfId="6499" xr:uid="{00000000-0005-0000-0000-000073190000}"/>
    <cellStyle name="Currency 3 16 4 2" xfId="6500" xr:uid="{00000000-0005-0000-0000-000074190000}"/>
    <cellStyle name="Currency 3 16 4 3" xfId="6501" xr:uid="{00000000-0005-0000-0000-000075190000}"/>
    <cellStyle name="Currency 3 16 5" xfId="6502" xr:uid="{00000000-0005-0000-0000-000076190000}"/>
    <cellStyle name="Currency 3 16 6" xfId="6503" xr:uid="{00000000-0005-0000-0000-000077190000}"/>
    <cellStyle name="Currency 3 17" xfId="6504" xr:uid="{00000000-0005-0000-0000-000078190000}"/>
    <cellStyle name="Currency 3 17 2" xfId="6505" xr:uid="{00000000-0005-0000-0000-000079190000}"/>
    <cellStyle name="Currency 3 17 2 2" xfId="6506" xr:uid="{00000000-0005-0000-0000-00007A190000}"/>
    <cellStyle name="Currency 3 17 2 2 2" xfId="6507" xr:uid="{00000000-0005-0000-0000-00007B190000}"/>
    <cellStyle name="Currency 3 17 2 2 2 2" xfId="6508" xr:uid="{00000000-0005-0000-0000-00007C190000}"/>
    <cellStyle name="Currency 3 17 2 2 2 3" xfId="6509" xr:uid="{00000000-0005-0000-0000-00007D190000}"/>
    <cellStyle name="Currency 3 17 2 2 3" xfId="6510" xr:uid="{00000000-0005-0000-0000-00007E190000}"/>
    <cellStyle name="Currency 3 17 2 2 4" xfId="6511" xr:uid="{00000000-0005-0000-0000-00007F190000}"/>
    <cellStyle name="Currency 3 17 2 3" xfId="6512" xr:uid="{00000000-0005-0000-0000-000080190000}"/>
    <cellStyle name="Currency 3 17 2 3 2" xfId="6513" xr:uid="{00000000-0005-0000-0000-000081190000}"/>
    <cellStyle name="Currency 3 17 2 3 3" xfId="6514" xr:uid="{00000000-0005-0000-0000-000082190000}"/>
    <cellStyle name="Currency 3 17 2 4" xfId="6515" xr:uid="{00000000-0005-0000-0000-000083190000}"/>
    <cellStyle name="Currency 3 17 2 5" xfId="6516" xr:uid="{00000000-0005-0000-0000-000084190000}"/>
    <cellStyle name="Currency 3 17 3" xfId="6517" xr:uid="{00000000-0005-0000-0000-000085190000}"/>
    <cellStyle name="Currency 3 17 3 2" xfId="6518" xr:uid="{00000000-0005-0000-0000-000086190000}"/>
    <cellStyle name="Currency 3 17 3 2 2" xfId="6519" xr:uid="{00000000-0005-0000-0000-000087190000}"/>
    <cellStyle name="Currency 3 17 3 2 3" xfId="6520" xr:uid="{00000000-0005-0000-0000-000088190000}"/>
    <cellStyle name="Currency 3 17 3 3" xfId="6521" xr:uid="{00000000-0005-0000-0000-000089190000}"/>
    <cellStyle name="Currency 3 17 3 4" xfId="6522" xr:uid="{00000000-0005-0000-0000-00008A190000}"/>
    <cellStyle name="Currency 3 17 4" xfId="6523" xr:uid="{00000000-0005-0000-0000-00008B190000}"/>
    <cellStyle name="Currency 3 17 4 2" xfId="6524" xr:uid="{00000000-0005-0000-0000-00008C190000}"/>
    <cellStyle name="Currency 3 17 4 3" xfId="6525" xr:uid="{00000000-0005-0000-0000-00008D190000}"/>
    <cellStyle name="Currency 3 17 5" xfId="6526" xr:uid="{00000000-0005-0000-0000-00008E190000}"/>
    <cellStyle name="Currency 3 17 6" xfId="6527" xr:uid="{00000000-0005-0000-0000-00008F190000}"/>
    <cellStyle name="Currency 3 18" xfId="6528" xr:uid="{00000000-0005-0000-0000-000090190000}"/>
    <cellStyle name="Currency 3 18 2" xfId="6529" xr:uid="{00000000-0005-0000-0000-000091190000}"/>
    <cellStyle name="Currency 3 18 2 2" xfId="6530" xr:uid="{00000000-0005-0000-0000-000092190000}"/>
    <cellStyle name="Currency 3 18 2 2 2" xfId="6531" xr:uid="{00000000-0005-0000-0000-000093190000}"/>
    <cellStyle name="Currency 3 18 2 2 2 2" xfId="6532" xr:uid="{00000000-0005-0000-0000-000094190000}"/>
    <cellStyle name="Currency 3 18 2 2 2 3" xfId="6533" xr:uid="{00000000-0005-0000-0000-000095190000}"/>
    <cellStyle name="Currency 3 18 2 2 3" xfId="6534" xr:uid="{00000000-0005-0000-0000-000096190000}"/>
    <cellStyle name="Currency 3 18 2 2 4" xfId="6535" xr:uid="{00000000-0005-0000-0000-000097190000}"/>
    <cellStyle name="Currency 3 18 2 3" xfId="6536" xr:uid="{00000000-0005-0000-0000-000098190000}"/>
    <cellStyle name="Currency 3 18 2 3 2" xfId="6537" xr:uid="{00000000-0005-0000-0000-000099190000}"/>
    <cellStyle name="Currency 3 18 2 3 3" xfId="6538" xr:uid="{00000000-0005-0000-0000-00009A190000}"/>
    <cellStyle name="Currency 3 18 2 4" xfId="6539" xr:uid="{00000000-0005-0000-0000-00009B190000}"/>
    <cellStyle name="Currency 3 18 2 5" xfId="6540" xr:uid="{00000000-0005-0000-0000-00009C190000}"/>
    <cellStyle name="Currency 3 18 3" xfId="6541" xr:uid="{00000000-0005-0000-0000-00009D190000}"/>
    <cellStyle name="Currency 3 18 3 2" xfId="6542" xr:uid="{00000000-0005-0000-0000-00009E190000}"/>
    <cellStyle name="Currency 3 18 3 2 2" xfId="6543" xr:uid="{00000000-0005-0000-0000-00009F190000}"/>
    <cellStyle name="Currency 3 18 3 2 3" xfId="6544" xr:uid="{00000000-0005-0000-0000-0000A0190000}"/>
    <cellStyle name="Currency 3 18 3 3" xfId="6545" xr:uid="{00000000-0005-0000-0000-0000A1190000}"/>
    <cellStyle name="Currency 3 18 3 4" xfId="6546" xr:uid="{00000000-0005-0000-0000-0000A2190000}"/>
    <cellStyle name="Currency 3 18 4" xfId="6547" xr:uid="{00000000-0005-0000-0000-0000A3190000}"/>
    <cellStyle name="Currency 3 18 4 2" xfId="6548" xr:uid="{00000000-0005-0000-0000-0000A4190000}"/>
    <cellStyle name="Currency 3 18 4 3" xfId="6549" xr:uid="{00000000-0005-0000-0000-0000A5190000}"/>
    <cellStyle name="Currency 3 18 5" xfId="6550" xr:uid="{00000000-0005-0000-0000-0000A6190000}"/>
    <cellStyle name="Currency 3 18 6" xfId="6551" xr:uid="{00000000-0005-0000-0000-0000A7190000}"/>
    <cellStyle name="Currency 3 19" xfId="6552" xr:uid="{00000000-0005-0000-0000-0000A8190000}"/>
    <cellStyle name="Currency 3 19 2" xfId="6553" xr:uid="{00000000-0005-0000-0000-0000A9190000}"/>
    <cellStyle name="Currency 3 19 2 2" xfId="6554" xr:uid="{00000000-0005-0000-0000-0000AA190000}"/>
    <cellStyle name="Currency 3 19 2 2 2" xfId="6555" xr:uid="{00000000-0005-0000-0000-0000AB190000}"/>
    <cellStyle name="Currency 3 19 2 2 2 2" xfId="6556" xr:uid="{00000000-0005-0000-0000-0000AC190000}"/>
    <cellStyle name="Currency 3 19 2 2 2 3" xfId="6557" xr:uid="{00000000-0005-0000-0000-0000AD190000}"/>
    <cellStyle name="Currency 3 19 2 2 3" xfId="6558" xr:uid="{00000000-0005-0000-0000-0000AE190000}"/>
    <cellStyle name="Currency 3 19 2 2 4" xfId="6559" xr:uid="{00000000-0005-0000-0000-0000AF190000}"/>
    <cellStyle name="Currency 3 19 2 3" xfId="6560" xr:uid="{00000000-0005-0000-0000-0000B0190000}"/>
    <cellStyle name="Currency 3 19 2 3 2" xfId="6561" xr:uid="{00000000-0005-0000-0000-0000B1190000}"/>
    <cellStyle name="Currency 3 19 2 3 3" xfId="6562" xr:uid="{00000000-0005-0000-0000-0000B2190000}"/>
    <cellStyle name="Currency 3 19 2 4" xfId="6563" xr:uid="{00000000-0005-0000-0000-0000B3190000}"/>
    <cellStyle name="Currency 3 19 2 5" xfId="6564" xr:uid="{00000000-0005-0000-0000-0000B4190000}"/>
    <cellStyle name="Currency 3 19 3" xfId="6565" xr:uid="{00000000-0005-0000-0000-0000B5190000}"/>
    <cellStyle name="Currency 3 19 3 2" xfId="6566" xr:uid="{00000000-0005-0000-0000-0000B6190000}"/>
    <cellStyle name="Currency 3 19 3 2 2" xfId="6567" xr:uid="{00000000-0005-0000-0000-0000B7190000}"/>
    <cellStyle name="Currency 3 19 3 2 3" xfId="6568" xr:uid="{00000000-0005-0000-0000-0000B8190000}"/>
    <cellStyle name="Currency 3 19 3 3" xfId="6569" xr:uid="{00000000-0005-0000-0000-0000B9190000}"/>
    <cellStyle name="Currency 3 19 3 4" xfId="6570" xr:uid="{00000000-0005-0000-0000-0000BA190000}"/>
    <cellStyle name="Currency 3 19 4" xfId="6571" xr:uid="{00000000-0005-0000-0000-0000BB190000}"/>
    <cellStyle name="Currency 3 19 4 2" xfId="6572" xr:uid="{00000000-0005-0000-0000-0000BC190000}"/>
    <cellStyle name="Currency 3 19 4 3" xfId="6573" xr:uid="{00000000-0005-0000-0000-0000BD190000}"/>
    <cellStyle name="Currency 3 19 5" xfId="6574" xr:uid="{00000000-0005-0000-0000-0000BE190000}"/>
    <cellStyle name="Currency 3 19 6" xfId="6575" xr:uid="{00000000-0005-0000-0000-0000BF190000}"/>
    <cellStyle name="Currency 3 2" xfId="23" xr:uid="{00000000-0005-0000-0000-0000C0190000}"/>
    <cellStyle name="Currency 3 2 2" xfId="6576" xr:uid="{00000000-0005-0000-0000-0000C1190000}"/>
    <cellStyle name="Currency 3 2 2 2" xfId="6577" xr:uid="{00000000-0005-0000-0000-0000C2190000}"/>
    <cellStyle name="Currency 3 2 2 2 2" xfId="6578" xr:uid="{00000000-0005-0000-0000-0000C3190000}"/>
    <cellStyle name="Currency 3 2 2 2 2 2" xfId="6579" xr:uid="{00000000-0005-0000-0000-0000C4190000}"/>
    <cellStyle name="Currency 3 2 2 2 2 2 2" xfId="6580" xr:uid="{00000000-0005-0000-0000-0000C5190000}"/>
    <cellStyle name="Currency 3 2 2 2 2 2 3" xfId="6581" xr:uid="{00000000-0005-0000-0000-0000C6190000}"/>
    <cellStyle name="Currency 3 2 2 2 2 3" xfId="6582" xr:uid="{00000000-0005-0000-0000-0000C7190000}"/>
    <cellStyle name="Currency 3 2 2 2 2 4" xfId="6583" xr:uid="{00000000-0005-0000-0000-0000C8190000}"/>
    <cellStyle name="Currency 3 2 2 2 3" xfId="6584" xr:uid="{00000000-0005-0000-0000-0000C9190000}"/>
    <cellStyle name="Currency 3 2 2 2 3 2" xfId="6585" xr:uid="{00000000-0005-0000-0000-0000CA190000}"/>
    <cellStyle name="Currency 3 2 2 2 3 3" xfId="6586" xr:uid="{00000000-0005-0000-0000-0000CB190000}"/>
    <cellStyle name="Currency 3 2 2 2 4" xfId="6587" xr:uid="{00000000-0005-0000-0000-0000CC190000}"/>
    <cellStyle name="Currency 3 2 2 2 5" xfId="6588" xr:uid="{00000000-0005-0000-0000-0000CD190000}"/>
    <cellStyle name="Currency 3 2 2 3" xfId="6589" xr:uid="{00000000-0005-0000-0000-0000CE190000}"/>
    <cellStyle name="Currency 3 2 2 3 2" xfId="6590" xr:uid="{00000000-0005-0000-0000-0000CF190000}"/>
    <cellStyle name="Currency 3 2 2 3 2 2" xfId="6591" xr:uid="{00000000-0005-0000-0000-0000D0190000}"/>
    <cellStyle name="Currency 3 2 2 3 2 3" xfId="6592" xr:uid="{00000000-0005-0000-0000-0000D1190000}"/>
    <cellStyle name="Currency 3 2 2 3 3" xfId="6593" xr:uid="{00000000-0005-0000-0000-0000D2190000}"/>
    <cellStyle name="Currency 3 2 2 3 4" xfId="6594" xr:uid="{00000000-0005-0000-0000-0000D3190000}"/>
    <cellStyle name="Currency 3 2 2 4" xfId="6595" xr:uid="{00000000-0005-0000-0000-0000D4190000}"/>
    <cellStyle name="Currency 3 2 2 4 2" xfId="6596" xr:uid="{00000000-0005-0000-0000-0000D5190000}"/>
    <cellStyle name="Currency 3 2 2 4 3" xfId="6597" xr:uid="{00000000-0005-0000-0000-0000D6190000}"/>
    <cellStyle name="Currency 3 2 2 5" xfId="6598" xr:uid="{00000000-0005-0000-0000-0000D7190000}"/>
    <cellStyle name="Currency 3 2 2 6" xfId="6599" xr:uid="{00000000-0005-0000-0000-0000D8190000}"/>
    <cellStyle name="Currency 3 2 3" xfId="6600" xr:uid="{00000000-0005-0000-0000-0000D9190000}"/>
    <cellStyle name="Currency 3 2 3 2" xfId="6601" xr:uid="{00000000-0005-0000-0000-0000DA190000}"/>
    <cellStyle name="Currency 3 2 3 2 2" xfId="6602" xr:uid="{00000000-0005-0000-0000-0000DB190000}"/>
    <cellStyle name="Currency 3 2 3 2 2 2" xfId="6603" xr:uid="{00000000-0005-0000-0000-0000DC190000}"/>
    <cellStyle name="Currency 3 2 3 2 2 2 2" xfId="6604" xr:uid="{00000000-0005-0000-0000-0000DD190000}"/>
    <cellStyle name="Currency 3 2 3 2 2 2 3" xfId="6605" xr:uid="{00000000-0005-0000-0000-0000DE190000}"/>
    <cellStyle name="Currency 3 2 3 2 2 3" xfId="6606" xr:uid="{00000000-0005-0000-0000-0000DF190000}"/>
    <cellStyle name="Currency 3 2 3 2 2 4" xfId="6607" xr:uid="{00000000-0005-0000-0000-0000E0190000}"/>
    <cellStyle name="Currency 3 2 3 2 3" xfId="6608" xr:uid="{00000000-0005-0000-0000-0000E1190000}"/>
    <cellStyle name="Currency 3 2 3 2 3 2" xfId="6609" xr:uid="{00000000-0005-0000-0000-0000E2190000}"/>
    <cellStyle name="Currency 3 2 3 2 3 3" xfId="6610" xr:uid="{00000000-0005-0000-0000-0000E3190000}"/>
    <cellStyle name="Currency 3 2 3 2 4" xfId="6611" xr:uid="{00000000-0005-0000-0000-0000E4190000}"/>
    <cellStyle name="Currency 3 2 3 2 5" xfId="6612" xr:uid="{00000000-0005-0000-0000-0000E5190000}"/>
    <cellStyle name="Currency 3 2 3 3" xfId="6613" xr:uid="{00000000-0005-0000-0000-0000E6190000}"/>
    <cellStyle name="Currency 3 2 3 3 2" xfId="6614" xr:uid="{00000000-0005-0000-0000-0000E7190000}"/>
    <cellStyle name="Currency 3 2 3 3 2 2" xfId="6615" xr:uid="{00000000-0005-0000-0000-0000E8190000}"/>
    <cellStyle name="Currency 3 2 3 3 2 3" xfId="6616" xr:uid="{00000000-0005-0000-0000-0000E9190000}"/>
    <cellStyle name="Currency 3 2 3 3 3" xfId="6617" xr:uid="{00000000-0005-0000-0000-0000EA190000}"/>
    <cellStyle name="Currency 3 2 3 3 4" xfId="6618" xr:uid="{00000000-0005-0000-0000-0000EB190000}"/>
    <cellStyle name="Currency 3 2 3 4" xfId="6619" xr:uid="{00000000-0005-0000-0000-0000EC190000}"/>
    <cellStyle name="Currency 3 2 3 4 2" xfId="6620" xr:uid="{00000000-0005-0000-0000-0000ED190000}"/>
    <cellStyle name="Currency 3 2 3 4 3" xfId="6621" xr:uid="{00000000-0005-0000-0000-0000EE190000}"/>
    <cellStyle name="Currency 3 2 3 5" xfId="6622" xr:uid="{00000000-0005-0000-0000-0000EF190000}"/>
    <cellStyle name="Currency 3 2 3 6" xfId="6623" xr:uid="{00000000-0005-0000-0000-0000F0190000}"/>
    <cellStyle name="Currency 3 2 4" xfId="6624" xr:uid="{00000000-0005-0000-0000-0000F1190000}"/>
    <cellStyle name="Currency 3 2 4 2" xfId="6625" xr:uid="{00000000-0005-0000-0000-0000F2190000}"/>
    <cellStyle name="Currency 3 2 4 2 2" xfId="6626" xr:uid="{00000000-0005-0000-0000-0000F3190000}"/>
    <cellStyle name="Currency 3 2 4 2 2 2" xfId="6627" xr:uid="{00000000-0005-0000-0000-0000F4190000}"/>
    <cellStyle name="Currency 3 2 4 2 2 2 2" xfId="6628" xr:uid="{00000000-0005-0000-0000-0000F5190000}"/>
    <cellStyle name="Currency 3 2 4 2 2 2 3" xfId="6629" xr:uid="{00000000-0005-0000-0000-0000F6190000}"/>
    <cellStyle name="Currency 3 2 4 2 2 3" xfId="6630" xr:uid="{00000000-0005-0000-0000-0000F7190000}"/>
    <cellStyle name="Currency 3 2 4 2 2 4" xfId="6631" xr:uid="{00000000-0005-0000-0000-0000F8190000}"/>
    <cellStyle name="Currency 3 2 4 2 3" xfId="6632" xr:uid="{00000000-0005-0000-0000-0000F9190000}"/>
    <cellStyle name="Currency 3 2 4 2 3 2" xfId="6633" xr:uid="{00000000-0005-0000-0000-0000FA190000}"/>
    <cellStyle name="Currency 3 2 4 2 3 3" xfId="6634" xr:uid="{00000000-0005-0000-0000-0000FB190000}"/>
    <cellStyle name="Currency 3 2 4 2 4" xfId="6635" xr:uid="{00000000-0005-0000-0000-0000FC190000}"/>
    <cellStyle name="Currency 3 2 4 2 5" xfId="6636" xr:uid="{00000000-0005-0000-0000-0000FD190000}"/>
    <cellStyle name="Currency 3 2 4 3" xfId="6637" xr:uid="{00000000-0005-0000-0000-0000FE190000}"/>
    <cellStyle name="Currency 3 2 4 3 2" xfId="6638" xr:uid="{00000000-0005-0000-0000-0000FF190000}"/>
    <cellStyle name="Currency 3 2 4 3 2 2" xfId="6639" xr:uid="{00000000-0005-0000-0000-0000001A0000}"/>
    <cellStyle name="Currency 3 2 4 3 2 3" xfId="6640" xr:uid="{00000000-0005-0000-0000-0000011A0000}"/>
    <cellStyle name="Currency 3 2 4 3 3" xfId="6641" xr:uid="{00000000-0005-0000-0000-0000021A0000}"/>
    <cellStyle name="Currency 3 2 4 3 4" xfId="6642" xr:uid="{00000000-0005-0000-0000-0000031A0000}"/>
    <cellStyle name="Currency 3 2 4 4" xfId="6643" xr:uid="{00000000-0005-0000-0000-0000041A0000}"/>
    <cellStyle name="Currency 3 2 4 4 2" xfId="6644" xr:uid="{00000000-0005-0000-0000-0000051A0000}"/>
    <cellStyle name="Currency 3 2 4 4 3" xfId="6645" xr:uid="{00000000-0005-0000-0000-0000061A0000}"/>
    <cellStyle name="Currency 3 2 4 5" xfId="6646" xr:uid="{00000000-0005-0000-0000-0000071A0000}"/>
    <cellStyle name="Currency 3 2 4 6" xfId="6647" xr:uid="{00000000-0005-0000-0000-0000081A0000}"/>
    <cellStyle name="Currency 3 2 5" xfId="6648" xr:uid="{00000000-0005-0000-0000-0000091A0000}"/>
    <cellStyle name="Currency 3 2 5 2" xfId="6649" xr:uid="{00000000-0005-0000-0000-00000A1A0000}"/>
    <cellStyle name="Currency 3 2 5 2 2" xfId="6650" xr:uid="{00000000-0005-0000-0000-00000B1A0000}"/>
    <cellStyle name="Currency 3 2 5 2 2 2" xfId="6651" xr:uid="{00000000-0005-0000-0000-00000C1A0000}"/>
    <cellStyle name="Currency 3 2 5 2 2 2 2" xfId="6652" xr:uid="{00000000-0005-0000-0000-00000D1A0000}"/>
    <cellStyle name="Currency 3 2 5 2 2 2 3" xfId="6653" xr:uid="{00000000-0005-0000-0000-00000E1A0000}"/>
    <cellStyle name="Currency 3 2 5 2 2 3" xfId="6654" xr:uid="{00000000-0005-0000-0000-00000F1A0000}"/>
    <cellStyle name="Currency 3 2 5 2 2 4" xfId="6655" xr:uid="{00000000-0005-0000-0000-0000101A0000}"/>
    <cellStyle name="Currency 3 2 5 2 3" xfId="6656" xr:uid="{00000000-0005-0000-0000-0000111A0000}"/>
    <cellStyle name="Currency 3 2 5 2 3 2" xfId="6657" xr:uid="{00000000-0005-0000-0000-0000121A0000}"/>
    <cellStyle name="Currency 3 2 5 2 3 3" xfId="6658" xr:uid="{00000000-0005-0000-0000-0000131A0000}"/>
    <cellStyle name="Currency 3 2 5 2 4" xfId="6659" xr:uid="{00000000-0005-0000-0000-0000141A0000}"/>
    <cellStyle name="Currency 3 2 5 2 5" xfId="6660" xr:uid="{00000000-0005-0000-0000-0000151A0000}"/>
    <cellStyle name="Currency 3 2 5 3" xfId="6661" xr:uid="{00000000-0005-0000-0000-0000161A0000}"/>
    <cellStyle name="Currency 3 2 5 3 2" xfId="6662" xr:uid="{00000000-0005-0000-0000-0000171A0000}"/>
    <cellStyle name="Currency 3 2 5 3 2 2" xfId="6663" xr:uid="{00000000-0005-0000-0000-0000181A0000}"/>
    <cellStyle name="Currency 3 2 5 3 2 3" xfId="6664" xr:uid="{00000000-0005-0000-0000-0000191A0000}"/>
    <cellStyle name="Currency 3 2 5 3 3" xfId="6665" xr:uid="{00000000-0005-0000-0000-00001A1A0000}"/>
    <cellStyle name="Currency 3 2 5 3 4" xfId="6666" xr:uid="{00000000-0005-0000-0000-00001B1A0000}"/>
    <cellStyle name="Currency 3 2 5 4" xfId="6667" xr:uid="{00000000-0005-0000-0000-00001C1A0000}"/>
    <cellStyle name="Currency 3 2 5 4 2" xfId="6668" xr:uid="{00000000-0005-0000-0000-00001D1A0000}"/>
    <cellStyle name="Currency 3 2 5 4 3" xfId="6669" xr:uid="{00000000-0005-0000-0000-00001E1A0000}"/>
    <cellStyle name="Currency 3 2 5 5" xfId="6670" xr:uid="{00000000-0005-0000-0000-00001F1A0000}"/>
    <cellStyle name="Currency 3 2 5 6" xfId="6671" xr:uid="{00000000-0005-0000-0000-0000201A0000}"/>
    <cellStyle name="Currency 3 2 6" xfId="6672" xr:uid="{00000000-0005-0000-0000-0000211A0000}"/>
    <cellStyle name="Currency 3 2 7" xfId="6673" xr:uid="{00000000-0005-0000-0000-0000221A0000}"/>
    <cellStyle name="Currency 3 2 8" xfId="6674" xr:uid="{00000000-0005-0000-0000-0000231A0000}"/>
    <cellStyle name="Currency 3 2 9" xfId="6675" xr:uid="{00000000-0005-0000-0000-0000241A0000}"/>
    <cellStyle name="Currency 3 20" xfId="6676" xr:uid="{00000000-0005-0000-0000-0000251A0000}"/>
    <cellStyle name="Currency 3 20 2" xfId="6677" xr:uid="{00000000-0005-0000-0000-0000261A0000}"/>
    <cellStyle name="Currency 3 20 2 2" xfId="6678" xr:uid="{00000000-0005-0000-0000-0000271A0000}"/>
    <cellStyle name="Currency 3 20 2 2 2" xfId="6679" xr:uid="{00000000-0005-0000-0000-0000281A0000}"/>
    <cellStyle name="Currency 3 20 2 2 2 2" xfId="6680" xr:uid="{00000000-0005-0000-0000-0000291A0000}"/>
    <cellStyle name="Currency 3 20 2 2 2 3" xfId="6681" xr:uid="{00000000-0005-0000-0000-00002A1A0000}"/>
    <cellStyle name="Currency 3 20 2 2 3" xfId="6682" xr:uid="{00000000-0005-0000-0000-00002B1A0000}"/>
    <cellStyle name="Currency 3 20 2 2 4" xfId="6683" xr:uid="{00000000-0005-0000-0000-00002C1A0000}"/>
    <cellStyle name="Currency 3 20 2 3" xfId="6684" xr:uid="{00000000-0005-0000-0000-00002D1A0000}"/>
    <cellStyle name="Currency 3 20 2 3 2" xfId="6685" xr:uid="{00000000-0005-0000-0000-00002E1A0000}"/>
    <cellStyle name="Currency 3 20 2 3 3" xfId="6686" xr:uid="{00000000-0005-0000-0000-00002F1A0000}"/>
    <cellStyle name="Currency 3 20 2 4" xfId="6687" xr:uid="{00000000-0005-0000-0000-0000301A0000}"/>
    <cellStyle name="Currency 3 20 2 5" xfId="6688" xr:uid="{00000000-0005-0000-0000-0000311A0000}"/>
    <cellStyle name="Currency 3 20 3" xfId="6689" xr:uid="{00000000-0005-0000-0000-0000321A0000}"/>
    <cellStyle name="Currency 3 20 3 2" xfId="6690" xr:uid="{00000000-0005-0000-0000-0000331A0000}"/>
    <cellStyle name="Currency 3 20 3 2 2" xfId="6691" xr:uid="{00000000-0005-0000-0000-0000341A0000}"/>
    <cellStyle name="Currency 3 20 3 2 3" xfId="6692" xr:uid="{00000000-0005-0000-0000-0000351A0000}"/>
    <cellStyle name="Currency 3 20 3 3" xfId="6693" xr:uid="{00000000-0005-0000-0000-0000361A0000}"/>
    <cellStyle name="Currency 3 20 3 4" xfId="6694" xr:uid="{00000000-0005-0000-0000-0000371A0000}"/>
    <cellStyle name="Currency 3 20 4" xfId="6695" xr:uid="{00000000-0005-0000-0000-0000381A0000}"/>
    <cellStyle name="Currency 3 20 4 2" xfId="6696" xr:uid="{00000000-0005-0000-0000-0000391A0000}"/>
    <cellStyle name="Currency 3 20 4 3" xfId="6697" xr:uid="{00000000-0005-0000-0000-00003A1A0000}"/>
    <cellStyle name="Currency 3 20 5" xfId="6698" xr:uid="{00000000-0005-0000-0000-00003B1A0000}"/>
    <cellStyle name="Currency 3 20 6" xfId="6699" xr:uid="{00000000-0005-0000-0000-00003C1A0000}"/>
    <cellStyle name="Currency 3 21" xfId="6700" xr:uid="{00000000-0005-0000-0000-00003D1A0000}"/>
    <cellStyle name="Currency 3 21 2" xfId="6701" xr:uid="{00000000-0005-0000-0000-00003E1A0000}"/>
    <cellStyle name="Currency 3 21 2 2" xfId="6702" xr:uid="{00000000-0005-0000-0000-00003F1A0000}"/>
    <cellStyle name="Currency 3 21 2 2 2" xfId="6703" xr:uid="{00000000-0005-0000-0000-0000401A0000}"/>
    <cellStyle name="Currency 3 21 2 2 2 2" xfId="6704" xr:uid="{00000000-0005-0000-0000-0000411A0000}"/>
    <cellStyle name="Currency 3 21 2 2 2 3" xfId="6705" xr:uid="{00000000-0005-0000-0000-0000421A0000}"/>
    <cellStyle name="Currency 3 21 2 2 3" xfId="6706" xr:uid="{00000000-0005-0000-0000-0000431A0000}"/>
    <cellStyle name="Currency 3 21 2 2 4" xfId="6707" xr:uid="{00000000-0005-0000-0000-0000441A0000}"/>
    <cellStyle name="Currency 3 21 2 3" xfId="6708" xr:uid="{00000000-0005-0000-0000-0000451A0000}"/>
    <cellStyle name="Currency 3 21 2 3 2" xfId="6709" xr:uid="{00000000-0005-0000-0000-0000461A0000}"/>
    <cellStyle name="Currency 3 21 2 3 3" xfId="6710" xr:uid="{00000000-0005-0000-0000-0000471A0000}"/>
    <cellStyle name="Currency 3 21 2 4" xfId="6711" xr:uid="{00000000-0005-0000-0000-0000481A0000}"/>
    <cellStyle name="Currency 3 21 2 5" xfId="6712" xr:uid="{00000000-0005-0000-0000-0000491A0000}"/>
    <cellStyle name="Currency 3 21 3" xfId="6713" xr:uid="{00000000-0005-0000-0000-00004A1A0000}"/>
    <cellStyle name="Currency 3 21 3 2" xfId="6714" xr:uid="{00000000-0005-0000-0000-00004B1A0000}"/>
    <cellStyle name="Currency 3 21 3 2 2" xfId="6715" xr:uid="{00000000-0005-0000-0000-00004C1A0000}"/>
    <cellStyle name="Currency 3 21 3 2 3" xfId="6716" xr:uid="{00000000-0005-0000-0000-00004D1A0000}"/>
    <cellStyle name="Currency 3 21 3 3" xfId="6717" xr:uid="{00000000-0005-0000-0000-00004E1A0000}"/>
    <cellStyle name="Currency 3 21 3 4" xfId="6718" xr:uid="{00000000-0005-0000-0000-00004F1A0000}"/>
    <cellStyle name="Currency 3 21 4" xfId="6719" xr:uid="{00000000-0005-0000-0000-0000501A0000}"/>
    <cellStyle name="Currency 3 21 4 2" xfId="6720" xr:uid="{00000000-0005-0000-0000-0000511A0000}"/>
    <cellStyle name="Currency 3 21 4 3" xfId="6721" xr:uid="{00000000-0005-0000-0000-0000521A0000}"/>
    <cellStyle name="Currency 3 21 5" xfId="6722" xr:uid="{00000000-0005-0000-0000-0000531A0000}"/>
    <cellStyle name="Currency 3 21 6" xfId="6723" xr:uid="{00000000-0005-0000-0000-0000541A0000}"/>
    <cellStyle name="Currency 3 22" xfId="6724" xr:uid="{00000000-0005-0000-0000-0000551A0000}"/>
    <cellStyle name="Currency 3 22 2" xfId="6725" xr:uid="{00000000-0005-0000-0000-0000561A0000}"/>
    <cellStyle name="Currency 3 22 3" xfId="6726" xr:uid="{00000000-0005-0000-0000-0000571A0000}"/>
    <cellStyle name="Currency 3 23" xfId="6727" xr:uid="{00000000-0005-0000-0000-0000581A0000}"/>
    <cellStyle name="Currency 3 24" xfId="6728" xr:uid="{00000000-0005-0000-0000-0000591A0000}"/>
    <cellStyle name="Currency 3 25" xfId="6729" xr:uid="{00000000-0005-0000-0000-00005A1A0000}"/>
    <cellStyle name="Currency 3 26" xfId="6730" xr:uid="{00000000-0005-0000-0000-00005B1A0000}"/>
    <cellStyle name="Currency 3 27" xfId="6731" xr:uid="{00000000-0005-0000-0000-00005C1A0000}"/>
    <cellStyle name="Currency 3 28" xfId="6732" xr:uid="{00000000-0005-0000-0000-00005D1A0000}"/>
    <cellStyle name="Currency 3 29" xfId="6733" xr:uid="{00000000-0005-0000-0000-00005E1A0000}"/>
    <cellStyle name="Currency 3 3" xfId="55" xr:uid="{00000000-0005-0000-0000-00005F1A0000}"/>
    <cellStyle name="Currency 3 3 10" xfId="6734" xr:uid="{00000000-0005-0000-0000-0000601A0000}"/>
    <cellStyle name="Currency 3 3 10 2" xfId="6735" xr:uid="{00000000-0005-0000-0000-0000611A0000}"/>
    <cellStyle name="Currency 3 3 10 3" xfId="6736" xr:uid="{00000000-0005-0000-0000-0000621A0000}"/>
    <cellStyle name="Currency 3 3 11" xfId="6737" xr:uid="{00000000-0005-0000-0000-0000631A0000}"/>
    <cellStyle name="Currency 3 3 12" xfId="6738" xr:uid="{00000000-0005-0000-0000-0000641A0000}"/>
    <cellStyle name="Currency 3 3 13" xfId="6739" xr:uid="{00000000-0005-0000-0000-0000651A0000}"/>
    <cellStyle name="Currency 3 3 2" xfId="6740" xr:uid="{00000000-0005-0000-0000-0000661A0000}"/>
    <cellStyle name="Currency 3 3 2 2" xfId="6741" xr:uid="{00000000-0005-0000-0000-0000671A0000}"/>
    <cellStyle name="Currency 3 3 2 2 2" xfId="6742" xr:uid="{00000000-0005-0000-0000-0000681A0000}"/>
    <cellStyle name="Currency 3 3 2 2 2 2" xfId="6743" xr:uid="{00000000-0005-0000-0000-0000691A0000}"/>
    <cellStyle name="Currency 3 3 2 2 2 2 2" xfId="6744" xr:uid="{00000000-0005-0000-0000-00006A1A0000}"/>
    <cellStyle name="Currency 3 3 2 2 2 2 3" xfId="6745" xr:uid="{00000000-0005-0000-0000-00006B1A0000}"/>
    <cellStyle name="Currency 3 3 2 2 2 3" xfId="6746" xr:uid="{00000000-0005-0000-0000-00006C1A0000}"/>
    <cellStyle name="Currency 3 3 2 2 2 4" xfId="6747" xr:uid="{00000000-0005-0000-0000-00006D1A0000}"/>
    <cellStyle name="Currency 3 3 2 2 3" xfId="6748" xr:uid="{00000000-0005-0000-0000-00006E1A0000}"/>
    <cellStyle name="Currency 3 3 2 2 3 2" xfId="6749" xr:uid="{00000000-0005-0000-0000-00006F1A0000}"/>
    <cellStyle name="Currency 3 3 2 2 3 3" xfId="6750" xr:uid="{00000000-0005-0000-0000-0000701A0000}"/>
    <cellStyle name="Currency 3 3 2 2 4" xfId="6751" xr:uid="{00000000-0005-0000-0000-0000711A0000}"/>
    <cellStyle name="Currency 3 3 2 2 5" xfId="6752" xr:uid="{00000000-0005-0000-0000-0000721A0000}"/>
    <cellStyle name="Currency 3 3 2 3" xfId="6753" xr:uid="{00000000-0005-0000-0000-0000731A0000}"/>
    <cellStyle name="Currency 3 3 2 3 2" xfId="6754" xr:uid="{00000000-0005-0000-0000-0000741A0000}"/>
    <cellStyle name="Currency 3 3 2 3 2 2" xfId="6755" xr:uid="{00000000-0005-0000-0000-0000751A0000}"/>
    <cellStyle name="Currency 3 3 2 3 2 3" xfId="6756" xr:uid="{00000000-0005-0000-0000-0000761A0000}"/>
    <cellStyle name="Currency 3 3 2 3 3" xfId="6757" xr:uid="{00000000-0005-0000-0000-0000771A0000}"/>
    <cellStyle name="Currency 3 3 2 3 4" xfId="6758" xr:uid="{00000000-0005-0000-0000-0000781A0000}"/>
    <cellStyle name="Currency 3 3 2 4" xfId="6759" xr:uid="{00000000-0005-0000-0000-0000791A0000}"/>
    <cellStyle name="Currency 3 3 2 4 2" xfId="6760" xr:uid="{00000000-0005-0000-0000-00007A1A0000}"/>
    <cellStyle name="Currency 3 3 2 4 3" xfId="6761" xr:uid="{00000000-0005-0000-0000-00007B1A0000}"/>
    <cellStyle name="Currency 3 3 2 5" xfId="6762" xr:uid="{00000000-0005-0000-0000-00007C1A0000}"/>
    <cellStyle name="Currency 3 3 2 6" xfId="6763" xr:uid="{00000000-0005-0000-0000-00007D1A0000}"/>
    <cellStyle name="Currency 3 3 3" xfId="6764" xr:uid="{00000000-0005-0000-0000-00007E1A0000}"/>
    <cellStyle name="Currency 3 3 3 2" xfId="6765" xr:uid="{00000000-0005-0000-0000-00007F1A0000}"/>
    <cellStyle name="Currency 3 3 3 2 2" xfId="6766" xr:uid="{00000000-0005-0000-0000-0000801A0000}"/>
    <cellStyle name="Currency 3 3 3 2 2 2" xfId="6767" xr:uid="{00000000-0005-0000-0000-0000811A0000}"/>
    <cellStyle name="Currency 3 3 3 2 2 2 2" xfId="6768" xr:uid="{00000000-0005-0000-0000-0000821A0000}"/>
    <cellStyle name="Currency 3 3 3 2 2 2 3" xfId="6769" xr:uid="{00000000-0005-0000-0000-0000831A0000}"/>
    <cellStyle name="Currency 3 3 3 2 2 3" xfId="6770" xr:uid="{00000000-0005-0000-0000-0000841A0000}"/>
    <cellStyle name="Currency 3 3 3 2 2 4" xfId="6771" xr:uid="{00000000-0005-0000-0000-0000851A0000}"/>
    <cellStyle name="Currency 3 3 3 2 3" xfId="6772" xr:uid="{00000000-0005-0000-0000-0000861A0000}"/>
    <cellStyle name="Currency 3 3 3 2 3 2" xfId="6773" xr:uid="{00000000-0005-0000-0000-0000871A0000}"/>
    <cellStyle name="Currency 3 3 3 2 3 3" xfId="6774" xr:uid="{00000000-0005-0000-0000-0000881A0000}"/>
    <cellStyle name="Currency 3 3 3 2 4" xfId="6775" xr:uid="{00000000-0005-0000-0000-0000891A0000}"/>
    <cellStyle name="Currency 3 3 3 2 5" xfId="6776" xr:uid="{00000000-0005-0000-0000-00008A1A0000}"/>
    <cellStyle name="Currency 3 3 3 3" xfId="6777" xr:uid="{00000000-0005-0000-0000-00008B1A0000}"/>
    <cellStyle name="Currency 3 3 3 3 2" xfId="6778" xr:uid="{00000000-0005-0000-0000-00008C1A0000}"/>
    <cellStyle name="Currency 3 3 3 3 2 2" xfId="6779" xr:uid="{00000000-0005-0000-0000-00008D1A0000}"/>
    <cellStyle name="Currency 3 3 3 3 2 3" xfId="6780" xr:uid="{00000000-0005-0000-0000-00008E1A0000}"/>
    <cellStyle name="Currency 3 3 3 3 3" xfId="6781" xr:uid="{00000000-0005-0000-0000-00008F1A0000}"/>
    <cellStyle name="Currency 3 3 3 3 4" xfId="6782" xr:uid="{00000000-0005-0000-0000-0000901A0000}"/>
    <cellStyle name="Currency 3 3 3 4" xfId="6783" xr:uid="{00000000-0005-0000-0000-0000911A0000}"/>
    <cellStyle name="Currency 3 3 3 4 2" xfId="6784" xr:uid="{00000000-0005-0000-0000-0000921A0000}"/>
    <cellStyle name="Currency 3 3 3 4 3" xfId="6785" xr:uid="{00000000-0005-0000-0000-0000931A0000}"/>
    <cellStyle name="Currency 3 3 3 5" xfId="6786" xr:uid="{00000000-0005-0000-0000-0000941A0000}"/>
    <cellStyle name="Currency 3 3 3 6" xfId="6787" xr:uid="{00000000-0005-0000-0000-0000951A0000}"/>
    <cellStyle name="Currency 3 3 4" xfId="6788" xr:uid="{00000000-0005-0000-0000-0000961A0000}"/>
    <cellStyle name="Currency 3 3 4 2" xfId="6789" xr:uid="{00000000-0005-0000-0000-0000971A0000}"/>
    <cellStyle name="Currency 3 3 4 2 2" xfId="6790" xr:uid="{00000000-0005-0000-0000-0000981A0000}"/>
    <cellStyle name="Currency 3 3 4 2 2 2" xfId="6791" xr:uid="{00000000-0005-0000-0000-0000991A0000}"/>
    <cellStyle name="Currency 3 3 4 2 2 2 2" xfId="6792" xr:uid="{00000000-0005-0000-0000-00009A1A0000}"/>
    <cellStyle name="Currency 3 3 4 2 2 2 3" xfId="6793" xr:uid="{00000000-0005-0000-0000-00009B1A0000}"/>
    <cellStyle name="Currency 3 3 4 2 2 3" xfId="6794" xr:uid="{00000000-0005-0000-0000-00009C1A0000}"/>
    <cellStyle name="Currency 3 3 4 2 2 4" xfId="6795" xr:uid="{00000000-0005-0000-0000-00009D1A0000}"/>
    <cellStyle name="Currency 3 3 4 2 3" xfId="6796" xr:uid="{00000000-0005-0000-0000-00009E1A0000}"/>
    <cellStyle name="Currency 3 3 4 2 3 2" xfId="6797" xr:uid="{00000000-0005-0000-0000-00009F1A0000}"/>
    <cellStyle name="Currency 3 3 4 2 3 3" xfId="6798" xr:uid="{00000000-0005-0000-0000-0000A01A0000}"/>
    <cellStyle name="Currency 3 3 4 2 4" xfId="6799" xr:uid="{00000000-0005-0000-0000-0000A11A0000}"/>
    <cellStyle name="Currency 3 3 4 2 5" xfId="6800" xr:uid="{00000000-0005-0000-0000-0000A21A0000}"/>
    <cellStyle name="Currency 3 3 4 3" xfId="6801" xr:uid="{00000000-0005-0000-0000-0000A31A0000}"/>
    <cellStyle name="Currency 3 3 4 3 2" xfId="6802" xr:uid="{00000000-0005-0000-0000-0000A41A0000}"/>
    <cellStyle name="Currency 3 3 4 3 2 2" xfId="6803" xr:uid="{00000000-0005-0000-0000-0000A51A0000}"/>
    <cellStyle name="Currency 3 3 4 3 2 3" xfId="6804" xr:uid="{00000000-0005-0000-0000-0000A61A0000}"/>
    <cellStyle name="Currency 3 3 4 3 3" xfId="6805" xr:uid="{00000000-0005-0000-0000-0000A71A0000}"/>
    <cellStyle name="Currency 3 3 4 3 4" xfId="6806" xr:uid="{00000000-0005-0000-0000-0000A81A0000}"/>
    <cellStyle name="Currency 3 3 4 4" xfId="6807" xr:uid="{00000000-0005-0000-0000-0000A91A0000}"/>
    <cellStyle name="Currency 3 3 4 4 2" xfId="6808" xr:uid="{00000000-0005-0000-0000-0000AA1A0000}"/>
    <cellStyle name="Currency 3 3 4 4 3" xfId="6809" xr:uid="{00000000-0005-0000-0000-0000AB1A0000}"/>
    <cellStyle name="Currency 3 3 4 5" xfId="6810" xr:uid="{00000000-0005-0000-0000-0000AC1A0000}"/>
    <cellStyle name="Currency 3 3 4 6" xfId="6811" xr:uid="{00000000-0005-0000-0000-0000AD1A0000}"/>
    <cellStyle name="Currency 3 3 5" xfId="6812" xr:uid="{00000000-0005-0000-0000-0000AE1A0000}"/>
    <cellStyle name="Currency 3 3 5 2" xfId="6813" xr:uid="{00000000-0005-0000-0000-0000AF1A0000}"/>
    <cellStyle name="Currency 3 3 5 2 2" xfId="6814" xr:uid="{00000000-0005-0000-0000-0000B01A0000}"/>
    <cellStyle name="Currency 3 3 5 2 2 2" xfId="6815" xr:uid="{00000000-0005-0000-0000-0000B11A0000}"/>
    <cellStyle name="Currency 3 3 5 2 2 2 2" xfId="6816" xr:uid="{00000000-0005-0000-0000-0000B21A0000}"/>
    <cellStyle name="Currency 3 3 5 2 2 2 3" xfId="6817" xr:uid="{00000000-0005-0000-0000-0000B31A0000}"/>
    <cellStyle name="Currency 3 3 5 2 2 3" xfId="6818" xr:uid="{00000000-0005-0000-0000-0000B41A0000}"/>
    <cellStyle name="Currency 3 3 5 2 2 4" xfId="6819" xr:uid="{00000000-0005-0000-0000-0000B51A0000}"/>
    <cellStyle name="Currency 3 3 5 2 3" xfId="6820" xr:uid="{00000000-0005-0000-0000-0000B61A0000}"/>
    <cellStyle name="Currency 3 3 5 2 3 2" xfId="6821" xr:uid="{00000000-0005-0000-0000-0000B71A0000}"/>
    <cellStyle name="Currency 3 3 5 2 3 3" xfId="6822" xr:uid="{00000000-0005-0000-0000-0000B81A0000}"/>
    <cellStyle name="Currency 3 3 5 2 4" xfId="6823" xr:uid="{00000000-0005-0000-0000-0000B91A0000}"/>
    <cellStyle name="Currency 3 3 5 2 5" xfId="6824" xr:uid="{00000000-0005-0000-0000-0000BA1A0000}"/>
    <cellStyle name="Currency 3 3 5 3" xfId="6825" xr:uid="{00000000-0005-0000-0000-0000BB1A0000}"/>
    <cellStyle name="Currency 3 3 5 3 2" xfId="6826" xr:uid="{00000000-0005-0000-0000-0000BC1A0000}"/>
    <cellStyle name="Currency 3 3 5 3 2 2" xfId="6827" xr:uid="{00000000-0005-0000-0000-0000BD1A0000}"/>
    <cellStyle name="Currency 3 3 5 3 2 3" xfId="6828" xr:uid="{00000000-0005-0000-0000-0000BE1A0000}"/>
    <cellStyle name="Currency 3 3 5 3 3" xfId="6829" xr:uid="{00000000-0005-0000-0000-0000BF1A0000}"/>
    <cellStyle name="Currency 3 3 5 3 4" xfId="6830" xr:uid="{00000000-0005-0000-0000-0000C01A0000}"/>
    <cellStyle name="Currency 3 3 5 4" xfId="6831" xr:uid="{00000000-0005-0000-0000-0000C11A0000}"/>
    <cellStyle name="Currency 3 3 5 4 2" xfId="6832" xr:uid="{00000000-0005-0000-0000-0000C21A0000}"/>
    <cellStyle name="Currency 3 3 5 4 3" xfId="6833" xr:uid="{00000000-0005-0000-0000-0000C31A0000}"/>
    <cellStyle name="Currency 3 3 5 5" xfId="6834" xr:uid="{00000000-0005-0000-0000-0000C41A0000}"/>
    <cellStyle name="Currency 3 3 5 6" xfId="6835" xr:uid="{00000000-0005-0000-0000-0000C51A0000}"/>
    <cellStyle name="Currency 3 3 6" xfId="6836" xr:uid="{00000000-0005-0000-0000-0000C61A0000}"/>
    <cellStyle name="Currency 3 3 6 2" xfId="6837" xr:uid="{00000000-0005-0000-0000-0000C71A0000}"/>
    <cellStyle name="Currency 3 3 6 2 2" xfId="6838" xr:uid="{00000000-0005-0000-0000-0000C81A0000}"/>
    <cellStyle name="Currency 3 3 6 2 2 2" xfId="6839" xr:uid="{00000000-0005-0000-0000-0000C91A0000}"/>
    <cellStyle name="Currency 3 3 6 2 2 2 2" xfId="6840" xr:uid="{00000000-0005-0000-0000-0000CA1A0000}"/>
    <cellStyle name="Currency 3 3 6 2 2 2 3" xfId="6841" xr:uid="{00000000-0005-0000-0000-0000CB1A0000}"/>
    <cellStyle name="Currency 3 3 6 2 2 3" xfId="6842" xr:uid="{00000000-0005-0000-0000-0000CC1A0000}"/>
    <cellStyle name="Currency 3 3 6 2 2 4" xfId="6843" xr:uid="{00000000-0005-0000-0000-0000CD1A0000}"/>
    <cellStyle name="Currency 3 3 6 2 3" xfId="6844" xr:uid="{00000000-0005-0000-0000-0000CE1A0000}"/>
    <cellStyle name="Currency 3 3 6 2 3 2" xfId="6845" xr:uid="{00000000-0005-0000-0000-0000CF1A0000}"/>
    <cellStyle name="Currency 3 3 6 2 3 3" xfId="6846" xr:uid="{00000000-0005-0000-0000-0000D01A0000}"/>
    <cellStyle name="Currency 3 3 6 2 4" xfId="6847" xr:uid="{00000000-0005-0000-0000-0000D11A0000}"/>
    <cellStyle name="Currency 3 3 6 2 5" xfId="6848" xr:uid="{00000000-0005-0000-0000-0000D21A0000}"/>
    <cellStyle name="Currency 3 3 6 3" xfId="6849" xr:uid="{00000000-0005-0000-0000-0000D31A0000}"/>
    <cellStyle name="Currency 3 3 6 3 2" xfId="6850" xr:uid="{00000000-0005-0000-0000-0000D41A0000}"/>
    <cellStyle name="Currency 3 3 6 3 2 2" xfId="6851" xr:uid="{00000000-0005-0000-0000-0000D51A0000}"/>
    <cellStyle name="Currency 3 3 6 3 2 3" xfId="6852" xr:uid="{00000000-0005-0000-0000-0000D61A0000}"/>
    <cellStyle name="Currency 3 3 6 3 3" xfId="6853" xr:uid="{00000000-0005-0000-0000-0000D71A0000}"/>
    <cellStyle name="Currency 3 3 6 3 4" xfId="6854" xr:uid="{00000000-0005-0000-0000-0000D81A0000}"/>
    <cellStyle name="Currency 3 3 6 4" xfId="6855" xr:uid="{00000000-0005-0000-0000-0000D91A0000}"/>
    <cellStyle name="Currency 3 3 6 4 2" xfId="6856" xr:uid="{00000000-0005-0000-0000-0000DA1A0000}"/>
    <cellStyle name="Currency 3 3 6 4 3" xfId="6857" xr:uid="{00000000-0005-0000-0000-0000DB1A0000}"/>
    <cellStyle name="Currency 3 3 6 5" xfId="6858" xr:uid="{00000000-0005-0000-0000-0000DC1A0000}"/>
    <cellStyle name="Currency 3 3 6 6" xfId="6859" xr:uid="{00000000-0005-0000-0000-0000DD1A0000}"/>
    <cellStyle name="Currency 3 3 7" xfId="6860" xr:uid="{00000000-0005-0000-0000-0000DE1A0000}"/>
    <cellStyle name="Currency 3 3 8" xfId="6861" xr:uid="{00000000-0005-0000-0000-0000DF1A0000}"/>
    <cellStyle name="Currency 3 3 8 2" xfId="6862" xr:uid="{00000000-0005-0000-0000-0000E01A0000}"/>
    <cellStyle name="Currency 3 3 8 2 2" xfId="6863" xr:uid="{00000000-0005-0000-0000-0000E11A0000}"/>
    <cellStyle name="Currency 3 3 8 2 2 2" xfId="6864" xr:uid="{00000000-0005-0000-0000-0000E21A0000}"/>
    <cellStyle name="Currency 3 3 8 2 2 3" xfId="6865" xr:uid="{00000000-0005-0000-0000-0000E31A0000}"/>
    <cellStyle name="Currency 3 3 8 2 3" xfId="6866" xr:uid="{00000000-0005-0000-0000-0000E41A0000}"/>
    <cellStyle name="Currency 3 3 8 2 4" xfId="6867" xr:uid="{00000000-0005-0000-0000-0000E51A0000}"/>
    <cellStyle name="Currency 3 3 8 3" xfId="6868" xr:uid="{00000000-0005-0000-0000-0000E61A0000}"/>
    <cellStyle name="Currency 3 3 8 3 2" xfId="6869" xr:uid="{00000000-0005-0000-0000-0000E71A0000}"/>
    <cellStyle name="Currency 3 3 8 3 3" xfId="6870" xr:uid="{00000000-0005-0000-0000-0000E81A0000}"/>
    <cellStyle name="Currency 3 3 8 4" xfId="6871" xr:uid="{00000000-0005-0000-0000-0000E91A0000}"/>
    <cellStyle name="Currency 3 3 8 5" xfId="6872" xr:uid="{00000000-0005-0000-0000-0000EA1A0000}"/>
    <cellStyle name="Currency 3 3 9" xfId="6873" xr:uid="{00000000-0005-0000-0000-0000EB1A0000}"/>
    <cellStyle name="Currency 3 3 9 2" xfId="6874" xr:uid="{00000000-0005-0000-0000-0000EC1A0000}"/>
    <cellStyle name="Currency 3 3 9 2 2" xfId="6875" xr:uid="{00000000-0005-0000-0000-0000ED1A0000}"/>
    <cellStyle name="Currency 3 3 9 2 3" xfId="6876" xr:uid="{00000000-0005-0000-0000-0000EE1A0000}"/>
    <cellStyle name="Currency 3 3 9 3" xfId="6877" xr:uid="{00000000-0005-0000-0000-0000EF1A0000}"/>
    <cellStyle name="Currency 3 3 9 4" xfId="6878" xr:uid="{00000000-0005-0000-0000-0000F01A0000}"/>
    <cellStyle name="Currency 3 30" xfId="6879" xr:uid="{00000000-0005-0000-0000-0000F11A0000}"/>
    <cellStyle name="Currency 3 31" xfId="6880" xr:uid="{00000000-0005-0000-0000-0000F21A0000}"/>
    <cellStyle name="Currency 3 32" xfId="6881" xr:uid="{00000000-0005-0000-0000-0000F31A0000}"/>
    <cellStyle name="Currency 3 33" xfId="6882" xr:uid="{00000000-0005-0000-0000-0000F41A0000}"/>
    <cellStyle name="Currency 3 34" xfId="6883" xr:uid="{00000000-0005-0000-0000-0000F51A0000}"/>
    <cellStyle name="Currency 3 35" xfId="6884" xr:uid="{00000000-0005-0000-0000-0000F61A0000}"/>
    <cellStyle name="Currency 3 36" xfId="6885" xr:uid="{00000000-0005-0000-0000-0000F71A0000}"/>
    <cellStyle name="Currency 3 37" xfId="6886" xr:uid="{00000000-0005-0000-0000-0000F81A0000}"/>
    <cellStyle name="Currency 3 4" xfId="6887" xr:uid="{00000000-0005-0000-0000-0000F91A0000}"/>
    <cellStyle name="Currency 3 4 2" xfId="6888" xr:uid="{00000000-0005-0000-0000-0000FA1A0000}"/>
    <cellStyle name="Currency 3 4 2 2" xfId="6889" xr:uid="{00000000-0005-0000-0000-0000FB1A0000}"/>
    <cellStyle name="Currency 3 4 2 2 2" xfId="6890" xr:uid="{00000000-0005-0000-0000-0000FC1A0000}"/>
    <cellStyle name="Currency 3 4 2 2 2 2" xfId="6891" xr:uid="{00000000-0005-0000-0000-0000FD1A0000}"/>
    <cellStyle name="Currency 3 4 2 2 2 2 2" xfId="6892" xr:uid="{00000000-0005-0000-0000-0000FE1A0000}"/>
    <cellStyle name="Currency 3 4 2 2 2 2 3" xfId="6893" xr:uid="{00000000-0005-0000-0000-0000FF1A0000}"/>
    <cellStyle name="Currency 3 4 2 2 2 3" xfId="6894" xr:uid="{00000000-0005-0000-0000-0000001B0000}"/>
    <cellStyle name="Currency 3 4 2 2 2 4" xfId="6895" xr:uid="{00000000-0005-0000-0000-0000011B0000}"/>
    <cellStyle name="Currency 3 4 2 2 3" xfId="6896" xr:uid="{00000000-0005-0000-0000-0000021B0000}"/>
    <cellStyle name="Currency 3 4 2 2 3 2" xfId="6897" xr:uid="{00000000-0005-0000-0000-0000031B0000}"/>
    <cellStyle name="Currency 3 4 2 2 3 3" xfId="6898" xr:uid="{00000000-0005-0000-0000-0000041B0000}"/>
    <cellStyle name="Currency 3 4 2 2 4" xfId="6899" xr:uid="{00000000-0005-0000-0000-0000051B0000}"/>
    <cellStyle name="Currency 3 4 2 2 5" xfId="6900" xr:uid="{00000000-0005-0000-0000-0000061B0000}"/>
    <cellStyle name="Currency 3 4 2 3" xfId="6901" xr:uid="{00000000-0005-0000-0000-0000071B0000}"/>
    <cellStyle name="Currency 3 4 2 3 2" xfId="6902" xr:uid="{00000000-0005-0000-0000-0000081B0000}"/>
    <cellStyle name="Currency 3 4 2 3 2 2" xfId="6903" xr:uid="{00000000-0005-0000-0000-0000091B0000}"/>
    <cellStyle name="Currency 3 4 2 3 2 3" xfId="6904" xr:uid="{00000000-0005-0000-0000-00000A1B0000}"/>
    <cellStyle name="Currency 3 4 2 3 3" xfId="6905" xr:uid="{00000000-0005-0000-0000-00000B1B0000}"/>
    <cellStyle name="Currency 3 4 2 3 4" xfId="6906" xr:uid="{00000000-0005-0000-0000-00000C1B0000}"/>
    <cellStyle name="Currency 3 4 2 4" xfId="6907" xr:uid="{00000000-0005-0000-0000-00000D1B0000}"/>
    <cellStyle name="Currency 3 4 2 4 2" xfId="6908" xr:uid="{00000000-0005-0000-0000-00000E1B0000}"/>
    <cellStyle name="Currency 3 4 2 4 3" xfId="6909" xr:uid="{00000000-0005-0000-0000-00000F1B0000}"/>
    <cellStyle name="Currency 3 4 2 5" xfId="6910" xr:uid="{00000000-0005-0000-0000-0000101B0000}"/>
    <cellStyle name="Currency 3 4 2 6" xfId="6911" xr:uid="{00000000-0005-0000-0000-0000111B0000}"/>
    <cellStyle name="Currency 3 4 3" xfId="6912" xr:uid="{00000000-0005-0000-0000-0000121B0000}"/>
    <cellStyle name="Currency 3 4 3 2" xfId="6913" xr:uid="{00000000-0005-0000-0000-0000131B0000}"/>
    <cellStyle name="Currency 3 4 3 2 2" xfId="6914" xr:uid="{00000000-0005-0000-0000-0000141B0000}"/>
    <cellStyle name="Currency 3 4 3 2 2 2" xfId="6915" xr:uid="{00000000-0005-0000-0000-0000151B0000}"/>
    <cellStyle name="Currency 3 4 3 2 2 3" xfId="6916" xr:uid="{00000000-0005-0000-0000-0000161B0000}"/>
    <cellStyle name="Currency 3 4 3 2 3" xfId="6917" xr:uid="{00000000-0005-0000-0000-0000171B0000}"/>
    <cellStyle name="Currency 3 4 3 2 4" xfId="6918" xr:uid="{00000000-0005-0000-0000-0000181B0000}"/>
    <cellStyle name="Currency 3 4 3 3" xfId="6919" xr:uid="{00000000-0005-0000-0000-0000191B0000}"/>
    <cellStyle name="Currency 3 4 3 3 2" xfId="6920" xr:uid="{00000000-0005-0000-0000-00001A1B0000}"/>
    <cellStyle name="Currency 3 4 3 3 3" xfId="6921" xr:uid="{00000000-0005-0000-0000-00001B1B0000}"/>
    <cellStyle name="Currency 3 4 3 4" xfId="6922" xr:uid="{00000000-0005-0000-0000-00001C1B0000}"/>
    <cellStyle name="Currency 3 4 3 5" xfId="6923" xr:uid="{00000000-0005-0000-0000-00001D1B0000}"/>
    <cellStyle name="Currency 3 4 4" xfId="6924" xr:uid="{00000000-0005-0000-0000-00001E1B0000}"/>
    <cellStyle name="Currency 3 4 4 2" xfId="6925" xr:uid="{00000000-0005-0000-0000-00001F1B0000}"/>
    <cellStyle name="Currency 3 4 4 2 2" xfId="6926" xr:uid="{00000000-0005-0000-0000-0000201B0000}"/>
    <cellStyle name="Currency 3 4 4 2 3" xfId="6927" xr:uid="{00000000-0005-0000-0000-0000211B0000}"/>
    <cellStyle name="Currency 3 4 4 3" xfId="6928" xr:uid="{00000000-0005-0000-0000-0000221B0000}"/>
    <cellStyle name="Currency 3 4 4 4" xfId="6929" xr:uid="{00000000-0005-0000-0000-0000231B0000}"/>
    <cellStyle name="Currency 3 4 5" xfId="6930" xr:uid="{00000000-0005-0000-0000-0000241B0000}"/>
    <cellStyle name="Currency 3 4 5 2" xfId="6931" xr:uid="{00000000-0005-0000-0000-0000251B0000}"/>
    <cellStyle name="Currency 3 4 5 3" xfId="6932" xr:uid="{00000000-0005-0000-0000-0000261B0000}"/>
    <cellStyle name="Currency 3 4 6" xfId="6933" xr:uid="{00000000-0005-0000-0000-0000271B0000}"/>
    <cellStyle name="Currency 3 4 7" xfId="6934" xr:uid="{00000000-0005-0000-0000-0000281B0000}"/>
    <cellStyle name="Currency 3 5" xfId="6935" xr:uid="{00000000-0005-0000-0000-0000291B0000}"/>
    <cellStyle name="Currency 3 5 2" xfId="6936" xr:uid="{00000000-0005-0000-0000-00002A1B0000}"/>
    <cellStyle name="Currency 3 5 2 2" xfId="6937" xr:uid="{00000000-0005-0000-0000-00002B1B0000}"/>
    <cellStyle name="Currency 3 5 2 2 2" xfId="6938" xr:uid="{00000000-0005-0000-0000-00002C1B0000}"/>
    <cellStyle name="Currency 3 5 2 2 2 2" xfId="6939" xr:uid="{00000000-0005-0000-0000-00002D1B0000}"/>
    <cellStyle name="Currency 3 5 2 2 2 2 2" xfId="6940" xr:uid="{00000000-0005-0000-0000-00002E1B0000}"/>
    <cellStyle name="Currency 3 5 2 2 2 2 3" xfId="6941" xr:uid="{00000000-0005-0000-0000-00002F1B0000}"/>
    <cellStyle name="Currency 3 5 2 2 2 3" xfId="6942" xr:uid="{00000000-0005-0000-0000-0000301B0000}"/>
    <cellStyle name="Currency 3 5 2 2 2 4" xfId="6943" xr:uid="{00000000-0005-0000-0000-0000311B0000}"/>
    <cellStyle name="Currency 3 5 2 2 3" xfId="6944" xr:uid="{00000000-0005-0000-0000-0000321B0000}"/>
    <cellStyle name="Currency 3 5 2 2 3 2" xfId="6945" xr:uid="{00000000-0005-0000-0000-0000331B0000}"/>
    <cellStyle name="Currency 3 5 2 2 3 3" xfId="6946" xr:uid="{00000000-0005-0000-0000-0000341B0000}"/>
    <cellStyle name="Currency 3 5 2 2 4" xfId="6947" xr:uid="{00000000-0005-0000-0000-0000351B0000}"/>
    <cellStyle name="Currency 3 5 2 2 5" xfId="6948" xr:uid="{00000000-0005-0000-0000-0000361B0000}"/>
    <cellStyle name="Currency 3 5 2 3" xfId="6949" xr:uid="{00000000-0005-0000-0000-0000371B0000}"/>
    <cellStyle name="Currency 3 5 2 3 2" xfId="6950" xr:uid="{00000000-0005-0000-0000-0000381B0000}"/>
    <cellStyle name="Currency 3 5 2 3 2 2" xfId="6951" xr:uid="{00000000-0005-0000-0000-0000391B0000}"/>
    <cellStyle name="Currency 3 5 2 3 2 3" xfId="6952" xr:uid="{00000000-0005-0000-0000-00003A1B0000}"/>
    <cellStyle name="Currency 3 5 2 3 3" xfId="6953" xr:uid="{00000000-0005-0000-0000-00003B1B0000}"/>
    <cellStyle name="Currency 3 5 2 3 4" xfId="6954" xr:uid="{00000000-0005-0000-0000-00003C1B0000}"/>
    <cellStyle name="Currency 3 5 2 4" xfId="6955" xr:uid="{00000000-0005-0000-0000-00003D1B0000}"/>
    <cellStyle name="Currency 3 5 2 4 2" xfId="6956" xr:uid="{00000000-0005-0000-0000-00003E1B0000}"/>
    <cellStyle name="Currency 3 5 2 4 3" xfId="6957" xr:uid="{00000000-0005-0000-0000-00003F1B0000}"/>
    <cellStyle name="Currency 3 5 2 5" xfId="6958" xr:uid="{00000000-0005-0000-0000-0000401B0000}"/>
    <cellStyle name="Currency 3 5 2 6" xfId="6959" xr:uid="{00000000-0005-0000-0000-0000411B0000}"/>
    <cellStyle name="Currency 3 5 3" xfId="6960" xr:uid="{00000000-0005-0000-0000-0000421B0000}"/>
    <cellStyle name="Currency 3 5 3 2" xfId="6961" xr:uid="{00000000-0005-0000-0000-0000431B0000}"/>
    <cellStyle name="Currency 3 5 3 2 2" xfId="6962" xr:uid="{00000000-0005-0000-0000-0000441B0000}"/>
    <cellStyle name="Currency 3 5 3 2 2 2" xfId="6963" xr:uid="{00000000-0005-0000-0000-0000451B0000}"/>
    <cellStyle name="Currency 3 5 3 2 2 3" xfId="6964" xr:uid="{00000000-0005-0000-0000-0000461B0000}"/>
    <cellStyle name="Currency 3 5 3 2 3" xfId="6965" xr:uid="{00000000-0005-0000-0000-0000471B0000}"/>
    <cellStyle name="Currency 3 5 3 2 4" xfId="6966" xr:uid="{00000000-0005-0000-0000-0000481B0000}"/>
    <cellStyle name="Currency 3 5 3 3" xfId="6967" xr:uid="{00000000-0005-0000-0000-0000491B0000}"/>
    <cellStyle name="Currency 3 5 3 3 2" xfId="6968" xr:uid="{00000000-0005-0000-0000-00004A1B0000}"/>
    <cellStyle name="Currency 3 5 3 3 3" xfId="6969" xr:uid="{00000000-0005-0000-0000-00004B1B0000}"/>
    <cellStyle name="Currency 3 5 3 4" xfId="6970" xr:uid="{00000000-0005-0000-0000-00004C1B0000}"/>
    <cellStyle name="Currency 3 5 3 5" xfId="6971" xr:uid="{00000000-0005-0000-0000-00004D1B0000}"/>
    <cellStyle name="Currency 3 5 4" xfId="6972" xr:uid="{00000000-0005-0000-0000-00004E1B0000}"/>
    <cellStyle name="Currency 3 5 4 2" xfId="6973" xr:uid="{00000000-0005-0000-0000-00004F1B0000}"/>
    <cellStyle name="Currency 3 5 4 2 2" xfId="6974" xr:uid="{00000000-0005-0000-0000-0000501B0000}"/>
    <cellStyle name="Currency 3 5 4 2 3" xfId="6975" xr:uid="{00000000-0005-0000-0000-0000511B0000}"/>
    <cellStyle name="Currency 3 5 4 3" xfId="6976" xr:uid="{00000000-0005-0000-0000-0000521B0000}"/>
    <cellStyle name="Currency 3 5 4 4" xfId="6977" xr:uid="{00000000-0005-0000-0000-0000531B0000}"/>
    <cellStyle name="Currency 3 5 5" xfId="6978" xr:uid="{00000000-0005-0000-0000-0000541B0000}"/>
    <cellStyle name="Currency 3 5 5 2" xfId="6979" xr:uid="{00000000-0005-0000-0000-0000551B0000}"/>
    <cellStyle name="Currency 3 5 5 3" xfId="6980" xr:uid="{00000000-0005-0000-0000-0000561B0000}"/>
    <cellStyle name="Currency 3 5 6" xfId="6981" xr:uid="{00000000-0005-0000-0000-0000571B0000}"/>
    <cellStyle name="Currency 3 5 7" xfId="6982" xr:uid="{00000000-0005-0000-0000-0000581B0000}"/>
    <cellStyle name="Currency 3 6" xfId="6983" xr:uid="{00000000-0005-0000-0000-0000591B0000}"/>
    <cellStyle name="Currency 3 6 2" xfId="6984" xr:uid="{00000000-0005-0000-0000-00005A1B0000}"/>
    <cellStyle name="Currency 3 6 2 2" xfId="6985" xr:uid="{00000000-0005-0000-0000-00005B1B0000}"/>
    <cellStyle name="Currency 3 6 2 2 2" xfId="6986" xr:uid="{00000000-0005-0000-0000-00005C1B0000}"/>
    <cellStyle name="Currency 3 6 2 2 2 2" xfId="6987" xr:uid="{00000000-0005-0000-0000-00005D1B0000}"/>
    <cellStyle name="Currency 3 6 2 2 2 2 2" xfId="6988" xr:uid="{00000000-0005-0000-0000-00005E1B0000}"/>
    <cellStyle name="Currency 3 6 2 2 2 2 3" xfId="6989" xr:uid="{00000000-0005-0000-0000-00005F1B0000}"/>
    <cellStyle name="Currency 3 6 2 2 2 3" xfId="6990" xr:uid="{00000000-0005-0000-0000-0000601B0000}"/>
    <cellStyle name="Currency 3 6 2 2 2 4" xfId="6991" xr:uid="{00000000-0005-0000-0000-0000611B0000}"/>
    <cellStyle name="Currency 3 6 2 2 3" xfId="6992" xr:uid="{00000000-0005-0000-0000-0000621B0000}"/>
    <cellStyle name="Currency 3 6 2 2 3 2" xfId="6993" xr:uid="{00000000-0005-0000-0000-0000631B0000}"/>
    <cellStyle name="Currency 3 6 2 2 3 3" xfId="6994" xr:uid="{00000000-0005-0000-0000-0000641B0000}"/>
    <cellStyle name="Currency 3 6 2 2 4" xfId="6995" xr:uid="{00000000-0005-0000-0000-0000651B0000}"/>
    <cellStyle name="Currency 3 6 2 2 5" xfId="6996" xr:uid="{00000000-0005-0000-0000-0000661B0000}"/>
    <cellStyle name="Currency 3 6 2 3" xfId="6997" xr:uid="{00000000-0005-0000-0000-0000671B0000}"/>
    <cellStyle name="Currency 3 6 2 3 2" xfId="6998" xr:uid="{00000000-0005-0000-0000-0000681B0000}"/>
    <cellStyle name="Currency 3 6 2 3 2 2" xfId="6999" xr:uid="{00000000-0005-0000-0000-0000691B0000}"/>
    <cellStyle name="Currency 3 6 2 3 2 3" xfId="7000" xr:uid="{00000000-0005-0000-0000-00006A1B0000}"/>
    <cellStyle name="Currency 3 6 2 3 3" xfId="7001" xr:uid="{00000000-0005-0000-0000-00006B1B0000}"/>
    <cellStyle name="Currency 3 6 2 3 4" xfId="7002" xr:uid="{00000000-0005-0000-0000-00006C1B0000}"/>
    <cellStyle name="Currency 3 6 2 4" xfId="7003" xr:uid="{00000000-0005-0000-0000-00006D1B0000}"/>
    <cellStyle name="Currency 3 6 2 4 2" xfId="7004" xr:uid="{00000000-0005-0000-0000-00006E1B0000}"/>
    <cellStyle name="Currency 3 6 2 4 3" xfId="7005" xr:uid="{00000000-0005-0000-0000-00006F1B0000}"/>
    <cellStyle name="Currency 3 6 2 5" xfId="7006" xr:uid="{00000000-0005-0000-0000-0000701B0000}"/>
    <cellStyle name="Currency 3 6 2 6" xfId="7007" xr:uid="{00000000-0005-0000-0000-0000711B0000}"/>
    <cellStyle name="Currency 3 6 3" xfId="7008" xr:uid="{00000000-0005-0000-0000-0000721B0000}"/>
    <cellStyle name="Currency 3 6 3 2" xfId="7009" xr:uid="{00000000-0005-0000-0000-0000731B0000}"/>
    <cellStyle name="Currency 3 6 3 2 2" xfId="7010" xr:uid="{00000000-0005-0000-0000-0000741B0000}"/>
    <cellStyle name="Currency 3 6 3 2 2 2" xfId="7011" xr:uid="{00000000-0005-0000-0000-0000751B0000}"/>
    <cellStyle name="Currency 3 6 3 2 2 3" xfId="7012" xr:uid="{00000000-0005-0000-0000-0000761B0000}"/>
    <cellStyle name="Currency 3 6 3 2 3" xfId="7013" xr:uid="{00000000-0005-0000-0000-0000771B0000}"/>
    <cellStyle name="Currency 3 6 3 2 4" xfId="7014" xr:uid="{00000000-0005-0000-0000-0000781B0000}"/>
    <cellStyle name="Currency 3 6 3 3" xfId="7015" xr:uid="{00000000-0005-0000-0000-0000791B0000}"/>
    <cellStyle name="Currency 3 6 3 3 2" xfId="7016" xr:uid="{00000000-0005-0000-0000-00007A1B0000}"/>
    <cellStyle name="Currency 3 6 3 3 3" xfId="7017" xr:uid="{00000000-0005-0000-0000-00007B1B0000}"/>
    <cellStyle name="Currency 3 6 3 4" xfId="7018" xr:uid="{00000000-0005-0000-0000-00007C1B0000}"/>
    <cellStyle name="Currency 3 6 3 5" xfId="7019" xr:uid="{00000000-0005-0000-0000-00007D1B0000}"/>
    <cellStyle name="Currency 3 6 4" xfId="7020" xr:uid="{00000000-0005-0000-0000-00007E1B0000}"/>
    <cellStyle name="Currency 3 6 4 2" xfId="7021" xr:uid="{00000000-0005-0000-0000-00007F1B0000}"/>
    <cellStyle name="Currency 3 6 4 2 2" xfId="7022" xr:uid="{00000000-0005-0000-0000-0000801B0000}"/>
    <cellStyle name="Currency 3 6 4 2 3" xfId="7023" xr:uid="{00000000-0005-0000-0000-0000811B0000}"/>
    <cellStyle name="Currency 3 6 4 3" xfId="7024" xr:uid="{00000000-0005-0000-0000-0000821B0000}"/>
    <cellStyle name="Currency 3 6 4 4" xfId="7025" xr:uid="{00000000-0005-0000-0000-0000831B0000}"/>
    <cellStyle name="Currency 3 6 5" xfId="7026" xr:uid="{00000000-0005-0000-0000-0000841B0000}"/>
    <cellStyle name="Currency 3 6 5 2" xfId="7027" xr:uid="{00000000-0005-0000-0000-0000851B0000}"/>
    <cellStyle name="Currency 3 6 5 3" xfId="7028" xr:uid="{00000000-0005-0000-0000-0000861B0000}"/>
    <cellStyle name="Currency 3 6 6" xfId="7029" xr:uid="{00000000-0005-0000-0000-0000871B0000}"/>
    <cellStyle name="Currency 3 6 7" xfId="7030" xr:uid="{00000000-0005-0000-0000-0000881B0000}"/>
    <cellStyle name="Currency 3 7" xfId="7031" xr:uid="{00000000-0005-0000-0000-0000891B0000}"/>
    <cellStyle name="Currency 3 7 2" xfId="7032" xr:uid="{00000000-0005-0000-0000-00008A1B0000}"/>
    <cellStyle name="Currency 3 7 2 2" xfId="7033" xr:uid="{00000000-0005-0000-0000-00008B1B0000}"/>
    <cellStyle name="Currency 3 7 2 2 2" xfId="7034" xr:uid="{00000000-0005-0000-0000-00008C1B0000}"/>
    <cellStyle name="Currency 3 7 2 2 2 2" xfId="7035" xr:uid="{00000000-0005-0000-0000-00008D1B0000}"/>
    <cellStyle name="Currency 3 7 2 2 2 3" xfId="7036" xr:uid="{00000000-0005-0000-0000-00008E1B0000}"/>
    <cellStyle name="Currency 3 7 2 2 3" xfId="7037" xr:uid="{00000000-0005-0000-0000-00008F1B0000}"/>
    <cellStyle name="Currency 3 7 2 2 4" xfId="7038" xr:uid="{00000000-0005-0000-0000-0000901B0000}"/>
    <cellStyle name="Currency 3 7 2 3" xfId="7039" xr:uid="{00000000-0005-0000-0000-0000911B0000}"/>
    <cellStyle name="Currency 3 7 2 3 2" xfId="7040" xr:uid="{00000000-0005-0000-0000-0000921B0000}"/>
    <cellStyle name="Currency 3 7 2 3 3" xfId="7041" xr:uid="{00000000-0005-0000-0000-0000931B0000}"/>
    <cellStyle name="Currency 3 7 2 4" xfId="7042" xr:uid="{00000000-0005-0000-0000-0000941B0000}"/>
    <cellStyle name="Currency 3 7 2 5" xfId="7043" xr:uid="{00000000-0005-0000-0000-0000951B0000}"/>
    <cellStyle name="Currency 3 7 3" xfId="7044" xr:uid="{00000000-0005-0000-0000-0000961B0000}"/>
    <cellStyle name="Currency 3 7 3 2" xfId="7045" xr:uid="{00000000-0005-0000-0000-0000971B0000}"/>
    <cellStyle name="Currency 3 7 3 2 2" xfId="7046" xr:uid="{00000000-0005-0000-0000-0000981B0000}"/>
    <cellStyle name="Currency 3 7 3 2 3" xfId="7047" xr:uid="{00000000-0005-0000-0000-0000991B0000}"/>
    <cellStyle name="Currency 3 7 3 3" xfId="7048" xr:uid="{00000000-0005-0000-0000-00009A1B0000}"/>
    <cellStyle name="Currency 3 7 3 4" xfId="7049" xr:uid="{00000000-0005-0000-0000-00009B1B0000}"/>
    <cellStyle name="Currency 3 7 4" xfId="7050" xr:uid="{00000000-0005-0000-0000-00009C1B0000}"/>
    <cellStyle name="Currency 3 7 4 2" xfId="7051" xr:uid="{00000000-0005-0000-0000-00009D1B0000}"/>
    <cellStyle name="Currency 3 7 4 3" xfId="7052" xr:uid="{00000000-0005-0000-0000-00009E1B0000}"/>
    <cellStyle name="Currency 3 7 5" xfId="7053" xr:uid="{00000000-0005-0000-0000-00009F1B0000}"/>
    <cellStyle name="Currency 3 7 6" xfId="7054" xr:uid="{00000000-0005-0000-0000-0000A01B0000}"/>
    <cellStyle name="Currency 3 8" xfId="7055" xr:uid="{00000000-0005-0000-0000-0000A11B0000}"/>
    <cellStyle name="Currency 3 8 2" xfId="7056" xr:uid="{00000000-0005-0000-0000-0000A21B0000}"/>
    <cellStyle name="Currency 3 8 2 2" xfId="7057" xr:uid="{00000000-0005-0000-0000-0000A31B0000}"/>
    <cellStyle name="Currency 3 8 2 2 2" xfId="7058" xr:uid="{00000000-0005-0000-0000-0000A41B0000}"/>
    <cellStyle name="Currency 3 8 2 2 2 2" xfId="7059" xr:uid="{00000000-0005-0000-0000-0000A51B0000}"/>
    <cellStyle name="Currency 3 8 2 2 2 3" xfId="7060" xr:uid="{00000000-0005-0000-0000-0000A61B0000}"/>
    <cellStyle name="Currency 3 8 2 2 3" xfId="7061" xr:uid="{00000000-0005-0000-0000-0000A71B0000}"/>
    <cellStyle name="Currency 3 8 2 2 4" xfId="7062" xr:uid="{00000000-0005-0000-0000-0000A81B0000}"/>
    <cellStyle name="Currency 3 8 2 3" xfId="7063" xr:uid="{00000000-0005-0000-0000-0000A91B0000}"/>
    <cellStyle name="Currency 3 8 2 3 2" xfId="7064" xr:uid="{00000000-0005-0000-0000-0000AA1B0000}"/>
    <cellStyle name="Currency 3 8 2 3 3" xfId="7065" xr:uid="{00000000-0005-0000-0000-0000AB1B0000}"/>
    <cellStyle name="Currency 3 8 2 4" xfId="7066" xr:uid="{00000000-0005-0000-0000-0000AC1B0000}"/>
    <cellStyle name="Currency 3 8 2 5" xfId="7067" xr:uid="{00000000-0005-0000-0000-0000AD1B0000}"/>
    <cellStyle name="Currency 3 8 3" xfId="7068" xr:uid="{00000000-0005-0000-0000-0000AE1B0000}"/>
    <cellStyle name="Currency 3 8 3 2" xfId="7069" xr:uid="{00000000-0005-0000-0000-0000AF1B0000}"/>
    <cellStyle name="Currency 3 8 3 2 2" xfId="7070" xr:uid="{00000000-0005-0000-0000-0000B01B0000}"/>
    <cellStyle name="Currency 3 8 3 2 3" xfId="7071" xr:uid="{00000000-0005-0000-0000-0000B11B0000}"/>
    <cellStyle name="Currency 3 8 3 3" xfId="7072" xr:uid="{00000000-0005-0000-0000-0000B21B0000}"/>
    <cellStyle name="Currency 3 8 3 4" xfId="7073" xr:uid="{00000000-0005-0000-0000-0000B31B0000}"/>
    <cellStyle name="Currency 3 8 4" xfId="7074" xr:uid="{00000000-0005-0000-0000-0000B41B0000}"/>
    <cellStyle name="Currency 3 8 4 2" xfId="7075" xr:uid="{00000000-0005-0000-0000-0000B51B0000}"/>
    <cellStyle name="Currency 3 8 4 3" xfId="7076" xr:uid="{00000000-0005-0000-0000-0000B61B0000}"/>
    <cellStyle name="Currency 3 8 5" xfId="7077" xr:uid="{00000000-0005-0000-0000-0000B71B0000}"/>
    <cellStyle name="Currency 3 8 6" xfId="7078" xr:uid="{00000000-0005-0000-0000-0000B81B0000}"/>
    <cellStyle name="Currency 3 9" xfId="7079" xr:uid="{00000000-0005-0000-0000-0000B91B0000}"/>
    <cellStyle name="Currency 3 9 2" xfId="7080" xr:uid="{00000000-0005-0000-0000-0000BA1B0000}"/>
    <cellStyle name="Currency 3 9 2 2" xfId="7081" xr:uid="{00000000-0005-0000-0000-0000BB1B0000}"/>
    <cellStyle name="Currency 3 9 2 2 2" xfId="7082" xr:uid="{00000000-0005-0000-0000-0000BC1B0000}"/>
    <cellStyle name="Currency 3 9 2 2 2 2" xfId="7083" xr:uid="{00000000-0005-0000-0000-0000BD1B0000}"/>
    <cellStyle name="Currency 3 9 2 2 2 3" xfId="7084" xr:uid="{00000000-0005-0000-0000-0000BE1B0000}"/>
    <cellStyle name="Currency 3 9 2 2 3" xfId="7085" xr:uid="{00000000-0005-0000-0000-0000BF1B0000}"/>
    <cellStyle name="Currency 3 9 2 2 4" xfId="7086" xr:uid="{00000000-0005-0000-0000-0000C01B0000}"/>
    <cellStyle name="Currency 3 9 2 3" xfId="7087" xr:uid="{00000000-0005-0000-0000-0000C11B0000}"/>
    <cellStyle name="Currency 3 9 2 3 2" xfId="7088" xr:uid="{00000000-0005-0000-0000-0000C21B0000}"/>
    <cellStyle name="Currency 3 9 2 3 3" xfId="7089" xr:uid="{00000000-0005-0000-0000-0000C31B0000}"/>
    <cellStyle name="Currency 3 9 2 4" xfId="7090" xr:uid="{00000000-0005-0000-0000-0000C41B0000}"/>
    <cellStyle name="Currency 3 9 2 5" xfId="7091" xr:uid="{00000000-0005-0000-0000-0000C51B0000}"/>
    <cellStyle name="Currency 3 9 3" xfId="7092" xr:uid="{00000000-0005-0000-0000-0000C61B0000}"/>
    <cellStyle name="Currency 3 9 3 2" xfId="7093" xr:uid="{00000000-0005-0000-0000-0000C71B0000}"/>
    <cellStyle name="Currency 3 9 3 2 2" xfId="7094" xr:uid="{00000000-0005-0000-0000-0000C81B0000}"/>
    <cellStyle name="Currency 3 9 3 2 3" xfId="7095" xr:uid="{00000000-0005-0000-0000-0000C91B0000}"/>
    <cellStyle name="Currency 3 9 3 3" xfId="7096" xr:uid="{00000000-0005-0000-0000-0000CA1B0000}"/>
    <cellStyle name="Currency 3 9 3 4" xfId="7097" xr:uid="{00000000-0005-0000-0000-0000CB1B0000}"/>
    <cellStyle name="Currency 3 9 4" xfId="7098" xr:uid="{00000000-0005-0000-0000-0000CC1B0000}"/>
    <cellStyle name="Currency 3 9 4 2" xfId="7099" xr:uid="{00000000-0005-0000-0000-0000CD1B0000}"/>
    <cellStyle name="Currency 3 9 4 3" xfId="7100" xr:uid="{00000000-0005-0000-0000-0000CE1B0000}"/>
    <cellStyle name="Currency 3 9 5" xfId="7101" xr:uid="{00000000-0005-0000-0000-0000CF1B0000}"/>
    <cellStyle name="Currency 3 9 6" xfId="7102" xr:uid="{00000000-0005-0000-0000-0000D01B0000}"/>
    <cellStyle name="Currency 30" xfId="7103" xr:uid="{00000000-0005-0000-0000-0000D11B0000}"/>
    <cellStyle name="Currency 31" xfId="7104" xr:uid="{00000000-0005-0000-0000-0000D21B0000}"/>
    <cellStyle name="Currency 32" xfId="7105" xr:uid="{00000000-0005-0000-0000-0000D31B0000}"/>
    <cellStyle name="Currency 33" xfId="7106" xr:uid="{00000000-0005-0000-0000-0000D41B0000}"/>
    <cellStyle name="Currency 34" xfId="7107" xr:uid="{00000000-0005-0000-0000-0000D51B0000}"/>
    <cellStyle name="Currency 35" xfId="7108" xr:uid="{00000000-0005-0000-0000-0000D61B0000}"/>
    <cellStyle name="Currency 36" xfId="7109" xr:uid="{00000000-0005-0000-0000-0000D71B0000}"/>
    <cellStyle name="Currency 37" xfId="7110" xr:uid="{00000000-0005-0000-0000-0000D81B0000}"/>
    <cellStyle name="Currency 38" xfId="7111" xr:uid="{00000000-0005-0000-0000-0000D91B0000}"/>
    <cellStyle name="Currency 39" xfId="7112" xr:uid="{00000000-0005-0000-0000-0000DA1B0000}"/>
    <cellStyle name="Currency 4" xfId="24" xr:uid="{00000000-0005-0000-0000-0000DB1B0000}"/>
    <cellStyle name="Currency 4 2" xfId="7113" xr:uid="{00000000-0005-0000-0000-0000DC1B0000}"/>
    <cellStyle name="Currency 4 2 2" xfId="7114" xr:uid="{00000000-0005-0000-0000-0000DD1B0000}"/>
    <cellStyle name="Currency 4 2 2 2" xfId="7115" xr:uid="{00000000-0005-0000-0000-0000DE1B0000}"/>
    <cellStyle name="Currency 4 2 2 3" xfId="7116" xr:uid="{00000000-0005-0000-0000-0000DF1B0000}"/>
    <cellStyle name="Currency 4 2 3" xfId="7117" xr:uid="{00000000-0005-0000-0000-0000E01B0000}"/>
    <cellStyle name="Currency 4 2 3 2" xfId="7118" xr:uid="{00000000-0005-0000-0000-0000E11B0000}"/>
    <cellStyle name="Currency 4 2 3 3" xfId="7119" xr:uid="{00000000-0005-0000-0000-0000E21B0000}"/>
    <cellStyle name="Currency 4 3" xfId="7120" xr:uid="{00000000-0005-0000-0000-0000E31B0000}"/>
    <cellStyle name="Currency 4 3 2" xfId="7121" xr:uid="{00000000-0005-0000-0000-0000E41B0000}"/>
    <cellStyle name="Currency 4 3 3" xfId="7122" xr:uid="{00000000-0005-0000-0000-0000E51B0000}"/>
    <cellStyle name="Currency 4 3 4" xfId="7123" xr:uid="{00000000-0005-0000-0000-0000E61B0000}"/>
    <cellStyle name="Currency 4 3 5" xfId="7124" xr:uid="{00000000-0005-0000-0000-0000E71B0000}"/>
    <cellStyle name="Currency 4 3 5 2" xfId="7125" xr:uid="{00000000-0005-0000-0000-0000E81B0000}"/>
    <cellStyle name="Currency 4 3 5 3" xfId="7126" xr:uid="{00000000-0005-0000-0000-0000E91B0000}"/>
    <cellStyle name="Currency 4 4" xfId="7127" xr:uid="{00000000-0005-0000-0000-0000EA1B0000}"/>
    <cellStyle name="Currency 4 4 2" xfId="7128" xr:uid="{00000000-0005-0000-0000-0000EB1B0000}"/>
    <cellStyle name="Currency 4 5" xfId="7129" xr:uid="{00000000-0005-0000-0000-0000EC1B0000}"/>
    <cellStyle name="Currency 4 6" xfId="7130" xr:uid="{00000000-0005-0000-0000-0000ED1B0000}"/>
    <cellStyle name="Currency 4 7" xfId="7131" xr:uid="{00000000-0005-0000-0000-0000EE1B0000}"/>
    <cellStyle name="Currency 4 7 2" xfId="7132" xr:uid="{00000000-0005-0000-0000-0000EF1B0000}"/>
    <cellStyle name="Currency 4 7 3" xfId="7133" xr:uid="{00000000-0005-0000-0000-0000F01B0000}"/>
    <cellStyle name="Currency 4 8" xfId="7134" xr:uid="{00000000-0005-0000-0000-0000F11B0000}"/>
    <cellStyle name="Currency 40" xfId="7135" xr:uid="{00000000-0005-0000-0000-0000F21B0000}"/>
    <cellStyle name="Currency 41" xfId="7136" xr:uid="{00000000-0005-0000-0000-0000F31B0000}"/>
    <cellStyle name="Currency 42" xfId="7137" xr:uid="{00000000-0005-0000-0000-0000F41B0000}"/>
    <cellStyle name="Currency 43" xfId="7138" xr:uid="{00000000-0005-0000-0000-0000F51B0000}"/>
    <cellStyle name="Currency 44" xfId="7139" xr:uid="{00000000-0005-0000-0000-0000F61B0000}"/>
    <cellStyle name="Currency 45" xfId="7140" xr:uid="{00000000-0005-0000-0000-0000F71B0000}"/>
    <cellStyle name="Currency 46" xfId="7141" xr:uid="{00000000-0005-0000-0000-0000F81B0000}"/>
    <cellStyle name="Currency 47" xfId="7142" xr:uid="{00000000-0005-0000-0000-0000F91B0000}"/>
    <cellStyle name="Currency 48" xfId="7143" xr:uid="{00000000-0005-0000-0000-0000FA1B0000}"/>
    <cellStyle name="Currency 49" xfId="7144" xr:uid="{00000000-0005-0000-0000-0000FB1B0000}"/>
    <cellStyle name="Currency 5" xfId="25" xr:uid="{00000000-0005-0000-0000-0000FC1B0000}"/>
    <cellStyle name="Currency 5 10" xfId="7145" xr:uid="{00000000-0005-0000-0000-0000FD1B0000}"/>
    <cellStyle name="Currency 5 11" xfId="7146" xr:uid="{00000000-0005-0000-0000-0000FE1B0000}"/>
    <cellStyle name="Currency 5 2" xfId="7147" xr:uid="{00000000-0005-0000-0000-0000FF1B0000}"/>
    <cellStyle name="Currency 5 2 10" xfId="7148" xr:uid="{00000000-0005-0000-0000-0000001C0000}"/>
    <cellStyle name="Currency 5 2 2" xfId="7149" xr:uid="{00000000-0005-0000-0000-0000011C0000}"/>
    <cellStyle name="Currency 5 2 2 2" xfId="7150" xr:uid="{00000000-0005-0000-0000-0000021C0000}"/>
    <cellStyle name="Currency 5 2 2 2 2" xfId="7151" xr:uid="{00000000-0005-0000-0000-0000031C0000}"/>
    <cellStyle name="Currency 5 2 2 2 2 2" xfId="7152" xr:uid="{00000000-0005-0000-0000-0000041C0000}"/>
    <cellStyle name="Currency 5 2 2 2 2 2 2" xfId="7153" xr:uid="{00000000-0005-0000-0000-0000051C0000}"/>
    <cellStyle name="Currency 5 2 2 2 2 2 2 2" xfId="7154" xr:uid="{00000000-0005-0000-0000-0000061C0000}"/>
    <cellStyle name="Currency 5 2 2 2 2 2 2 3" xfId="7155" xr:uid="{00000000-0005-0000-0000-0000071C0000}"/>
    <cellStyle name="Currency 5 2 2 2 2 2 3" xfId="7156" xr:uid="{00000000-0005-0000-0000-0000081C0000}"/>
    <cellStyle name="Currency 5 2 2 2 2 2 4" xfId="7157" xr:uid="{00000000-0005-0000-0000-0000091C0000}"/>
    <cellStyle name="Currency 5 2 2 2 2 3" xfId="7158" xr:uid="{00000000-0005-0000-0000-00000A1C0000}"/>
    <cellStyle name="Currency 5 2 2 2 2 3 2" xfId="7159" xr:uid="{00000000-0005-0000-0000-00000B1C0000}"/>
    <cellStyle name="Currency 5 2 2 2 2 3 3" xfId="7160" xr:uid="{00000000-0005-0000-0000-00000C1C0000}"/>
    <cellStyle name="Currency 5 2 2 2 2 4" xfId="7161" xr:uid="{00000000-0005-0000-0000-00000D1C0000}"/>
    <cellStyle name="Currency 5 2 2 2 2 5" xfId="7162" xr:uid="{00000000-0005-0000-0000-00000E1C0000}"/>
    <cellStyle name="Currency 5 2 2 2 3" xfId="7163" xr:uid="{00000000-0005-0000-0000-00000F1C0000}"/>
    <cellStyle name="Currency 5 2 2 2 3 2" xfId="7164" xr:uid="{00000000-0005-0000-0000-0000101C0000}"/>
    <cellStyle name="Currency 5 2 2 2 3 2 2" xfId="7165" xr:uid="{00000000-0005-0000-0000-0000111C0000}"/>
    <cellStyle name="Currency 5 2 2 2 3 2 3" xfId="7166" xr:uid="{00000000-0005-0000-0000-0000121C0000}"/>
    <cellStyle name="Currency 5 2 2 2 3 3" xfId="7167" xr:uid="{00000000-0005-0000-0000-0000131C0000}"/>
    <cellStyle name="Currency 5 2 2 2 3 4" xfId="7168" xr:uid="{00000000-0005-0000-0000-0000141C0000}"/>
    <cellStyle name="Currency 5 2 2 2 4" xfId="7169" xr:uid="{00000000-0005-0000-0000-0000151C0000}"/>
    <cellStyle name="Currency 5 2 2 2 4 2" xfId="7170" xr:uid="{00000000-0005-0000-0000-0000161C0000}"/>
    <cellStyle name="Currency 5 2 2 2 4 3" xfId="7171" xr:uid="{00000000-0005-0000-0000-0000171C0000}"/>
    <cellStyle name="Currency 5 2 2 2 5" xfId="7172" xr:uid="{00000000-0005-0000-0000-0000181C0000}"/>
    <cellStyle name="Currency 5 2 2 2 6" xfId="7173" xr:uid="{00000000-0005-0000-0000-0000191C0000}"/>
    <cellStyle name="Currency 5 2 2 3" xfId="7174" xr:uid="{00000000-0005-0000-0000-00001A1C0000}"/>
    <cellStyle name="Currency 5 2 2 4" xfId="7175" xr:uid="{00000000-0005-0000-0000-00001B1C0000}"/>
    <cellStyle name="Currency 5 2 2 4 2" xfId="7176" xr:uid="{00000000-0005-0000-0000-00001C1C0000}"/>
    <cellStyle name="Currency 5 2 2 4 2 2" xfId="7177" xr:uid="{00000000-0005-0000-0000-00001D1C0000}"/>
    <cellStyle name="Currency 5 2 2 4 2 2 2" xfId="7178" xr:uid="{00000000-0005-0000-0000-00001E1C0000}"/>
    <cellStyle name="Currency 5 2 2 4 2 2 3" xfId="7179" xr:uid="{00000000-0005-0000-0000-00001F1C0000}"/>
    <cellStyle name="Currency 5 2 2 4 2 3" xfId="7180" xr:uid="{00000000-0005-0000-0000-0000201C0000}"/>
    <cellStyle name="Currency 5 2 2 4 2 4" xfId="7181" xr:uid="{00000000-0005-0000-0000-0000211C0000}"/>
    <cellStyle name="Currency 5 2 2 4 3" xfId="7182" xr:uid="{00000000-0005-0000-0000-0000221C0000}"/>
    <cellStyle name="Currency 5 2 2 4 3 2" xfId="7183" xr:uid="{00000000-0005-0000-0000-0000231C0000}"/>
    <cellStyle name="Currency 5 2 2 4 3 3" xfId="7184" xr:uid="{00000000-0005-0000-0000-0000241C0000}"/>
    <cellStyle name="Currency 5 2 2 4 4" xfId="7185" xr:uid="{00000000-0005-0000-0000-0000251C0000}"/>
    <cellStyle name="Currency 5 2 2 4 5" xfId="7186" xr:uid="{00000000-0005-0000-0000-0000261C0000}"/>
    <cellStyle name="Currency 5 2 2 5" xfId="7187" xr:uid="{00000000-0005-0000-0000-0000271C0000}"/>
    <cellStyle name="Currency 5 2 2 5 2" xfId="7188" xr:uid="{00000000-0005-0000-0000-0000281C0000}"/>
    <cellStyle name="Currency 5 2 2 5 2 2" xfId="7189" xr:uid="{00000000-0005-0000-0000-0000291C0000}"/>
    <cellStyle name="Currency 5 2 2 5 2 3" xfId="7190" xr:uid="{00000000-0005-0000-0000-00002A1C0000}"/>
    <cellStyle name="Currency 5 2 2 5 3" xfId="7191" xr:uid="{00000000-0005-0000-0000-00002B1C0000}"/>
    <cellStyle name="Currency 5 2 2 5 4" xfId="7192" xr:uid="{00000000-0005-0000-0000-00002C1C0000}"/>
    <cellStyle name="Currency 5 2 2 6" xfId="7193" xr:uid="{00000000-0005-0000-0000-00002D1C0000}"/>
    <cellStyle name="Currency 5 2 2 6 2" xfId="7194" xr:uid="{00000000-0005-0000-0000-00002E1C0000}"/>
    <cellStyle name="Currency 5 2 2 6 3" xfId="7195" xr:uid="{00000000-0005-0000-0000-00002F1C0000}"/>
    <cellStyle name="Currency 5 2 2 7" xfId="7196" xr:uid="{00000000-0005-0000-0000-0000301C0000}"/>
    <cellStyle name="Currency 5 2 2 8" xfId="7197" xr:uid="{00000000-0005-0000-0000-0000311C0000}"/>
    <cellStyle name="Currency 5 2 3" xfId="7198" xr:uid="{00000000-0005-0000-0000-0000321C0000}"/>
    <cellStyle name="Currency 5 2 4" xfId="7199" xr:uid="{00000000-0005-0000-0000-0000331C0000}"/>
    <cellStyle name="Currency 5 2 4 2" xfId="7200" xr:uid="{00000000-0005-0000-0000-0000341C0000}"/>
    <cellStyle name="Currency 5 2 4 2 2" xfId="7201" xr:uid="{00000000-0005-0000-0000-0000351C0000}"/>
    <cellStyle name="Currency 5 2 4 2 2 2" xfId="7202" xr:uid="{00000000-0005-0000-0000-0000361C0000}"/>
    <cellStyle name="Currency 5 2 4 2 2 2 2" xfId="7203" xr:uid="{00000000-0005-0000-0000-0000371C0000}"/>
    <cellStyle name="Currency 5 2 4 2 2 2 3" xfId="7204" xr:uid="{00000000-0005-0000-0000-0000381C0000}"/>
    <cellStyle name="Currency 5 2 4 2 2 3" xfId="7205" xr:uid="{00000000-0005-0000-0000-0000391C0000}"/>
    <cellStyle name="Currency 5 2 4 2 2 4" xfId="7206" xr:uid="{00000000-0005-0000-0000-00003A1C0000}"/>
    <cellStyle name="Currency 5 2 4 2 3" xfId="7207" xr:uid="{00000000-0005-0000-0000-00003B1C0000}"/>
    <cellStyle name="Currency 5 2 4 2 3 2" xfId="7208" xr:uid="{00000000-0005-0000-0000-00003C1C0000}"/>
    <cellStyle name="Currency 5 2 4 2 3 3" xfId="7209" xr:uid="{00000000-0005-0000-0000-00003D1C0000}"/>
    <cellStyle name="Currency 5 2 4 2 4" xfId="7210" xr:uid="{00000000-0005-0000-0000-00003E1C0000}"/>
    <cellStyle name="Currency 5 2 4 2 5" xfId="7211" xr:uid="{00000000-0005-0000-0000-00003F1C0000}"/>
    <cellStyle name="Currency 5 2 4 3" xfId="7212" xr:uid="{00000000-0005-0000-0000-0000401C0000}"/>
    <cellStyle name="Currency 5 2 4 3 2" xfId="7213" xr:uid="{00000000-0005-0000-0000-0000411C0000}"/>
    <cellStyle name="Currency 5 2 4 3 2 2" xfId="7214" xr:uid="{00000000-0005-0000-0000-0000421C0000}"/>
    <cellStyle name="Currency 5 2 4 3 2 3" xfId="7215" xr:uid="{00000000-0005-0000-0000-0000431C0000}"/>
    <cellStyle name="Currency 5 2 4 3 3" xfId="7216" xr:uid="{00000000-0005-0000-0000-0000441C0000}"/>
    <cellStyle name="Currency 5 2 4 3 4" xfId="7217" xr:uid="{00000000-0005-0000-0000-0000451C0000}"/>
    <cellStyle name="Currency 5 2 4 4" xfId="7218" xr:uid="{00000000-0005-0000-0000-0000461C0000}"/>
    <cellStyle name="Currency 5 2 4 4 2" xfId="7219" xr:uid="{00000000-0005-0000-0000-0000471C0000}"/>
    <cellStyle name="Currency 5 2 4 4 3" xfId="7220" xr:uid="{00000000-0005-0000-0000-0000481C0000}"/>
    <cellStyle name="Currency 5 2 4 5" xfId="7221" xr:uid="{00000000-0005-0000-0000-0000491C0000}"/>
    <cellStyle name="Currency 5 2 4 6" xfId="7222" xr:uid="{00000000-0005-0000-0000-00004A1C0000}"/>
    <cellStyle name="Currency 5 2 5" xfId="7223" xr:uid="{00000000-0005-0000-0000-00004B1C0000}"/>
    <cellStyle name="Currency 5 2 6" xfId="7224" xr:uid="{00000000-0005-0000-0000-00004C1C0000}"/>
    <cellStyle name="Currency 5 2 6 2" xfId="7225" xr:uid="{00000000-0005-0000-0000-00004D1C0000}"/>
    <cellStyle name="Currency 5 2 6 2 2" xfId="7226" xr:uid="{00000000-0005-0000-0000-00004E1C0000}"/>
    <cellStyle name="Currency 5 2 6 2 2 2" xfId="7227" xr:uid="{00000000-0005-0000-0000-00004F1C0000}"/>
    <cellStyle name="Currency 5 2 6 2 2 3" xfId="7228" xr:uid="{00000000-0005-0000-0000-0000501C0000}"/>
    <cellStyle name="Currency 5 2 6 2 3" xfId="7229" xr:uid="{00000000-0005-0000-0000-0000511C0000}"/>
    <cellStyle name="Currency 5 2 6 2 4" xfId="7230" xr:uid="{00000000-0005-0000-0000-0000521C0000}"/>
    <cellStyle name="Currency 5 2 6 3" xfId="7231" xr:uid="{00000000-0005-0000-0000-0000531C0000}"/>
    <cellStyle name="Currency 5 2 6 3 2" xfId="7232" xr:uid="{00000000-0005-0000-0000-0000541C0000}"/>
    <cellStyle name="Currency 5 2 6 3 3" xfId="7233" xr:uid="{00000000-0005-0000-0000-0000551C0000}"/>
    <cellStyle name="Currency 5 2 6 4" xfId="7234" xr:uid="{00000000-0005-0000-0000-0000561C0000}"/>
    <cellStyle name="Currency 5 2 6 5" xfId="7235" xr:uid="{00000000-0005-0000-0000-0000571C0000}"/>
    <cellStyle name="Currency 5 2 7" xfId="7236" xr:uid="{00000000-0005-0000-0000-0000581C0000}"/>
    <cellStyle name="Currency 5 2 7 2" xfId="7237" xr:uid="{00000000-0005-0000-0000-0000591C0000}"/>
    <cellStyle name="Currency 5 2 7 2 2" xfId="7238" xr:uid="{00000000-0005-0000-0000-00005A1C0000}"/>
    <cellStyle name="Currency 5 2 7 2 3" xfId="7239" xr:uid="{00000000-0005-0000-0000-00005B1C0000}"/>
    <cellStyle name="Currency 5 2 7 3" xfId="7240" xr:uid="{00000000-0005-0000-0000-00005C1C0000}"/>
    <cellStyle name="Currency 5 2 7 4" xfId="7241" xr:uid="{00000000-0005-0000-0000-00005D1C0000}"/>
    <cellStyle name="Currency 5 2 8" xfId="7242" xr:uid="{00000000-0005-0000-0000-00005E1C0000}"/>
    <cellStyle name="Currency 5 2 8 2" xfId="7243" xr:uid="{00000000-0005-0000-0000-00005F1C0000}"/>
    <cellStyle name="Currency 5 2 8 3" xfId="7244" xr:uid="{00000000-0005-0000-0000-0000601C0000}"/>
    <cellStyle name="Currency 5 2 9" xfId="7245" xr:uid="{00000000-0005-0000-0000-0000611C0000}"/>
    <cellStyle name="Currency 5 3" xfId="7246" xr:uid="{00000000-0005-0000-0000-0000621C0000}"/>
    <cellStyle name="Currency 5 3 2" xfId="7247" xr:uid="{00000000-0005-0000-0000-0000631C0000}"/>
    <cellStyle name="Currency 5 3 2 2" xfId="7248" xr:uid="{00000000-0005-0000-0000-0000641C0000}"/>
    <cellStyle name="Currency 5 3 2 2 2" xfId="7249" xr:uid="{00000000-0005-0000-0000-0000651C0000}"/>
    <cellStyle name="Currency 5 3 2 2 2 2" xfId="7250" xr:uid="{00000000-0005-0000-0000-0000661C0000}"/>
    <cellStyle name="Currency 5 3 2 2 2 2 2" xfId="7251" xr:uid="{00000000-0005-0000-0000-0000671C0000}"/>
    <cellStyle name="Currency 5 3 2 2 2 2 3" xfId="7252" xr:uid="{00000000-0005-0000-0000-0000681C0000}"/>
    <cellStyle name="Currency 5 3 2 2 2 3" xfId="7253" xr:uid="{00000000-0005-0000-0000-0000691C0000}"/>
    <cellStyle name="Currency 5 3 2 2 2 4" xfId="7254" xr:uid="{00000000-0005-0000-0000-00006A1C0000}"/>
    <cellStyle name="Currency 5 3 2 2 3" xfId="7255" xr:uid="{00000000-0005-0000-0000-00006B1C0000}"/>
    <cellStyle name="Currency 5 3 2 2 3 2" xfId="7256" xr:uid="{00000000-0005-0000-0000-00006C1C0000}"/>
    <cellStyle name="Currency 5 3 2 2 3 3" xfId="7257" xr:uid="{00000000-0005-0000-0000-00006D1C0000}"/>
    <cellStyle name="Currency 5 3 2 2 4" xfId="7258" xr:uid="{00000000-0005-0000-0000-00006E1C0000}"/>
    <cellStyle name="Currency 5 3 2 2 5" xfId="7259" xr:uid="{00000000-0005-0000-0000-00006F1C0000}"/>
    <cellStyle name="Currency 5 3 2 3" xfId="7260" xr:uid="{00000000-0005-0000-0000-0000701C0000}"/>
    <cellStyle name="Currency 5 3 2 3 2" xfId="7261" xr:uid="{00000000-0005-0000-0000-0000711C0000}"/>
    <cellStyle name="Currency 5 3 2 3 2 2" xfId="7262" xr:uid="{00000000-0005-0000-0000-0000721C0000}"/>
    <cellStyle name="Currency 5 3 2 3 2 3" xfId="7263" xr:uid="{00000000-0005-0000-0000-0000731C0000}"/>
    <cellStyle name="Currency 5 3 2 3 3" xfId="7264" xr:uid="{00000000-0005-0000-0000-0000741C0000}"/>
    <cellStyle name="Currency 5 3 2 3 4" xfId="7265" xr:uid="{00000000-0005-0000-0000-0000751C0000}"/>
    <cellStyle name="Currency 5 3 2 4" xfId="7266" xr:uid="{00000000-0005-0000-0000-0000761C0000}"/>
    <cellStyle name="Currency 5 3 2 4 2" xfId="7267" xr:uid="{00000000-0005-0000-0000-0000771C0000}"/>
    <cellStyle name="Currency 5 3 2 4 3" xfId="7268" xr:uid="{00000000-0005-0000-0000-0000781C0000}"/>
    <cellStyle name="Currency 5 3 2 5" xfId="7269" xr:uid="{00000000-0005-0000-0000-0000791C0000}"/>
    <cellStyle name="Currency 5 3 2 6" xfId="7270" xr:uid="{00000000-0005-0000-0000-00007A1C0000}"/>
    <cellStyle name="Currency 5 3 3" xfId="7271" xr:uid="{00000000-0005-0000-0000-00007B1C0000}"/>
    <cellStyle name="Currency 5 3 4" xfId="7272" xr:uid="{00000000-0005-0000-0000-00007C1C0000}"/>
    <cellStyle name="Currency 5 3 4 2" xfId="7273" xr:uid="{00000000-0005-0000-0000-00007D1C0000}"/>
    <cellStyle name="Currency 5 3 4 2 2" xfId="7274" xr:uid="{00000000-0005-0000-0000-00007E1C0000}"/>
    <cellStyle name="Currency 5 3 4 2 2 2" xfId="7275" xr:uid="{00000000-0005-0000-0000-00007F1C0000}"/>
    <cellStyle name="Currency 5 3 4 2 2 3" xfId="7276" xr:uid="{00000000-0005-0000-0000-0000801C0000}"/>
    <cellStyle name="Currency 5 3 4 2 3" xfId="7277" xr:uid="{00000000-0005-0000-0000-0000811C0000}"/>
    <cellStyle name="Currency 5 3 4 2 4" xfId="7278" xr:uid="{00000000-0005-0000-0000-0000821C0000}"/>
    <cellStyle name="Currency 5 3 4 3" xfId="7279" xr:uid="{00000000-0005-0000-0000-0000831C0000}"/>
    <cellStyle name="Currency 5 3 4 3 2" xfId="7280" xr:uid="{00000000-0005-0000-0000-0000841C0000}"/>
    <cellStyle name="Currency 5 3 4 3 3" xfId="7281" xr:uid="{00000000-0005-0000-0000-0000851C0000}"/>
    <cellStyle name="Currency 5 3 4 4" xfId="7282" xr:uid="{00000000-0005-0000-0000-0000861C0000}"/>
    <cellStyle name="Currency 5 3 4 5" xfId="7283" xr:uid="{00000000-0005-0000-0000-0000871C0000}"/>
    <cellStyle name="Currency 5 3 5" xfId="7284" xr:uid="{00000000-0005-0000-0000-0000881C0000}"/>
    <cellStyle name="Currency 5 3 5 2" xfId="7285" xr:uid="{00000000-0005-0000-0000-0000891C0000}"/>
    <cellStyle name="Currency 5 3 5 2 2" xfId="7286" xr:uid="{00000000-0005-0000-0000-00008A1C0000}"/>
    <cellStyle name="Currency 5 3 5 2 3" xfId="7287" xr:uid="{00000000-0005-0000-0000-00008B1C0000}"/>
    <cellStyle name="Currency 5 3 5 3" xfId="7288" xr:uid="{00000000-0005-0000-0000-00008C1C0000}"/>
    <cellStyle name="Currency 5 3 5 4" xfId="7289" xr:uid="{00000000-0005-0000-0000-00008D1C0000}"/>
    <cellStyle name="Currency 5 3 6" xfId="7290" xr:uid="{00000000-0005-0000-0000-00008E1C0000}"/>
    <cellStyle name="Currency 5 3 6 2" xfId="7291" xr:uid="{00000000-0005-0000-0000-00008F1C0000}"/>
    <cellStyle name="Currency 5 3 6 3" xfId="7292" xr:uid="{00000000-0005-0000-0000-0000901C0000}"/>
    <cellStyle name="Currency 5 3 7" xfId="7293" xr:uid="{00000000-0005-0000-0000-0000911C0000}"/>
    <cellStyle name="Currency 5 3 8" xfId="7294" xr:uid="{00000000-0005-0000-0000-0000921C0000}"/>
    <cellStyle name="Currency 5 4" xfId="7295" xr:uid="{00000000-0005-0000-0000-0000931C0000}"/>
    <cellStyle name="Currency 5 4 2" xfId="7296" xr:uid="{00000000-0005-0000-0000-0000941C0000}"/>
    <cellStyle name="Currency 5 4 2 2" xfId="7297" xr:uid="{00000000-0005-0000-0000-0000951C0000}"/>
    <cellStyle name="Currency 5 4 2 2 2" xfId="7298" xr:uid="{00000000-0005-0000-0000-0000961C0000}"/>
    <cellStyle name="Currency 5 4 2 2 2 2" xfId="7299" xr:uid="{00000000-0005-0000-0000-0000971C0000}"/>
    <cellStyle name="Currency 5 4 2 2 2 3" xfId="7300" xr:uid="{00000000-0005-0000-0000-0000981C0000}"/>
    <cellStyle name="Currency 5 4 2 2 3" xfId="7301" xr:uid="{00000000-0005-0000-0000-0000991C0000}"/>
    <cellStyle name="Currency 5 4 2 2 4" xfId="7302" xr:uid="{00000000-0005-0000-0000-00009A1C0000}"/>
    <cellStyle name="Currency 5 4 2 3" xfId="7303" xr:uid="{00000000-0005-0000-0000-00009B1C0000}"/>
    <cellStyle name="Currency 5 4 2 3 2" xfId="7304" xr:uid="{00000000-0005-0000-0000-00009C1C0000}"/>
    <cellStyle name="Currency 5 4 2 3 3" xfId="7305" xr:uid="{00000000-0005-0000-0000-00009D1C0000}"/>
    <cellStyle name="Currency 5 4 2 4" xfId="7306" xr:uid="{00000000-0005-0000-0000-00009E1C0000}"/>
    <cellStyle name="Currency 5 4 2 5" xfId="7307" xr:uid="{00000000-0005-0000-0000-00009F1C0000}"/>
    <cellStyle name="Currency 5 4 3" xfId="7308" xr:uid="{00000000-0005-0000-0000-0000A01C0000}"/>
    <cellStyle name="Currency 5 4 3 2" xfId="7309" xr:uid="{00000000-0005-0000-0000-0000A11C0000}"/>
    <cellStyle name="Currency 5 4 3 2 2" xfId="7310" xr:uid="{00000000-0005-0000-0000-0000A21C0000}"/>
    <cellStyle name="Currency 5 4 3 2 3" xfId="7311" xr:uid="{00000000-0005-0000-0000-0000A31C0000}"/>
    <cellStyle name="Currency 5 4 3 3" xfId="7312" xr:uid="{00000000-0005-0000-0000-0000A41C0000}"/>
    <cellStyle name="Currency 5 4 3 4" xfId="7313" xr:uid="{00000000-0005-0000-0000-0000A51C0000}"/>
    <cellStyle name="Currency 5 4 4" xfId="7314" xr:uid="{00000000-0005-0000-0000-0000A61C0000}"/>
    <cellStyle name="Currency 5 4 4 2" xfId="7315" xr:uid="{00000000-0005-0000-0000-0000A71C0000}"/>
    <cellStyle name="Currency 5 4 4 3" xfId="7316" xr:uid="{00000000-0005-0000-0000-0000A81C0000}"/>
    <cellStyle name="Currency 5 4 5" xfId="7317" xr:uid="{00000000-0005-0000-0000-0000A91C0000}"/>
    <cellStyle name="Currency 5 4 6" xfId="7318" xr:uid="{00000000-0005-0000-0000-0000AA1C0000}"/>
    <cellStyle name="Currency 5 5" xfId="7319" xr:uid="{00000000-0005-0000-0000-0000AB1C0000}"/>
    <cellStyle name="Currency 5 6" xfId="7320" xr:uid="{00000000-0005-0000-0000-0000AC1C0000}"/>
    <cellStyle name="Currency 5 6 2" xfId="7321" xr:uid="{00000000-0005-0000-0000-0000AD1C0000}"/>
    <cellStyle name="Currency 5 6 2 2" xfId="7322" xr:uid="{00000000-0005-0000-0000-0000AE1C0000}"/>
    <cellStyle name="Currency 5 6 2 2 2" xfId="7323" xr:uid="{00000000-0005-0000-0000-0000AF1C0000}"/>
    <cellStyle name="Currency 5 6 2 2 3" xfId="7324" xr:uid="{00000000-0005-0000-0000-0000B01C0000}"/>
    <cellStyle name="Currency 5 6 2 3" xfId="7325" xr:uid="{00000000-0005-0000-0000-0000B11C0000}"/>
    <cellStyle name="Currency 5 6 2 4" xfId="7326" xr:uid="{00000000-0005-0000-0000-0000B21C0000}"/>
    <cellStyle name="Currency 5 6 3" xfId="7327" xr:uid="{00000000-0005-0000-0000-0000B31C0000}"/>
    <cellStyle name="Currency 5 6 3 2" xfId="7328" xr:uid="{00000000-0005-0000-0000-0000B41C0000}"/>
    <cellStyle name="Currency 5 6 3 3" xfId="7329" xr:uid="{00000000-0005-0000-0000-0000B51C0000}"/>
    <cellStyle name="Currency 5 6 4" xfId="7330" xr:uid="{00000000-0005-0000-0000-0000B61C0000}"/>
    <cellStyle name="Currency 5 6 5" xfId="7331" xr:uid="{00000000-0005-0000-0000-0000B71C0000}"/>
    <cellStyle name="Currency 5 7" xfId="7332" xr:uid="{00000000-0005-0000-0000-0000B81C0000}"/>
    <cellStyle name="Currency 5 7 2" xfId="7333" xr:uid="{00000000-0005-0000-0000-0000B91C0000}"/>
    <cellStyle name="Currency 5 7 2 2" xfId="7334" xr:uid="{00000000-0005-0000-0000-0000BA1C0000}"/>
    <cellStyle name="Currency 5 7 2 3" xfId="7335" xr:uid="{00000000-0005-0000-0000-0000BB1C0000}"/>
    <cellStyle name="Currency 5 7 3" xfId="7336" xr:uid="{00000000-0005-0000-0000-0000BC1C0000}"/>
    <cellStyle name="Currency 5 7 4" xfId="7337" xr:uid="{00000000-0005-0000-0000-0000BD1C0000}"/>
    <cellStyle name="Currency 5 8" xfId="7338" xr:uid="{00000000-0005-0000-0000-0000BE1C0000}"/>
    <cellStyle name="Currency 5 8 2" xfId="7339" xr:uid="{00000000-0005-0000-0000-0000BF1C0000}"/>
    <cellStyle name="Currency 5 8 3" xfId="7340" xr:uid="{00000000-0005-0000-0000-0000C01C0000}"/>
    <cellStyle name="Currency 5 9" xfId="7341" xr:uid="{00000000-0005-0000-0000-0000C11C0000}"/>
    <cellStyle name="Currency 50" xfId="7342" xr:uid="{00000000-0005-0000-0000-0000C21C0000}"/>
    <cellStyle name="Currency 51" xfId="7343" xr:uid="{00000000-0005-0000-0000-0000C31C0000}"/>
    <cellStyle name="Currency 52" xfId="7344" xr:uid="{00000000-0005-0000-0000-0000C41C0000}"/>
    <cellStyle name="Currency 53" xfId="7345" xr:uid="{00000000-0005-0000-0000-0000C51C0000}"/>
    <cellStyle name="Currency 54" xfId="7346" xr:uid="{00000000-0005-0000-0000-0000C61C0000}"/>
    <cellStyle name="Currency 55" xfId="7347" xr:uid="{00000000-0005-0000-0000-0000C71C0000}"/>
    <cellStyle name="Currency 56" xfId="7348" xr:uid="{00000000-0005-0000-0000-0000C81C0000}"/>
    <cellStyle name="Currency 57" xfId="7349" xr:uid="{00000000-0005-0000-0000-0000C91C0000}"/>
    <cellStyle name="Currency 58" xfId="7350" xr:uid="{00000000-0005-0000-0000-0000CA1C0000}"/>
    <cellStyle name="Currency 59" xfId="7351" xr:uid="{00000000-0005-0000-0000-0000CB1C0000}"/>
    <cellStyle name="Currency 6" xfId="7352" xr:uid="{00000000-0005-0000-0000-0000CC1C0000}"/>
    <cellStyle name="Currency 6 2" xfId="7353" xr:uid="{00000000-0005-0000-0000-0000CD1C0000}"/>
    <cellStyle name="Currency 6 2 2" xfId="7354" xr:uid="{00000000-0005-0000-0000-0000CE1C0000}"/>
    <cellStyle name="Currency 6 2 3" xfId="7355" xr:uid="{00000000-0005-0000-0000-0000CF1C0000}"/>
    <cellStyle name="Currency 6 3" xfId="7356" xr:uid="{00000000-0005-0000-0000-0000D01C0000}"/>
    <cellStyle name="Currency 6 4" xfId="7357" xr:uid="{00000000-0005-0000-0000-0000D11C0000}"/>
    <cellStyle name="Currency 6 5" xfId="7358" xr:uid="{00000000-0005-0000-0000-0000D21C0000}"/>
    <cellStyle name="Currency 60" xfId="7359" xr:uid="{00000000-0005-0000-0000-0000D31C0000}"/>
    <cellStyle name="Currency 61" xfId="7360" xr:uid="{00000000-0005-0000-0000-0000D41C0000}"/>
    <cellStyle name="Currency 62" xfId="7361" xr:uid="{00000000-0005-0000-0000-0000D51C0000}"/>
    <cellStyle name="Currency 63" xfId="7362" xr:uid="{00000000-0005-0000-0000-0000D61C0000}"/>
    <cellStyle name="Currency 64" xfId="7363" xr:uid="{00000000-0005-0000-0000-0000D71C0000}"/>
    <cellStyle name="Currency 65" xfId="7364" xr:uid="{00000000-0005-0000-0000-0000D81C0000}"/>
    <cellStyle name="Currency 66" xfId="7365" xr:uid="{00000000-0005-0000-0000-0000D91C0000}"/>
    <cellStyle name="Currency 67" xfId="7366" xr:uid="{00000000-0005-0000-0000-0000DA1C0000}"/>
    <cellStyle name="Currency 68" xfId="7367" xr:uid="{00000000-0005-0000-0000-0000DB1C0000}"/>
    <cellStyle name="Currency 69" xfId="7368" xr:uid="{00000000-0005-0000-0000-0000DC1C0000}"/>
    <cellStyle name="Currency 7" xfId="7369" xr:uid="{00000000-0005-0000-0000-0000DD1C0000}"/>
    <cellStyle name="Currency 7 2" xfId="7370" xr:uid="{00000000-0005-0000-0000-0000DE1C0000}"/>
    <cellStyle name="Currency 7 2 2" xfId="7371" xr:uid="{00000000-0005-0000-0000-0000DF1C0000}"/>
    <cellStyle name="Currency 7 2 3" xfId="7372" xr:uid="{00000000-0005-0000-0000-0000E01C0000}"/>
    <cellStyle name="Currency 7 2 4" xfId="7373" xr:uid="{00000000-0005-0000-0000-0000E11C0000}"/>
    <cellStyle name="Currency 7 2 4 2" xfId="7374" xr:uid="{00000000-0005-0000-0000-0000E21C0000}"/>
    <cellStyle name="Currency 7 2 4 3" xfId="7375" xr:uid="{00000000-0005-0000-0000-0000E31C0000}"/>
    <cellStyle name="Currency 7 3" xfId="7376" xr:uid="{00000000-0005-0000-0000-0000E41C0000}"/>
    <cellStyle name="Currency 7 4" xfId="7377" xr:uid="{00000000-0005-0000-0000-0000E51C0000}"/>
    <cellStyle name="Currency 7 5" xfId="7378" xr:uid="{00000000-0005-0000-0000-0000E61C0000}"/>
    <cellStyle name="Currency 7 6" xfId="7379" xr:uid="{00000000-0005-0000-0000-0000E71C0000}"/>
    <cellStyle name="Currency 7 6 2" xfId="7380" xr:uid="{00000000-0005-0000-0000-0000E81C0000}"/>
    <cellStyle name="Currency 7 6 3" xfId="7381" xr:uid="{00000000-0005-0000-0000-0000E91C0000}"/>
    <cellStyle name="Currency 70" xfId="7382" xr:uid="{00000000-0005-0000-0000-0000EA1C0000}"/>
    <cellStyle name="Currency 71" xfId="7383" xr:uid="{00000000-0005-0000-0000-0000EB1C0000}"/>
    <cellStyle name="Currency 72" xfId="7384" xr:uid="{00000000-0005-0000-0000-0000EC1C0000}"/>
    <cellStyle name="Currency 73" xfId="7385" xr:uid="{00000000-0005-0000-0000-0000ED1C0000}"/>
    <cellStyle name="Currency 74" xfId="7386" xr:uid="{00000000-0005-0000-0000-0000EE1C0000}"/>
    <cellStyle name="Currency 75" xfId="7387" xr:uid="{00000000-0005-0000-0000-0000EF1C0000}"/>
    <cellStyle name="Currency 76" xfId="7388" xr:uid="{00000000-0005-0000-0000-0000F01C0000}"/>
    <cellStyle name="Currency 77" xfId="7389" xr:uid="{00000000-0005-0000-0000-0000F11C0000}"/>
    <cellStyle name="Currency 78" xfId="7390" xr:uid="{00000000-0005-0000-0000-0000F21C0000}"/>
    <cellStyle name="Currency 79" xfId="7391" xr:uid="{00000000-0005-0000-0000-0000F31C0000}"/>
    <cellStyle name="Currency 8" xfId="7392" xr:uid="{00000000-0005-0000-0000-0000F41C0000}"/>
    <cellStyle name="Currency 8 2" xfId="7393" xr:uid="{00000000-0005-0000-0000-0000F51C0000}"/>
    <cellStyle name="Currency 8 2 2" xfId="7394" xr:uid="{00000000-0005-0000-0000-0000F61C0000}"/>
    <cellStyle name="Currency 8 2 3" xfId="7395" xr:uid="{00000000-0005-0000-0000-0000F71C0000}"/>
    <cellStyle name="Currency 8 3" xfId="7396" xr:uid="{00000000-0005-0000-0000-0000F81C0000}"/>
    <cellStyle name="Currency 8 4" xfId="7397" xr:uid="{00000000-0005-0000-0000-0000F91C0000}"/>
    <cellStyle name="Currency 8 5" xfId="7398" xr:uid="{00000000-0005-0000-0000-0000FA1C0000}"/>
    <cellStyle name="Currency 8 6" xfId="7399" xr:uid="{00000000-0005-0000-0000-0000FB1C0000}"/>
    <cellStyle name="Currency 80" xfId="7400" xr:uid="{00000000-0005-0000-0000-0000FC1C0000}"/>
    <cellStyle name="Currency 81" xfId="7401" xr:uid="{00000000-0005-0000-0000-0000FD1C0000}"/>
    <cellStyle name="Currency 82" xfId="7402" xr:uid="{00000000-0005-0000-0000-0000FE1C0000}"/>
    <cellStyle name="Currency 83" xfId="7403" xr:uid="{00000000-0005-0000-0000-0000FF1C0000}"/>
    <cellStyle name="Currency 84" xfId="7404" xr:uid="{00000000-0005-0000-0000-0000001D0000}"/>
    <cellStyle name="Currency 85" xfId="7405" xr:uid="{00000000-0005-0000-0000-0000011D0000}"/>
    <cellStyle name="Currency 86" xfId="7406" xr:uid="{00000000-0005-0000-0000-0000021D0000}"/>
    <cellStyle name="Currency 87" xfId="7407" xr:uid="{00000000-0005-0000-0000-0000031D0000}"/>
    <cellStyle name="Currency 88" xfId="7408" xr:uid="{00000000-0005-0000-0000-0000041D0000}"/>
    <cellStyle name="Currency 89" xfId="7409" xr:uid="{00000000-0005-0000-0000-0000051D0000}"/>
    <cellStyle name="Currency 9" xfId="7410" xr:uid="{00000000-0005-0000-0000-0000061D0000}"/>
    <cellStyle name="Currency 9 2" xfId="7411" xr:uid="{00000000-0005-0000-0000-0000071D0000}"/>
    <cellStyle name="Currency 9 2 2" xfId="7412" xr:uid="{00000000-0005-0000-0000-0000081D0000}"/>
    <cellStyle name="Currency 9 2 3" xfId="7413" xr:uid="{00000000-0005-0000-0000-0000091D0000}"/>
    <cellStyle name="Currency 9 3" xfId="7414" xr:uid="{00000000-0005-0000-0000-00000A1D0000}"/>
    <cellStyle name="Currency 9 4" xfId="7415" xr:uid="{00000000-0005-0000-0000-00000B1D0000}"/>
    <cellStyle name="Currency 9 5" xfId="7416" xr:uid="{00000000-0005-0000-0000-00000C1D0000}"/>
    <cellStyle name="Currency 90" xfId="7417" xr:uid="{00000000-0005-0000-0000-00000D1D0000}"/>
    <cellStyle name="Currency 91" xfId="7418" xr:uid="{00000000-0005-0000-0000-00000E1D0000}"/>
    <cellStyle name="Currency 92" xfId="7419" xr:uid="{00000000-0005-0000-0000-00000F1D0000}"/>
    <cellStyle name="Currency 93" xfId="7420" xr:uid="{00000000-0005-0000-0000-0000101D0000}"/>
    <cellStyle name="Currency 94" xfId="7421" xr:uid="{00000000-0005-0000-0000-0000111D0000}"/>
    <cellStyle name="Currency 95" xfId="7422" xr:uid="{00000000-0005-0000-0000-0000121D0000}"/>
    <cellStyle name="Currency 96" xfId="7423" xr:uid="{00000000-0005-0000-0000-0000131D0000}"/>
    <cellStyle name="Currency 97" xfId="7424" xr:uid="{00000000-0005-0000-0000-0000141D0000}"/>
    <cellStyle name="Currency 98" xfId="7425" xr:uid="{00000000-0005-0000-0000-0000151D0000}"/>
    <cellStyle name="Currency 99" xfId="7426" xr:uid="{00000000-0005-0000-0000-0000161D0000}"/>
    <cellStyle name="Currency(+Credit)" xfId="7427" xr:uid="{00000000-0005-0000-0000-0000171D0000}"/>
    <cellStyle name="Currency0" xfId="7428" xr:uid="{00000000-0005-0000-0000-0000181D0000}"/>
    <cellStyle name="Date" xfId="7429" xr:uid="{00000000-0005-0000-0000-0000191D0000}"/>
    <cellStyle name="Date 2" xfId="7430" xr:uid="{00000000-0005-0000-0000-00001A1D0000}"/>
    <cellStyle name="exceptions" xfId="7431" xr:uid="{00000000-0005-0000-0000-00001B1D0000}"/>
    <cellStyle name="Explanatory Text" xfId="21904" builtinId="53" customBuiltin="1"/>
    <cellStyle name="Explanatory Text 2" xfId="7432" xr:uid="{00000000-0005-0000-0000-00001D1D0000}"/>
    <cellStyle name="Explanatory Text 3" xfId="7433" xr:uid="{00000000-0005-0000-0000-00001E1D0000}"/>
    <cellStyle name="Explanatory Text 4" xfId="7434" xr:uid="{00000000-0005-0000-0000-00001F1D0000}"/>
    <cellStyle name="Explanatory Text 5" xfId="7435" xr:uid="{00000000-0005-0000-0000-0000201D0000}"/>
    <cellStyle name="Fixed" xfId="7436" xr:uid="{00000000-0005-0000-0000-0000211D0000}"/>
    <cellStyle name="FRxAmtStyle" xfId="7437" xr:uid="{00000000-0005-0000-0000-0000221D0000}"/>
    <cellStyle name="FRxAmtStyle 2" xfId="7438" xr:uid="{00000000-0005-0000-0000-0000231D0000}"/>
    <cellStyle name="FRxAmtStyle 2 10" xfId="7439" xr:uid="{00000000-0005-0000-0000-0000241D0000}"/>
    <cellStyle name="FRxAmtStyle 2 2" xfId="7440" xr:uid="{00000000-0005-0000-0000-0000251D0000}"/>
    <cellStyle name="FRxAmtStyle 2 3" xfId="7441" xr:uid="{00000000-0005-0000-0000-0000261D0000}"/>
    <cellStyle name="FRxAmtStyle 3" xfId="7442" xr:uid="{00000000-0005-0000-0000-0000271D0000}"/>
    <cellStyle name="FRxAmtStyle 4" xfId="7443" xr:uid="{00000000-0005-0000-0000-0000281D0000}"/>
    <cellStyle name="FRxAmtStyle 5" xfId="7444" xr:uid="{00000000-0005-0000-0000-0000291D0000}"/>
    <cellStyle name="FRxCurrStyle" xfId="7445" xr:uid="{00000000-0005-0000-0000-00002A1D0000}"/>
    <cellStyle name="FRxCurrStyle 2" xfId="7446" xr:uid="{00000000-0005-0000-0000-00002B1D0000}"/>
    <cellStyle name="FRxPcntStyle" xfId="7447" xr:uid="{00000000-0005-0000-0000-00002C1D0000}"/>
    <cellStyle name="Good" xfId="21895" builtinId="26" customBuiltin="1"/>
    <cellStyle name="Good 2" xfId="7448" xr:uid="{00000000-0005-0000-0000-00002E1D0000}"/>
    <cellStyle name="Good 3" xfId="7449" xr:uid="{00000000-0005-0000-0000-00002F1D0000}"/>
    <cellStyle name="Good 4" xfId="7450" xr:uid="{00000000-0005-0000-0000-0000301D0000}"/>
    <cellStyle name="Good 5" xfId="7451" xr:uid="{00000000-0005-0000-0000-0000311D0000}"/>
    <cellStyle name="Heading 1" xfId="21891" builtinId="16" customBuiltin="1"/>
    <cellStyle name="Heading 1 2" xfId="7452" xr:uid="{00000000-0005-0000-0000-0000331D0000}"/>
    <cellStyle name="Heading 1 3" xfId="7453" xr:uid="{00000000-0005-0000-0000-0000341D0000}"/>
    <cellStyle name="Heading 1 4" xfId="7454" xr:uid="{00000000-0005-0000-0000-0000351D0000}"/>
    <cellStyle name="Heading 1 5" xfId="7455" xr:uid="{00000000-0005-0000-0000-0000361D0000}"/>
    <cellStyle name="Heading 1 6" xfId="7456" xr:uid="{00000000-0005-0000-0000-0000371D0000}"/>
    <cellStyle name="Heading 2" xfId="21892" builtinId="17" customBuiltin="1"/>
    <cellStyle name="Heading 2 2" xfId="7457" xr:uid="{00000000-0005-0000-0000-0000391D0000}"/>
    <cellStyle name="Heading 2 3" xfId="7458" xr:uid="{00000000-0005-0000-0000-00003A1D0000}"/>
    <cellStyle name="Heading 2 4" xfId="7459" xr:uid="{00000000-0005-0000-0000-00003B1D0000}"/>
    <cellStyle name="Heading 2 5" xfId="7460" xr:uid="{00000000-0005-0000-0000-00003C1D0000}"/>
    <cellStyle name="Heading 2 6" xfId="7461" xr:uid="{00000000-0005-0000-0000-00003D1D0000}"/>
    <cellStyle name="Heading 3" xfId="21893" builtinId="18" customBuiltin="1"/>
    <cellStyle name="Heading 3 10" xfId="7462" xr:uid="{00000000-0005-0000-0000-00003F1D0000}"/>
    <cellStyle name="Heading 3 11" xfId="7463" xr:uid="{00000000-0005-0000-0000-0000401D0000}"/>
    <cellStyle name="Heading 3 2" xfId="7464" xr:uid="{00000000-0005-0000-0000-0000411D0000}"/>
    <cellStyle name="Heading 3 3" xfId="7465" xr:uid="{00000000-0005-0000-0000-0000421D0000}"/>
    <cellStyle name="Heading 3 3 2" xfId="7466" xr:uid="{00000000-0005-0000-0000-0000431D0000}"/>
    <cellStyle name="Heading 3 3 3" xfId="7467" xr:uid="{00000000-0005-0000-0000-0000441D0000}"/>
    <cellStyle name="Heading 3 4" xfId="7468" xr:uid="{00000000-0005-0000-0000-0000451D0000}"/>
    <cellStyle name="Heading 3 5" xfId="7469" xr:uid="{00000000-0005-0000-0000-0000461D0000}"/>
    <cellStyle name="Heading 3 6" xfId="7470" xr:uid="{00000000-0005-0000-0000-0000471D0000}"/>
    <cellStyle name="Heading 3 7" xfId="7471" xr:uid="{00000000-0005-0000-0000-0000481D0000}"/>
    <cellStyle name="Heading 3 8" xfId="7472" xr:uid="{00000000-0005-0000-0000-0000491D0000}"/>
    <cellStyle name="Heading 3 9" xfId="7473" xr:uid="{00000000-0005-0000-0000-00004A1D0000}"/>
    <cellStyle name="Heading 4" xfId="21894" builtinId="19" customBuiltin="1"/>
    <cellStyle name="Heading 4 2" xfId="7474" xr:uid="{00000000-0005-0000-0000-00004C1D0000}"/>
    <cellStyle name="Heading 4 3" xfId="7475" xr:uid="{00000000-0005-0000-0000-00004D1D0000}"/>
    <cellStyle name="Heading 4 4" xfId="7476" xr:uid="{00000000-0005-0000-0000-00004E1D0000}"/>
    <cellStyle name="Heading 4 5" xfId="7477" xr:uid="{00000000-0005-0000-0000-00004F1D0000}"/>
    <cellStyle name="Heading 4 6" xfId="7478" xr:uid="{00000000-0005-0000-0000-0000501D0000}"/>
    <cellStyle name="Heading No Underline" xfId="7479" xr:uid="{00000000-0005-0000-0000-0000511D0000}"/>
    <cellStyle name="Heading No Underline 2" xfId="7480" xr:uid="{00000000-0005-0000-0000-0000521D0000}"/>
    <cellStyle name="Heading No Underline 3" xfId="7481" xr:uid="{00000000-0005-0000-0000-0000531D0000}"/>
    <cellStyle name="Heading With Underline" xfId="7482" xr:uid="{00000000-0005-0000-0000-0000541D0000}"/>
    <cellStyle name="Heading With Underline 2" xfId="7483" xr:uid="{00000000-0005-0000-0000-0000551D0000}"/>
    <cellStyle name="Heading With Underline 3" xfId="7484" xr:uid="{00000000-0005-0000-0000-0000561D0000}"/>
    <cellStyle name="HNU" xfId="7485" xr:uid="{00000000-0005-0000-0000-0000571D0000}"/>
    <cellStyle name="Hyperlink" xfId="52" builtinId="8"/>
    <cellStyle name="Hyperlink 2" xfId="7486" xr:uid="{00000000-0005-0000-0000-0000591D0000}"/>
    <cellStyle name="Hyperlink 2 2" xfId="7487" xr:uid="{00000000-0005-0000-0000-00005A1D0000}"/>
    <cellStyle name="Hyperlink 2 3" xfId="7488" xr:uid="{00000000-0005-0000-0000-00005B1D0000}"/>
    <cellStyle name="Hyperlink 2 4" xfId="7489" xr:uid="{00000000-0005-0000-0000-00005C1D0000}"/>
    <cellStyle name="Hyperlink 3" xfId="7490" xr:uid="{00000000-0005-0000-0000-00005D1D0000}"/>
    <cellStyle name="Input" xfId="21898" builtinId="20" customBuiltin="1"/>
    <cellStyle name="Input 2" xfId="7491" xr:uid="{00000000-0005-0000-0000-00005F1D0000}"/>
    <cellStyle name="Input 3" xfId="7492" xr:uid="{00000000-0005-0000-0000-0000601D0000}"/>
    <cellStyle name="Input 4" xfId="7493" xr:uid="{00000000-0005-0000-0000-0000611D0000}"/>
    <cellStyle name="Input 5" xfId="7494" xr:uid="{00000000-0005-0000-0000-0000621D0000}"/>
    <cellStyle name="Input 5 2" xfId="7495" xr:uid="{00000000-0005-0000-0000-0000631D0000}"/>
    <cellStyle name="Input 5 2 2" xfId="7496" xr:uid="{00000000-0005-0000-0000-0000641D0000}"/>
    <cellStyle name="Input 5 3" xfId="7497" xr:uid="{00000000-0005-0000-0000-0000651D0000}"/>
    <cellStyle name="Input 5 3 2" xfId="7498" xr:uid="{00000000-0005-0000-0000-0000661D0000}"/>
    <cellStyle name="Input 5 4" xfId="7499" xr:uid="{00000000-0005-0000-0000-0000671D0000}"/>
    <cellStyle name="Input 5 4 2" xfId="7500" xr:uid="{00000000-0005-0000-0000-0000681D0000}"/>
    <cellStyle name="Input 5 5" xfId="7501" xr:uid="{00000000-0005-0000-0000-0000691D0000}"/>
    <cellStyle name="Input 5 5 2" xfId="7502" xr:uid="{00000000-0005-0000-0000-00006A1D0000}"/>
    <cellStyle name="Input 5 6" xfId="7503" xr:uid="{00000000-0005-0000-0000-00006B1D0000}"/>
    <cellStyle name="Input Cells_EXTERNAL" xfId="7504" xr:uid="{00000000-0005-0000-0000-00006C1D0000}"/>
    <cellStyle name="input highlight" xfId="7505" xr:uid="{00000000-0005-0000-0000-00006D1D0000}"/>
    <cellStyle name="input highlight 2" xfId="7506" xr:uid="{00000000-0005-0000-0000-00006E1D0000}"/>
    <cellStyle name="LineItemPrompt" xfId="7507" xr:uid="{00000000-0005-0000-0000-00006F1D0000}"/>
    <cellStyle name="LineItemValue" xfId="7508" xr:uid="{00000000-0005-0000-0000-0000701D0000}"/>
    <cellStyle name="Linked Cell" xfId="21901" builtinId="24" customBuiltin="1"/>
    <cellStyle name="Linked Cell 2" xfId="7509" xr:uid="{00000000-0005-0000-0000-0000721D0000}"/>
    <cellStyle name="Linked Cell 3" xfId="7510" xr:uid="{00000000-0005-0000-0000-0000731D0000}"/>
    <cellStyle name="Linked Cell 4" xfId="7511" xr:uid="{00000000-0005-0000-0000-0000741D0000}"/>
    <cellStyle name="Linked Cell 5" xfId="7512" xr:uid="{00000000-0005-0000-0000-0000751D0000}"/>
    <cellStyle name="Manual-Input" xfId="7513" xr:uid="{00000000-0005-0000-0000-0000761D0000}"/>
    <cellStyle name="MonthHeader" xfId="7514" xr:uid="{00000000-0005-0000-0000-0000771D0000}"/>
    <cellStyle name="Neutral" xfId="21897" builtinId="28" customBuiltin="1"/>
    <cellStyle name="Neutral 2" xfId="7515" xr:uid="{00000000-0005-0000-0000-0000791D0000}"/>
    <cellStyle name="Neutral 3" xfId="7516" xr:uid="{00000000-0005-0000-0000-00007A1D0000}"/>
    <cellStyle name="Neutral 4" xfId="7517" xr:uid="{00000000-0005-0000-0000-00007B1D0000}"/>
    <cellStyle name="Neutral 5" xfId="7518" xr:uid="{00000000-0005-0000-0000-00007C1D0000}"/>
    <cellStyle name="Normal" xfId="0" builtinId="0"/>
    <cellStyle name="Normal 10" xfId="7519" xr:uid="{00000000-0005-0000-0000-00007E1D0000}"/>
    <cellStyle name="Normal 10 10" xfId="7520" xr:uid="{00000000-0005-0000-0000-00007F1D0000}"/>
    <cellStyle name="Normal 10 11" xfId="7521" xr:uid="{00000000-0005-0000-0000-0000801D0000}"/>
    <cellStyle name="Normal 10 2" xfId="7522" xr:uid="{00000000-0005-0000-0000-0000811D0000}"/>
    <cellStyle name="Normal 10 2 2" xfId="7523" xr:uid="{00000000-0005-0000-0000-0000821D0000}"/>
    <cellStyle name="Normal 10 2 2 2" xfId="7524" xr:uid="{00000000-0005-0000-0000-0000831D0000}"/>
    <cellStyle name="Normal 10 2 3" xfId="7525" xr:uid="{00000000-0005-0000-0000-0000841D0000}"/>
    <cellStyle name="Normal 10 3" xfId="7526" xr:uid="{00000000-0005-0000-0000-0000851D0000}"/>
    <cellStyle name="Normal 10 3 10" xfId="7527" xr:uid="{00000000-0005-0000-0000-0000861D0000}"/>
    <cellStyle name="Normal 10 3 2" xfId="7528" xr:uid="{00000000-0005-0000-0000-0000871D0000}"/>
    <cellStyle name="Normal 10 3 2 2" xfId="7529" xr:uid="{00000000-0005-0000-0000-0000881D0000}"/>
    <cellStyle name="Normal 10 3 2 2 2" xfId="7530" xr:uid="{00000000-0005-0000-0000-0000891D0000}"/>
    <cellStyle name="Normal 10 3 2 2 2 2" xfId="7531" xr:uid="{00000000-0005-0000-0000-00008A1D0000}"/>
    <cellStyle name="Normal 10 3 2 2 2 2 2" xfId="7532" xr:uid="{00000000-0005-0000-0000-00008B1D0000}"/>
    <cellStyle name="Normal 10 3 2 2 2 2 2 2" xfId="7533" xr:uid="{00000000-0005-0000-0000-00008C1D0000}"/>
    <cellStyle name="Normal 10 3 2 2 2 2 2 2 2" xfId="7534" xr:uid="{00000000-0005-0000-0000-00008D1D0000}"/>
    <cellStyle name="Normal 10 3 2 2 2 2 2 2 3" xfId="7535" xr:uid="{00000000-0005-0000-0000-00008E1D0000}"/>
    <cellStyle name="Normal 10 3 2 2 2 2 2 3" xfId="7536" xr:uid="{00000000-0005-0000-0000-00008F1D0000}"/>
    <cellStyle name="Normal 10 3 2 2 2 2 2 4" xfId="7537" xr:uid="{00000000-0005-0000-0000-0000901D0000}"/>
    <cellStyle name="Normal 10 3 2 2 2 2 3" xfId="7538" xr:uid="{00000000-0005-0000-0000-0000911D0000}"/>
    <cellStyle name="Normal 10 3 2 2 2 2 3 2" xfId="7539" xr:uid="{00000000-0005-0000-0000-0000921D0000}"/>
    <cellStyle name="Normal 10 3 2 2 2 2 3 3" xfId="7540" xr:uid="{00000000-0005-0000-0000-0000931D0000}"/>
    <cellStyle name="Normal 10 3 2 2 2 2 4" xfId="7541" xr:uid="{00000000-0005-0000-0000-0000941D0000}"/>
    <cellStyle name="Normal 10 3 2 2 2 2 5" xfId="7542" xr:uid="{00000000-0005-0000-0000-0000951D0000}"/>
    <cellStyle name="Normal 10 3 2 2 2 3" xfId="7543" xr:uid="{00000000-0005-0000-0000-0000961D0000}"/>
    <cellStyle name="Normal 10 3 2 2 2 3 2" xfId="7544" xr:uid="{00000000-0005-0000-0000-0000971D0000}"/>
    <cellStyle name="Normal 10 3 2 2 2 3 2 2" xfId="7545" xr:uid="{00000000-0005-0000-0000-0000981D0000}"/>
    <cellStyle name="Normal 10 3 2 2 2 3 2 3" xfId="7546" xr:uid="{00000000-0005-0000-0000-0000991D0000}"/>
    <cellStyle name="Normal 10 3 2 2 2 3 3" xfId="7547" xr:uid="{00000000-0005-0000-0000-00009A1D0000}"/>
    <cellStyle name="Normal 10 3 2 2 2 3 4" xfId="7548" xr:uid="{00000000-0005-0000-0000-00009B1D0000}"/>
    <cellStyle name="Normal 10 3 2 2 2 4" xfId="7549" xr:uid="{00000000-0005-0000-0000-00009C1D0000}"/>
    <cellStyle name="Normal 10 3 2 2 2 4 2" xfId="7550" xr:uid="{00000000-0005-0000-0000-00009D1D0000}"/>
    <cellStyle name="Normal 10 3 2 2 2 4 3" xfId="7551" xr:uid="{00000000-0005-0000-0000-00009E1D0000}"/>
    <cellStyle name="Normal 10 3 2 2 2 5" xfId="7552" xr:uid="{00000000-0005-0000-0000-00009F1D0000}"/>
    <cellStyle name="Normal 10 3 2 2 2 6" xfId="7553" xr:uid="{00000000-0005-0000-0000-0000A01D0000}"/>
    <cellStyle name="Normal 10 3 2 2 3" xfId="7554" xr:uid="{00000000-0005-0000-0000-0000A11D0000}"/>
    <cellStyle name="Normal 10 3 2 2 3 2" xfId="7555" xr:uid="{00000000-0005-0000-0000-0000A21D0000}"/>
    <cellStyle name="Normal 10 3 2 2 3 2 2" xfId="7556" xr:uid="{00000000-0005-0000-0000-0000A31D0000}"/>
    <cellStyle name="Normal 10 3 2 2 3 2 2 2" xfId="7557" xr:uid="{00000000-0005-0000-0000-0000A41D0000}"/>
    <cellStyle name="Normal 10 3 2 2 3 2 2 3" xfId="7558" xr:uid="{00000000-0005-0000-0000-0000A51D0000}"/>
    <cellStyle name="Normal 10 3 2 2 3 2 3" xfId="7559" xr:uid="{00000000-0005-0000-0000-0000A61D0000}"/>
    <cellStyle name="Normal 10 3 2 2 3 2 4" xfId="7560" xr:uid="{00000000-0005-0000-0000-0000A71D0000}"/>
    <cellStyle name="Normal 10 3 2 2 3 3" xfId="7561" xr:uid="{00000000-0005-0000-0000-0000A81D0000}"/>
    <cellStyle name="Normal 10 3 2 2 3 3 2" xfId="7562" xr:uid="{00000000-0005-0000-0000-0000A91D0000}"/>
    <cellStyle name="Normal 10 3 2 2 3 3 3" xfId="7563" xr:uid="{00000000-0005-0000-0000-0000AA1D0000}"/>
    <cellStyle name="Normal 10 3 2 2 3 4" xfId="7564" xr:uid="{00000000-0005-0000-0000-0000AB1D0000}"/>
    <cellStyle name="Normal 10 3 2 2 3 5" xfId="7565" xr:uid="{00000000-0005-0000-0000-0000AC1D0000}"/>
    <cellStyle name="Normal 10 3 2 2 4" xfId="7566" xr:uid="{00000000-0005-0000-0000-0000AD1D0000}"/>
    <cellStyle name="Normal 10 3 2 2 4 2" xfId="7567" xr:uid="{00000000-0005-0000-0000-0000AE1D0000}"/>
    <cellStyle name="Normal 10 3 2 2 4 2 2" xfId="7568" xr:uid="{00000000-0005-0000-0000-0000AF1D0000}"/>
    <cellStyle name="Normal 10 3 2 2 4 2 3" xfId="7569" xr:uid="{00000000-0005-0000-0000-0000B01D0000}"/>
    <cellStyle name="Normal 10 3 2 2 4 3" xfId="7570" xr:uid="{00000000-0005-0000-0000-0000B11D0000}"/>
    <cellStyle name="Normal 10 3 2 2 4 4" xfId="7571" xr:uid="{00000000-0005-0000-0000-0000B21D0000}"/>
    <cellStyle name="Normal 10 3 2 2 5" xfId="7572" xr:uid="{00000000-0005-0000-0000-0000B31D0000}"/>
    <cellStyle name="Normal 10 3 2 2 5 2" xfId="7573" xr:uid="{00000000-0005-0000-0000-0000B41D0000}"/>
    <cellStyle name="Normal 10 3 2 2 5 3" xfId="7574" xr:uid="{00000000-0005-0000-0000-0000B51D0000}"/>
    <cellStyle name="Normal 10 3 2 2 6" xfId="7575" xr:uid="{00000000-0005-0000-0000-0000B61D0000}"/>
    <cellStyle name="Normal 10 3 2 2 7" xfId="7576" xr:uid="{00000000-0005-0000-0000-0000B71D0000}"/>
    <cellStyle name="Normal 10 3 2 3" xfId="7577" xr:uid="{00000000-0005-0000-0000-0000B81D0000}"/>
    <cellStyle name="Normal 10 3 2 3 2" xfId="7578" xr:uid="{00000000-0005-0000-0000-0000B91D0000}"/>
    <cellStyle name="Normal 10 3 2 3 2 2" xfId="7579" xr:uid="{00000000-0005-0000-0000-0000BA1D0000}"/>
    <cellStyle name="Normal 10 3 2 3 2 2 2" xfId="7580" xr:uid="{00000000-0005-0000-0000-0000BB1D0000}"/>
    <cellStyle name="Normal 10 3 2 3 2 2 2 2" xfId="7581" xr:uid="{00000000-0005-0000-0000-0000BC1D0000}"/>
    <cellStyle name="Normal 10 3 2 3 2 2 2 2 2" xfId="7582" xr:uid="{00000000-0005-0000-0000-0000BD1D0000}"/>
    <cellStyle name="Normal 10 3 2 3 2 2 2 2 3" xfId="7583" xr:uid="{00000000-0005-0000-0000-0000BE1D0000}"/>
    <cellStyle name="Normal 10 3 2 3 2 2 2 3" xfId="7584" xr:uid="{00000000-0005-0000-0000-0000BF1D0000}"/>
    <cellStyle name="Normal 10 3 2 3 2 2 2 4" xfId="7585" xr:uid="{00000000-0005-0000-0000-0000C01D0000}"/>
    <cellStyle name="Normal 10 3 2 3 2 2 3" xfId="7586" xr:uid="{00000000-0005-0000-0000-0000C11D0000}"/>
    <cellStyle name="Normal 10 3 2 3 2 2 3 2" xfId="7587" xr:uid="{00000000-0005-0000-0000-0000C21D0000}"/>
    <cellStyle name="Normal 10 3 2 3 2 2 3 3" xfId="7588" xr:uid="{00000000-0005-0000-0000-0000C31D0000}"/>
    <cellStyle name="Normal 10 3 2 3 2 2 4" xfId="7589" xr:uid="{00000000-0005-0000-0000-0000C41D0000}"/>
    <cellStyle name="Normal 10 3 2 3 2 2 5" xfId="7590" xr:uid="{00000000-0005-0000-0000-0000C51D0000}"/>
    <cellStyle name="Normal 10 3 2 3 2 3" xfId="7591" xr:uid="{00000000-0005-0000-0000-0000C61D0000}"/>
    <cellStyle name="Normal 10 3 2 3 2 3 2" xfId="7592" xr:uid="{00000000-0005-0000-0000-0000C71D0000}"/>
    <cellStyle name="Normal 10 3 2 3 2 3 2 2" xfId="7593" xr:uid="{00000000-0005-0000-0000-0000C81D0000}"/>
    <cellStyle name="Normal 10 3 2 3 2 3 2 3" xfId="7594" xr:uid="{00000000-0005-0000-0000-0000C91D0000}"/>
    <cellStyle name="Normal 10 3 2 3 2 3 3" xfId="7595" xr:uid="{00000000-0005-0000-0000-0000CA1D0000}"/>
    <cellStyle name="Normal 10 3 2 3 2 3 4" xfId="7596" xr:uid="{00000000-0005-0000-0000-0000CB1D0000}"/>
    <cellStyle name="Normal 10 3 2 3 2 4" xfId="7597" xr:uid="{00000000-0005-0000-0000-0000CC1D0000}"/>
    <cellStyle name="Normal 10 3 2 3 2 4 2" xfId="7598" xr:uid="{00000000-0005-0000-0000-0000CD1D0000}"/>
    <cellStyle name="Normal 10 3 2 3 2 4 3" xfId="7599" xr:uid="{00000000-0005-0000-0000-0000CE1D0000}"/>
    <cellStyle name="Normal 10 3 2 3 2 5" xfId="7600" xr:uid="{00000000-0005-0000-0000-0000CF1D0000}"/>
    <cellStyle name="Normal 10 3 2 3 2 6" xfId="7601" xr:uid="{00000000-0005-0000-0000-0000D01D0000}"/>
    <cellStyle name="Normal 10 3 2 3 3" xfId="7602" xr:uid="{00000000-0005-0000-0000-0000D11D0000}"/>
    <cellStyle name="Normal 10 3 2 3 3 2" xfId="7603" xr:uid="{00000000-0005-0000-0000-0000D21D0000}"/>
    <cellStyle name="Normal 10 3 2 3 3 2 2" xfId="7604" xr:uid="{00000000-0005-0000-0000-0000D31D0000}"/>
    <cellStyle name="Normal 10 3 2 3 3 2 2 2" xfId="7605" xr:uid="{00000000-0005-0000-0000-0000D41D0000}"/>
    <cellStyle name="Normal 10 3 2 3 3 2 2 3" xfId="7606" xr:uid="{00000000-0005-0000-0000-0000D51D0000}"/>
    <cellStyle name="Normal 10 3 2 3 3 2 3" xfId="7607" xr:uid="{00000000-0005-0000-0000-0000D61D0000}"/>
    <cellStyle name="Normal 10 3 2 3 3 2 4" xfId="7608" xr:uid="{00000000-0005-0000-0000-0000D71D0000}"/>
    <cellStyle name="Normal 10 3 2 3 3 3" xfId="7609" xr:uid="{00000000-0005-0000-0000-0000D81D0000}"/>
    <cellStyle name="Normal 10 3 2 3 3 3 2" xfId="7610" xr:uid="{00000000-0005-0000-0000-0000D91D0000}"/>
    <cellStyle name="Normal 10 3 2 3 3 3 3" xfId="7611" xr:uid="{00000000-0005-0000-0000-0000DA1D0000}"/>
    <cellStyle name="Normal 10 3 2 3 3 4" xfId="7612" xr:uid="{00000000-0005-0000-0000-0000DB1D0000}"/>
    <cellStyle name="Normal 10 3 2 3 3 5" xfId="7613" xr:uid="{00000000-0005-0000-0000-0000DC1D0000}"/>
    <cellStyle name="Normal 10 3 2 3 4" xfId="7614" xr:uid="{00000000-0005-0000-0000-0000DD1D0000}"/>
    <cellStyle name="Normal 10 3 2 3 4 2" xfId="7615" xr:uid="{00000000-0005-0000-0000-0000DE1D0000}"/>
    <cellStyle name="Normal 10 3 2 3 4 2 2" xfId="7616" xr:uid="{00000000-0005-0000-0000-0000DF1D0000}"/>
    <cellStyle name="Normal 10 3 2 3 4 2 3" xfId="7617" xr:uid="{00000000-0005-0000-0000-0000E01D0000}"/>
    <cellStyle name="Normal 10 3 2 3 4 3" xfId="7618" xr:uid="{00000000-0005-0000-0000-0000E11D0000}"/>
    <cellStyle name="Normal 10 3 2 3 4 4" xfId="7619" xr:uid="{00000000-0005-0000-0000-0000E21D0000}"/>
    <cellStyle name="Normal 10 3 2 3 5" xfId="7620" xr:uid="{00000000-0005-0000-0000-0000E31D0000}"/>
    <cellStyle name="Normal 10 3 2 3 5 2" xfId="7621" xr:uid="{00000000-0005-0000-0000-0000E41D0000}"/>
    <cellStyle name="Normal 10 3 2 3 5 3" xfId="7622" xr:uid="{00000000-0005-0000-0000-0000E51D0000}"/>
    <cellStyle name="Normal 10 3 2 3 6" xfId="7623" xr:uid="{00000000-0005-0000-0000-0000E61D0000}"/>
    <cellStyle name="Normal 10 3 2 3 7" xfId="7624" xr:uid="{00000000-0005-0000-0000-0000E71D0000}"/>
    <cellStyle name="Normal 10 3 2 4" xfId="7625" xr:uid="{00000000-0005-0000-0000-0000E81D0000}"/>
    <cellStyle name="Normal 10 3 2 4 2" xfId="7626" xr:uid="{00000000-0005-0000-0000-0000E91D0000}"/>
    <cellStyle name="Normal 10 3 2 4 2 2" xfId="7627" xr:uid="{00000000-0005-0000-0000-0000EA1D0000}"/>
    <cellStyle name="Normal 10 3 2 4 2 2 2" xfId="7628" xr:uid="{00000000-0005-0000-0000-0000EB1D0000}"/>
    <cellStyle name="Normal 10 3 2 4 2 2 2 2" xfId="7629" xr:uid="{00000000-0005-0000-0000-0000EC1D0000}"/>
    <cellStyle name="Normal 10 3 2 4 2 2 2 3" xfId="7630" xr:uid="{00000000-0005-0000-0000-0000ED1D0000}"/>
    <cellStyle name="Normal 10 3 2 4 2 2 3" xfId="7631" xr:uid="{00000000-0005-0000-0000-0000EE1D0000}"/>
    <cellStyle name="Normal 10 3 2 4 2 2 4" xfId="7632" xr:uid="{00000000-0005-0000-0000-0000EF1D0000}"/>
    <cellStyle name="Normal 10 3 2 4 2 3" xfId="7633" xr:uid="{00000000-0005-0000-0000-0000F01D0000}"/>
    <cellStyle name="Normal 10 3 2 4 2 3 2" xfId="7634" xr:uid="{00000000-0005-0000-0000-0000F11D0000}"/>
    <cellStyle name="Normal 10 3 2 4 2 3 3" xfId="7635" xr:uid="{00000000-0005-0000-0000-0000F21D0000}"/>
    <cellStyle name="Normal 10 3 2 4 2 4" xfId="7636" xr:uid="{00000000-0005-0000-0000-0000F31D0000}"/>
    <cellStyle name="Normal 10 3 2 4 2 5" xfId="7637" xr:uid="{00000000-0005-0000-0000-0000F41D0000}"/>
    <cellStyle name="Normal 10 3 2 4 3" xfId="7638" xr:uid="{00000000-0005-0000-0000-0000F51D0000}"/>
    <cellStyle name="Normal 10 3 2 4 3 2" xfId="7639" xr:uid="{00000000-0005-0000-0000-0000F61D0000}"/>
    <cellStyle name="Normal 10 3 2 4 3 2 2" xfId="7640" xr:uid="{00000000-0005-0000-0000-0000F71D0000}"/>
    <cellStyle name="Normal 10 3 2 4 3 2 3" xfId="7641" xr:uid="{00000000-0005-0000-0000-0000F81D0000}"/>
    <cellStyle name="Normal 10 3 2 4 3 3" xfId="7642" xr:uid="{00000000-0005-0000-0000-0000F91D0000}"/>
    <cellStyle name="Normal 10 3 2 4 3 4" xfId="7643" xr:uid="{00000000-0005-0000-0000-0000FA1D0000}"/>
    <cellStyle name="Normal 10 3 2 4 4" xfId="7644" xr:uid="{00000000-0005-0000-0000-0000FB1D0000}"/>
    <cellStyle name="Normal 10 3 2 4 4 2" xfId="7645" xr:uid="{00000000-0005-0000-0000-0000FC1D0000}"/>
    <cellStyle name="Normal 10 3 2 4 4 3" xfId="7646" xr:uid="{00000000-0005-0000-0000-0000FD1D0000}"/>
    <cellStyle name="Normal 10 3 2 4 5" xfId="7647" xr:uid="{00000000-0005-0000-0000-0000FE1D0000}"/>
    <cellStyle name="Normal 10 3 2 4 6" xfId="7648" xr:uid="{00000000-0005-0000-0000-0000FF1D0000}"/>
    <cellStyle name="Normal 10 3 2 5" xfId="7649" xr:uid="{00000000-0005-0000-0000-0000001E0000}"/>
    <cellStyle name="Normal 10 3 2 5 2" xfId="7650" xr:uid="{00000000-0005-0000-0000-0000011E0000}"/>
    <cellStyle name="Normal 10 3 2 5 2 2" xfId="7651" xr:uid="{00000000-0005-0000-0000-0000021E0000}"/>
    <cellStyle name="Normal 10 3 2 5 2 2 2" xfId="7652" xr:uid="{00000000-0005-0000-0000-0000031E0000}"/>
    <cellStyle name="Normal 10 3 2 5 2 2 3" xfId="7653" xr:uid="{00000000-0005-0000-0000-0000041E0000}"/>
    <cellStyle name="Normal 10 3 2 5 2 3" xfId="7654" xr:uid="{00000000-0005-0000-0000-0000051E0000}"/>
    <cellStyle name="Normal 10 3 2 5 2 4" xfId="7655" xr:uid="{00000000-0005-0000-0000-0000061E0000}"/>
    <cellStyle name="Normal 10 3 2 5 3" xfId="7656" xr:uid="{00000000-0005-0000-0000-0000071E0000}"/>
    <cellStyle name="Normal 10 3 2 5 3 2" xfId="7657" xr:uid="{00000000-0005-0000-0000-0000081E0000}"/>
    <cellStyle name="Normal 10 3 2 5 3 3" xfId="7658" xr:uid="{00000000-0005-0000-0000-0000091E0000}"/>
    <cellStyle name="Normal 10 3 2 5 4" xfId="7659" xr:uid="{00000000-0005-0000-0000-00000A1E0000}"/>
    <cellStyle name="Normal 10 3 2 5 5" xfId="7660" xr:uid="{00000000-0005-0000-0000-00000B1E0000}"/>
    <cellStyle name="Normal 10 3 2 6" xfId="7661" xr:uid="{00000000-0005-0000-0000-00000C1E0000}"/>
    <cellStyle name="Normal 10 3 2 6 2" xfId="7662" xr:uid="{00000000-0005-0000-0000-00000D1E0000}"/>
    <cellStyle name="Normal 10 3 2 6 2 2" xfId="7663" xr:uid="{00000000-0005-0000-0000-00000E1E0000}"/>
    <cellStyle name="Normal 10 3 2 6 2 3" xfId="7664" xr:uid="{00000000-0005-0000-0000-00000F1E0000}"/>
    <cellStyle name="Normal 10 3 2 6 3" xfId="7665" xr:uid="{00000000-0005-0000-0000-0000101E0000}"/>
    <cellStyle name="Normal 10 3 2 6 4" xfId="7666" xr:uid="{00000000-0005-0000-0000-0000111E0000}"/>
    <cellStyle name="Normal 10 3 2 7" xfId="7667" xr:uid="{00000000-0005-0000-0000-0000121E0000}"/>
    <cellStyle name="Normal 10 3 2 7 2" xfId="7668" xr:uid="{00000000-0005-0000-0000-0000131E0000}"/>
    <cellStyle name="Normal 10 3 2 7 3" xfId="7669" xr:uid="{00000000-0005-0000-0000-0000141E0000}"/>
    <cellStyle name="Normal 10 3 2 8" xfId="7670" xr:uid="{00000000-0005-0000-0000-0000151E0000}"/>
    <cellStyle name="Normal 10 3 2 9" xfId="7671" xr:uid="{00000000-0005-0000-0000-0000161E0000}"/>
    <cellStyle name="Normal 10 3 3" xfId="7672" xr:uid="{00000000-0005-0000-0000-0000171E0000}"/>
    <cellStyle name="Normal 10 3 3 2" xfId="7673" xr:uid="{00000000-0005-0000-0000-0000181E0000}"/>
    <cellStyle name="Normal 10 3 3 2 2" xfId="7674" xr:uid="{00000000-0005-0000-0000-0000191E0000}"/>
    <cellStyle name="Normal 10 3 3 2 2 2" xfId="7675" xr:uid="{00000000-0005-0000-0000-00001A1E0000}"/>
    <cellStyle name="Normal 10 3 3 2 2 2 2" xfId="7676" xr:uid="{00000000-0005-0000-0000-00001B1E0000}"/>
    <cellStyle name="Normal 10 3 3 2 2 2 2 2" xfId="7677" xr:uid="{00000000-0005-0000-0000-00001C1E0000}"/>
    <cellStyle name="Normal 10 3 3 2 2 2 2 3" xfId="7678" xr:uid="{00000000-0005-0000-0000-00001D1E0000}"/>
    <cellStyle name="Normal 10 3 3 2 2 2 3" xfId="7679" xr:uid="{00000000-0005-0000-0000-00001E1E0000}"/>
    <cellStyle name="Normal 10 3 3 2 2 2 4" xfId="7680" xr:uid="{00000000-0005-0000-0000-00001F1E0000}"/>
    <cellStyle name="Normal 10 3 3 2 2 3" xfId="7681" xr:uid="{00000000-0005-0000-0000-0000201E0000}"/>
    <cellStyle name="Normal 10 3 3 2 2 3 2" xfId="7682" xr:uid="{00000000-0005-0000-0000-0000211E0000}"/>
    <cellStyle name="Normal 10 3 3 2 2 3 3" xfId="7683" xr:uid="{00000000-0005-0000-0000-0000221E0000}"/>
    <cellStyle name="Normal 10 3 3 2 2 4" xfId="7684" xr:uid="{00000000-0005-0000-0000-0000231E0000}"/>
    <cellStyle name="Normal 10 3 3 2 2 5" xfId="7685" xr:uid="{00000000-0005-0000-0000-0000241E0000}"/>
    <cellStyle name="Normal 10 3 3 2 3" xfId="7686" xr:uid="{00000000-0005-0000-0000-0000251E0000}"/>
    <cellStyle name="Normal 10 3 3 2 3 2" xfId="7687" xr:uid="{00000000-0005-0000-0000-0000261E0000}"/>
    <cellStyle name="Normal 10 3 3 2 3 2 2" xfId="7688" xr:uid="{00000000-0005-0000-0000-0000271E0000}"/>
    <cellStyle name="Normal 10 3 3 2 3 2 3" xfId="7689" xr:uid="{00000000-0005-0000-0000-0000281E0000}"/>
    <cellStyle name="Normal 10 3 3 2 3 3" xfId="7690" xr:uid="{00000000-0005-0000-0000-0000291E0000}"/>
    <cellStyle name="Normal 10 3 3 2 3 4" xfId="7691" xr:uid="{00000000-0005-0000-0000-00002A1E0000}"/>
    <cellStyle name="Normal 10 3 3 2 4" xfId="7692" xr:uid="{00000000-0005-0000-0000-00002B1E0000}"/>
    <cellStyle name="Normal 10 3 3 2 4 2" xfId="7693" xr:uid="{00000000-0005-0000-0000-00002C1E0000}"/>
    <cellStyle name="Normal 10 3 3 2 4 3" xfId="7694" xr:uid="{00000000-0005-0000-0000-00002D1E0000}"/>
    <cellStyle name="Normal 10 3 3 2 5" xfId="7695" xr:uid="{00000000-0005-0000-0000-00002E1E0000}"/>
    <cellStyle name="Normal 10 3 3 2 6" xfId="7696" xr:uid="{00000000-0005-0000-0000-00002F1E0000}"/>
    <cellStyle name="Normal 10 3 3 3" xfId="7697" xr:uid="{00000000-0005-0000-0000-0000301E0000}"/>
    <cellStyle name="Normal 10 3 3 3 2" xfId="7698" xr:uid="{00000000-0005-0000-0000-0000311E0000}"/>
    <cellStyle name="Normal 10 3 3 3 2 2" xfId="7699" xr:uid="{00000000-0005-0000-0000-0000321E0000}"/>
    <cellStyle name="Normal 10 3 3 3 2 2 2" xfId="7700" xr:uid="{00000000-0005-0000-0000-0000331E0000}"/>
    <cellStyle name="Normal 10 3 3 3 2 2 3" xfId="7701" xr:uid="{00000000-0005-0000-0000-0000341E0000}"/>
    <cellStyle name="Normal 10 3 3 3 2 3" xfId="7702" xr:uid="{00000000-0005-0000-0000-0000351E0000}"/>
    <cellStyle name="Normal 10 3 3 3 2 4" xfId="7703" xr:uid="{00000000-0005-0000-0000-0000361E0000}"/>
    <cellStyle name="Normal 10 3 3 3 3" xfId="7704" xr:uid="{00000000-0005-0000-0000-0000371E0000}"/>
    <cellStyle name="Normal 10 3 3 3 3 2" xfId="7705" xr:uid="{00000000-0005-0000-0000-0000381E0000}"/>
    <cellStyle name="Normal 10 3 3 3 3 3" xfId="7706" xr:uid="{00000000-0005-0000-0000-0000391E0000}"/>
    <cellStyle name="Normal 10 3 3 3 4" xfId="7707" xr:uid="{00000000-0005-0000-0000-00003A1E0000}"/>
    <cellStyle name="Normal 10 3 3 3 5" xfId="7708" xr:uid="{00000000-0005-0000-0000-00003B1E0000}"/>
    <cellStyle name="Normal 10 3 3 4" xfId="7709" xr:uid="{00000000-0005-0000-0000-00003C1E0000}"/>
    <cellStyle name="Normal 10 3 3 4 2" xfId="7710" xr:uid="{00000000-0005-0000-0000-00003D1E0000}"/>
    <cellStyle name="Normal 10 3 3 4 2 2" xfId="7711" xr:uid="{00000000-0005-0000-0000-00003E1E0000}"/>
    <cellStyle name="Normal 10 3 3 4 2 3" xfId="7712" xr:uid="{00000000-0005-0000-0000-00003F1E0000}"/>
    <cellStyle name="Normal 10 3 3 4 3" xfId="7713" xr:uid="{00000000-0005-0000-0000-0000401E0000}"/>
    <cellStyle name="Normal 10 3 3 4 4" xfId="7714" xr:uid="{00000000-0005-0000-0000-0000411E0000}"/>
    <cellStyle name="Normal 10 3 3 5" xfId="7715" xr:uid="{00000000-0005-0000-0000-0000421E0000}"/>
    <cellStyle name="Normal 10 3 3 5 2" xfId="7716" xr:uid="{00000000-0005-0000-0000-0000431E0000}"/>
    <cellStyle name="Normal 10 3 3 5 3" xfId="7717" xr:uid="{00000000-0005-0000-0000-0000441E0000}"/>
    <cellStyle name="Normal 10 3 3 6" xfId="7718" xr:uid="{00000000-0005-0000-0000-0000451E0000}"/>
    <cellStyle name="Normal 10 3 3 7" xfId="7719" xr:uid="{00000000-0005-0000-0000-0000461E0000}"/>
    <cellStyle name="Normal 10 3 4" xfId="7720" xr:uid="{00000000-0005-0000-0000-0000471E0000}"/>
    <cellStyle name="Normal 10 3 4 2" xfId="7721" xr:uid="{00000000-0005-0000-0000-0000481E0000}"/>
    <cellStyle name="Normal 10 3 4 2 2" xfId="7722" xr:uid="{00000000-0005-0000-0000-0000491E0000}"/>
    <cellStyle name="Normal 10 3 4 2 2 2" xfId="7723" xr:uid="{00000000-0005-0000-0000-00004A1E0000}"/>
    <cellStyle name="Normal 10 3 4 2 2 2 2" xfId="7724" xr:uid="{00000000-0005-0000-0000-00004B1E0000}"/>
    <cellStyle name="Normal 10 3 4 2 2 2 2 2" xfId="7725" xr:uid="{00000000-0005-0000-0000-00004C1E0000}"/>
    <cellStyle name="Normal 10 3 4 2 2 2 2 3" xfId="7726" xr:uid="{00000000-0005-0000-0000-00004D1E0000}"/>
    <cellStyle name="Normal 10 3 4 2 2 2 3" xfId="7727" xr:uid="{00000000-0005-0000-0000-00004E1E0000}"/>
    <cellStyle name="Normal 10 3 4 2 2 2 4" xfId="7728" xr:uid="{00000000-0005-0000-0000-00004F1E0000}"/>
    <cellStyle name="Normal 10 3 4 2 2 3" xfId="7729" xr:uid="{00000000-0005-0000-0000-0000501E0000}"/>
    <cellStyle name="Normal 10 3 4 2 2 3 2" xfId="7730" xr:uid="{00000000-0005-0000-0000-0000511E0000}"/>
    <cellStyle name="Normal 10 3 4 2 2 3 3" xfId="7731" xr:uid="{00000000-0005-0000-0000-0000521E0000}"/>
    <cellStyle name="Normal 10 3 4 2 2 4" xfId="7732" xr:uid="{00000000-0005-0000-0000-0000531E0000}"/>
    <cellStyle name="Normal 10 3 4 2 2 5" xfId="7733" xr:uid="{00000000-0005-0000-0000-0000541E0000}"/>
    <cellStyle name="Normal 10 3 4 2 3" xfId="7734" xr:uid="{00000000-0005-0000-0000-0000551E0000}"/>
    <cellStyle name="Normal 10 3 4 2 3 2" xfId="7735" xr:uid="{00000000-0005-0000-0000-0000561E0000}"/>
    <cellStyle name="Normal 10 3 4 2 3 2 2" xfId="7736" xr:uid="{00000000-0005-0000-0000-0000571E0000}"/>
    <cellStyle name="Normal 10 3 4 2 3 2 3" xfId="7737" xr:uid="{00000000-0005-0000-0000-0000581E0000}"/>
    <cellStyle name="Normal 10 3 4 2 3 3" xfId="7738" xr:uid="{00000000-0005-0000-0000-0000591E0000}"/>
    <cellStyle name="Normal 10 3 4 2 3 4" xfId="7739" xr:uid="{00000000-0005-0000-0000-00005A1E0000}"/>
    <cellStyle name="Normal 10 3 4 2 4" xfId="7740" xr:uid="{00000000-0005-0000-0000-00005B1E0000}"/>
    <cellStyle name="Normal 10 3 4 2 4 2" xfId="7741" xr:uid="{00000000-0005-0000-0000-00005C1E0000}"/>
    <cellStyle name="Normal 10 3 4 2 4 3" xfId="7742" xr:uid="{00000000-0005-0000-0000-00005D1E0000}"/>
    <cellStyle name="Normal 10 3 4 2 5" xfId="7743" xr:uid="{00000000-0005-0000-0000-00005E1E0000}"/>
    <cellStyle name="Normal 10 3 4 2 6" xfId="7744" xr:uid="{00000000-0005-0000-0000-00005F1E0000}"/>
    <cellStyle name="Normal 10 3 4 3" xfId="7745" xr:uid="{00000000-0005-0000-0000-0000601E0000}"/>
    <cellStyle name="Normal 10 3 4 3 2" xfId="7746" xr:uid="{00000000-0005-0000-0000-0000611E0000}"/>
    <cellStyle name="Normal 10 3 4 3 2 2" xfId="7747" xr:uid="{00000000-0005-0000-0000-0000621E0000}"/>
    <cellStyle name="Normal 10 3 4 3 2 2 2" xfId="7748" xr:uid="{00000000-0005-0000-0000-0000631E0000}"/>
    <cellStyle name="Normal 10 3 4 3 2 2 3" xfId="7749" xr:uid="{00000000-0005-0000-0000-0000641E0000}"/>
    <cellStyle name="Normal 10 3 4 3 2 3" xfId="7750" xr:uid="{00000000-0005-0000-0000-0000651E0000}"/>
    <cellStyle name="Normal 10 3 4 3 2 4" xfId="7751" xr:uid="{00000000-0005-0000-0000-0000661E0000}"/>
    <cellStyle name="Normal 10 3 4 3 3" xfId="7752" xr:uid="{00000000-0005-0000-0000-0000671E0000}"/>
    <cellStyle name="Normal 10 3 4 3 3 2" xfId="7753" xr:uid="{00000000-0005-0000-0000-0000681E0000}"/>
    <cellStyle name="Normal 10 3 4 3 3 3" xfId="7754" xr:uid="{00000000-0005-0000-0000-0000691E0000}"/>
    <cellStyle name="Normal 10 3 4 3 4" xfId="7755" xr:uid="{00000000-0005-0000-0000-00006A1E0000}"/>
    <cellStyle name="Normal 10 3 4 3 5" xfId="7756" xr:uid="{00000000-0005-0000-0000-00006B1E0000}"/>
    <cellStyle name="Normal 10 3 4 4" xfId="7757" xr:uid="{00000000-0005-0000-0000-00006C1E0000}"/>
    <cellStyle name="Normal 10 3 4 4 2" xfId="7758" xr:uid="{00000000-0005-0000-0000-00006D1E0000}"/>
    <cellStyle name="Normal 10 3 4 4 2 2" xfId="7759" xr:uid="{00000000-0005-0000-0000-00006E1E0000}"/>
    <cellStyle name="Normal 10 3 4 4 2 3" xfId="7760" xr:uid="{00000000-0005-0000-0000-00006F1E0000}"/>
    <cellStyle name="Normal 10 3 4 4 3" xfId="7761" xr:uid="{00000000-0005-0000-0000-0000701E0000}"/>
    <cellStyle name="Normal 10 3 4 4 4" xfId="7762" xr:uid="{00000000-0005-0000-0000-0000711E0000}"/>
    <cellStyle name="Normal 10 3 4 5" xfId="7763" xr:uid="{00000000-0005-0000-0000-0000721E0000}"/>
    <cellStyle name="Normal 10 3 4 5 2" xfId="7764" xr:uid="{00000000-0005-0000-0000-0000731E0000}"/>
    <cellStyle name="Normal 10 3 4 5 3" xfId="7765" xr:uid="{00000000-0005-0000-0000-0000741E0000}"/>
    <cellStyle name="Normal 10 3 4 6" xfId="7766" xr:uid="{00000000-0005-0000-0000-0000751E0000}"/>
    <cellStyle name="Normal 10 3 4 7" xfId="7767" xr:uid="{00000000-0005-0000-0000-0000761E0000}"/>
    <cellStyle name="Normal 10 3 5" xfId="7768" xr:uid="{00000000-0005-0000-0000-0000771E0000}"/>
    <cellStyle name="Normal 10 3 5 2" xfId="7769" xr:uid="{00000000-0005-0000-0000-0000781E0000}"/>
    <cellStyle name="Normal 10 3 5 2 2" xfId="7770" xr:uid="{00000000-0005-0000-0000-0000791E0000}"/>
    <cellStyle name="Normal 10 3 5 2 2 2" xfId="7771" xr:uid="{00000000-0005-0000-0000-00007A1E0000}"/>
    <cellStyle name="Normal 10 3 5 2 2 2 2" xfId="7772" xr:uid="{00000000-0005-0000-0000-00007B1E0000}"/>
    <cellStyle name="Normal 10 3 5 2 2 2 3" xfId="7773" xr:uid="{00000000-0005-0000-0000-00007C1E0000}"/>
    <cellStyle name="Normal 10 3 5 2 2 3" xfId="7774" xr:uid="{00000000-0005-0000-0000-00007D1E0000}"/>
    <cellStyle name="Normal 10 3 5 2 2 4" xfId="7775" xr:uid="{00000000-0005-0000-0000-00007E1E0000}"/>
    <cellStyle name="Normal 10 3 5 2 3" xfId="7776" xr:uid="{00000000-0005-0000-0000-00007F1E0000}"/>
    <cellStyle name="Normal 10 3 5 2 3 2" xfId="7777" xr:uid="{00000000-0005-0000-0000-0000801E0000}"/>
    <cellStyle name="Normal 10 3 5 2 3 3" xfId="7778" xr:uid="{00000000-0005-0000-0000-0000811E0000}"/>
    <cellStyle name="Normal 10 3 5 2 4" xfId="7779" xr:uid="{00000000-0005-0000-0000-0000821E0000}"/>
    <cellStyle name="Normal 10 3 5 2 5" xfId="7780" xr:uid="{00000000-0005-0000-0000-0000831E0000}"/>
    <cellStyle name="Normal 10 3 5 3" xfId="7781" xr:uid="{00000000-0005-0000-0000-0000841E0000}"/>
    <cellStyle name="Normal 10 3 5 3 2" xfId="7782" xr:uid="{00000000-0005-0000-0000-0000851E0000}"/>
    <cellStyle name="Normal 10 3 5 3 2 2" xfId="7783" xr:uid="{00000000-0005-0000-0000-0000861E0000}"/>
    <cellStyle name="Normal 10 3 5 3 2 3" xfId="7784" xr:uid="{00000000-0005-0000-0000-0000871E0000}"/>
    <cellStyle name="Normal 10 3 5 3 3" xfId="7785" xr:uid="{00000000-0005-0000-0000-0000881E0000}"/>
    <cellStyle name="Normal 10 3 5 3 4" xfId="7786" xr:uid="{00000000-0005-0000-0000-0000891E0000}"/>
    <cellStyle name="Normal 10 3 5 4" xfId="7787" xr:uid="{00000000-0005-0000-0000-00008A1E0000}"/>
    <cellStyle name="Normal 10 3 5 4 2" xfId="7788" xr:uid="{00000000-0005-0000-0000-00008B1E0000}"/>
    <cellStyle name="Normal 10 3 5 4 3" xfId="7789" xr:uid="{00000000-0005-0000-0000-00008C1E0000}"/>
    <cellStyle name="Normal 10 3 5 5" xfId="7790" xr:uid="{00000000-0005-0000-0000-00008D1E0000}"/>
    <cellStyle name="Normal 10 3 5 6" xfId="7791" xr:uid="{00000000-0005-0000-0000-00008E1E0000}"/>
    <cellStyle name="Normal 10 3 6" xfId="7792" xr:uid="{00000000-0005-0000-0000-00008F1E0000}"/>
    <cellStyle name="Normal 10 3 6 2" xfId="7793" xr:uid="{00000000-0005-0000-0000-0000901E0000}"/>
    <cellStyle name="Normal 10 3 6 2 2" xfId="7794" xr:uid="{00000000-0005-0000-0000-0000911E0000}"/>
    <cellStyle name="Normal 10 3 6 2 2 2" xfId="7795" xr:uid="{00000000-0005-0000-0000-0000921E0000}"/>
    <cellStyle name="Normal 10 3 6 2 2 3" xfId="7796" xr:uid="{00000000-0005-0000-0000-0000931E0000}"/>
    <cellStyle name="Normal 10 3 6 2 3" xfId="7797" xr:uid="{00000000-0005-0000-0000-0000941E0000}"/>
    <cellStyle name="Normal 10 3 6 2 4" xfId="7798" xr:uid="{00000000-0005-0000-0000-0000951E0000}"/>
    <cellStyle name="Normal 10 3 6 3" xfId="7799" xr:uid="{00000000-0005-0000-0000-0000961E0000}"/>
    <cellStyle name="Normal 10 3 6 3 2" xfId="7800" xr:uid="{00000000-0005-0000-0000-0000971E0000}"/>
    <cellStyle name="Normal 10 3 6 3 3" xfId="7801" xr:uid="{00000000-0005-0000-0000-0000981E0000}"/>
    <cellStyle name="Normal 10 3 6 4" xfId="7802" xr:uid="{00000000-0005-0000-0000-0000991E0000}"/>
    <cellStyle name="Normal 10 3 6 5" xfId="7803" xr:uid="{00000000-0005-0000-0000-00009A1E0000}"/>
    <cellStyle name="Normal 10 3 7" xfId="7804" xr:uid="{00000000-0005-0000-0000-00009B1E0000}"/>
    <cellStyle name="Normal 10 3 7 2" xfId="7805" xr:uid="{00000000-0005-0000-0000-00009C1E0000}"/>
    <cellStyle name="Normal 10 3 7 2 2" xfId="7806" xr:uid="{00000000-0005-0000-0000-00009D1E0000}"/>
    <cellStyle name="Normal 10 3 7 2 3" xfId="7807" xr:uid="{00000000-0005-0000-0000-00009E1E0000}"/>
    <cellStyle name="Normal 10 3 7 3" xfId="7808" xr:uid="{00000000-0005-0000-0000-00009F1E0000}"/>
    <cellStyle name="Normal 10 3 7 4" xfId="7809" xr:uid="{00000000-0005-0000-0000-0000A01E0000}"/>
    <cellStyle name="Normal 10 3 8" xfId="7810" xr:uid="{00000000-0005-0000-0000-0000A11E0000}"/>
    <cellStyle name="Normal 10 3 8 2" xfId="7811" xr:uid="{00000000-0005-0000-0000-0000A21E0000}"/>
    <cellStyle name="Normal 10 3 8 3" xfId="7812" xr:uid="{00000000-0005-0000-0000-0000A31E0000}"/>
    <cellStyle name="Normal 10 3 9" xfId="7813" xr:uid="{00000000-0005-0000-0000-0000A41E0000}"/>
    <cellStyle name="Normal 10 4" xfId="7814" xr:uid="{00000000-0005-0000-0000-0000A51E0000}"/>
    <cellStyle name="Normal 10 4 2" xfId="7815" xr:uid="{00000000-0005-0000-0000-0000A61E0000}"/>
    <cellStyle name="Normal 10 4 2 2" xfId="7816" xr:uid="{00000000-0005-0000-0000-0000A71E0000}"/>
    <cellStyle name="Normal 10 4 2 2 2" xfId="7817" xr:uid="{00000000-0005-0000-0000-0000A81E0000}"/>
    <cellStyle name="Normal 10 4 2 2 2 2" xfId="7818" xr:uid="{00000000-0005-0000-0000-0000A91E0000}"/>
    <cellStyle name="Normal 10 4 2 2 2 2 2" xfId="7819" xr:uid="{00000000-0005-0000-0000-0000AA1E0000}"/>
    <cellStyle name="Normal 10 4 2 2 2 2 2 2" xfId="7820" xr:uid="{00000000-0005-0000-0000-0000AB1E0000}"/>
    <cellStyle name="Normal 10 4 2 2 2 2 2 3" xfId="7821" xr:uid="{00000000-0005-0000-0000-0000AC1E0000}"/>
    <cellStyle name="Normal 10 4 2 2 2 2 3" xfId="7822" xr:uid="{00000000-0005-0000-0000-0000AD1E0000}"/>
    <cellStyle name="Normal 10 4 2 2 2 2 4" xfId="7823" xr:uid="{00000000-0005-0000-0000-0000AE1E0000}"/>
    <cellStyle name="Normal 10 4 2 2 2 3" xfId="7824" xr:uid="{00000000-0005-0000-0000-0000AF1E0000}"/>
    <cellStyle name="Normal 10 4 2 2 2 3 2" xfId="7825" xr:uid="{00000000-0005-0000-0000-0000B01E0000}"/>
    <cellStyle name="Normal 10 4 2 2 2 3 3" xfId="7826" xr:uid="{00000000-0005-0000-0000-0000B11E0000}"/>
    <cellStyle name="Normal 10 4 2 2 2 4" xfId="7827" xr:uid="{00000000-0005-0000-0000-0000B21E0000}"/>
    <cellStyle name="Normal 10 4 2 2 2 5" xfId="7828" xr:uid="{00000000-0005-0000-0000-0000B31E0000}"/>
    <cellStyle name="Normal 10 4 2 2 3" xfId="7829" xr:uid="{00000000-0005-0000-0000-0000B41E0000}"/>
    <cellStyle name="Normal 10 4 2 2 3 2" xfId="7830" xr:uid="{00000000-0005-0000-0000-0000B51E0000}"/>
    <cellStyle name="Normal 10 4 2 2 3 2 2" xfId="7831" xr:uid="{00000000-0005-0000-0000-0000B61E0000}"/>
    <cellStyle name="Normal 10 4 2 2 3 2 3" xfId="7832" xr:uid="{00000000-0005-0000-0000-0000B71E0000}"/>
    <cellStyle name="Normal 10 4 2 2 3 3" xfId="7833" xr:uid="{00000000-0005-0000-0000-0000B81E0000}"/>
    <cellStyle name="Normal 10 4 2 2 3 4" xfId="7834" xr:uid="{00000000-0005-0000-0000-0000B91E0000}"/>
    <cellStyle name="Normal 10 4 2 2 4" xfId="7835" xr:uid="{00000000-0005-0000-0000-0000BA1E0000}"/>
    <cellStyle name="Normal 10 4 2 2 4 2" xfId="7836" xr:uid="{00000000-0005-0000-0000-0000BB1E0000}"/>
    <cellStyle name="Normal 10 4 2 2 4 3" xfId="7837" xr:uid="{00000000-0005-0000-0000-0000BC1E0000}"/>
    <cellStyle name="Normal 10 4 2 2 5" xfId="7838" xr:uid="{00000000-0005-0000-0000-0000BD1E0000}"/>
    <cellStyle name="Normal 10 4 2 2 6" xfId="7839" xr:uid="{00000000-0005-0000-0000-0000BE1E0000}"/>
    <cellStyle name="Normal 10 4 2 3" xfId="7840" xr:uid="{00000000-0005-0000-0000-0000BF1E0000}"/>
    <cellStyle name="Normal 10 4 2 3 2" xfId="7841" xr:uid="{00000000-0005-0000-0000-0000C01E0000}"/>
    <cellStyle name="Normal 10 4 2 3 2 2" xfId="7842" xr:uid="{00000000-0005-0000-0000-0000C11E0000}"/>
    <cellStyle name="Normal 10 4 2 3 2 2 2" xfId="7843" xr:uid="{00000000-0005-0000-0000-0000C21E0000}"/>
    <cellStyle name="Normal 10 4 2 3 2 2 3" xfId="7844" xr:uid="{00000000-0005-0000-0000-0000C31E0000}"/>
    <cellStyle name="Normal 10 4 2 3 2 3" xfId="7845" xr:uid="{00000000-0005-0000-0000-0000C41E0000}"/>
    <cellStyle name="Normal 10 4 2 3 2 4" xfId="7846" xr:uid="{00000000-0005-0000-0000-0000C51E0000}"/>
    <cellStyle name="Normal 10 4 2 3 3" xfId="7847" xr:uid="{00000000-0005-0000-0000-0000C61E0000}"/>
    <cellStyle name="Normal 10 4 2 3 3 2" xfId="7848" xr:uid="{00000000-0005-0000-0000-0000C71E0000}"/>
    <cellStyle name="Normal 10 4 2 3 3 3" xfId="7849" xr:uid="{00000000-0005-0000-0000-0000C81E0000}"/>
    <cellStyle name="Normal 10 4 2 3 4" xfId="7850" xr:uid="{00000000-0005-0000-0000-0000C91E0000}"/>
    <cellStyle name="Normal 10 4 2 3 5" xfId="7851" xr:uid="{00000000-0005-0000-0000-0000CA1E0000}"/>
    <cellStyle name="Normal 10 4 2 4" xfId="7852" xr:uid="{00000000-0005-0000-0000-0000CB1E0000}"/>
    <cellStyle name="Normal 10 4 2 4 2" xfId="7853" xr:uid="{00000000-0005-0000-0000-0000CC1E0000}"/>
    <cellStyle name="Normal 10 4 2 4 2 2" xfId="7854" xr:uid="{00000000-0005-0000-0000-0000CD1E0000}"/>
    <cellStyle name="Normal 10 4 2 4 2 3" xfId="7855" xr:uid="{00000000-0005-0000-0000-0000CE1E0000}"/>
    <cellStyle name="Normal 10 4 2 4 3" xfId="7856" xr:uid="{00000000-0005-0000-0000-0000CF1E0000}"/>
    <cellStyle name="Normal 10 4 2 4 4" xfId="7857" xr:uid="{00000000-0005-0000-0000-0000D01E0000}"/>
    <cellStyle name="Normal 10 4 2 5" xfId="7858" xr:uid="{00000000-0005-0000-0000-0000D11E0000}"/>
    <cellStyle name="Normal 10 4 2 5 2" xfId="7859" xr:uid="{00000000-0005-0000-0000-0000D21E0000}"/>
    <cellStyle name="Normal 10 4 2 5 3" xfId="7860" xr:uid="{00000000-0005-0000-0000-0000D31E0000}"/>
    <cellStyle name="Normal 10 4 2 6" xfId="7861" xr:uid="{00000000-0005-0000-0000-0000D41E0000}"/>
    <cellStyle name="Normal 10 4 2 7" xfId="7862" xr:uid="{00000000-0005-0000-0000-0000D51E0000}"/>
    <cellStyle name="Normal 10 4 3" xfId="7863" xr:uid="{00000000-0005-0000-0000-0000D61E0000}"/>
    <cellStyle name="Normal 10 4 3 2" xfId="7864" xr:uid="{00000000-0005-0000-0000-0000D71E0000}"/>
    <cellStyle name="Normal 10 4 3 2 2" xfId="7865" xr:uid="{00000000-0005-0000-0000-0000D81E0000}"/>
    <cellStyle name="Normal 10 4 3 2 2 2" xfId="7866" xr:uid="{00000000-0005-0000-0000-0000D91E0000}"/>
    <cellStyle name="Normal 10 4 3 2 2 2 2" xfId="7867" xr:uid="{00000000-0005-0000-0000-0000DA1E0000}"/>
    <cellStyle name="Normal 10 4 3 2 2 2 2 2" xfId="7868" xr:uid="{00000000-0005-0000-0000-0000DB1E0000}"/>
    <cellStyle name="Normal 10 4 3 2 2 2 2 3" xfId="7869" xr:uid="{00000000-0005-0000-0000-0000DC1E0000}"/>
    <cellStyle name="Normal 10 4 3 2 2 2 3" xfId="7870" xr:uid="{00000000-0005-0000-0000-0000DD1E0000}"/>
    <cellStyle name="Normal 10 4 3 2 2 2 4" xfId="7871" xr:uid="{00000000-0005-0000-0000-0000DE1E0000}"/>
    <cellStyle name="Normal 10 4 3 2 2 3" xfId="7872" xr:uid="{00000000-0005-0000-0000-0000DF1E0000}"/>
    <cellStyle name="Normal 10 4 3 2 2 3 2" xfId="7873" xr:uid="{00000000-0005-0000-0000-0000E01E0000}"/>
    <cellStyle name="Normal 10 4 3 2 2 3 3" xfId="7874" xr:uid="{00000000-0005-0000-0000-0000E11E0000}"/>
    <cellStyle name="Normal 10 4 3 2 2 4" xfId="7875" xr:uid="{00000000-0005-0000-0000-0000E21E0000}"/>
    <cellStyle name="Normal 10 4 3 2 2 5" xfId="7876" xr:uid="{00000000-0005-0000-0000-0000E31E0000}"/>
    <cellStyle name="Normal 10 4 3 2 3" xfId="7877" xr:uid="{00000000-0005-0000-0000-0000E41E0000}"/>
    <cellStyle name="Normal 10 4 3 2 3 2" xfId="7878" xr:uid="{00000000-0005-0000-0000-0000E51E0000}"/>
    <cellStyle name="Normal 10 4 3 2 3 2 2" xfId="7879" xr:uid="{00000000-0005-0000-0000-0000E61E0000}"/>
    <cellStyle name="Normal 10 4 3 2 3 2 3" xfId="7880" xr:uid="{00000000-0005-0000-0000-0000E71E0000}"/>
    <cellStyle name="Normal 10 4 3 2 3 3" xfId="7881" xr:uid="{00000000-0005-0000-0000-0000E81E0000}"/>
    <cellStyle name="Normal 10 4 3 2 3 4" xfId="7882" xr:uid="{00000000-0005-0000-0000-0000E91E0000}"/>
    <cellStyle name="Normal 10 4 3 2 4" xfId="7883" xr:uid="{00000000-0005-0000-0000-0000EA1E0000}"/>
    <cellStyle name="Normal 10 4 3 2 4 2" xfId="7884" xr:uid="{00000000-0005-0000-0000-0000EB1E0000}"/>
    <cellStyle name="Normal 10 4 3 2 4 3" xfId="7885" xr:uid="{00000000-0005-0000-0000-0000EC1E0000}"/>
    <cellStyle name="Normal 10 4 3 2 5" xfId="7886" xr:uid="{00000000-0005-0000-0000-0000ED1E0000}"/>
    <cellStyle name="Normal 10 4 3 2 6" xfId="7887" xr:uid="{00000000-0005-0000-0000-0000EE1E0000}"/>
    <cellStyle name="Normal 10 4 3 3" xfId="7888" xr:uid="{00000000-0005-0000-0000-0000EF1E0000}"/>
    <cellStyle name="Normal 10 4 3 3 2" xfId="7889" xr:uid="{00000000-0005-0000-0000-0000F01E0000}"/>
    <cellStyle name="Normal 10 4 3 3 2 2" xfId="7890" xr:uid="{00000000-0005-0000-0000-0000F11E0000}"/>
    <cellStyle name="Normal 10 4 3 3 2 2 2" xfId="7891" xr:uid="{00000000-0005-0000-0000-0000F21E0000}"/>
    <cellStyle name="Normal 10 4 3 3 2 2 3" xfId="7892" xr:uid="{00000000-0005-0000-0000-0000F31E0000}"/>
    <cellStyle name="Normal 10 4 3 3 2 3" xfId="7893" xr:uid="{00000000-0005-0000-0000-0000F41E0000}"/>
    <cellStyle name="Normal 10 4 3 3 2 4" xfId="7894" xr:uid="{00000000-0005-0000-0000-0000F51E0000}"/>
    <cellStyle name="Normal 10 4 3 3 3" xfId="7895" xr:uid="{00000000-0005-0000-0000-0000F61E0000}"/>
    <cellStyle name="Normal 10 4 3 3 3 2" xfId="7896" xr:uid="{00000000-0005-0000-0000-0000F71E0000}"/>
    <cellStyle name="Normal 10 4 3 3 3 3" xfId="7897" xr:uid="{00000000-0005-0000-0000-0000F81E0000}"/>
    <cellStyle name="Normal 10 4 3 3 4" xfId="7898" xr:uid="{00000000-0005-0000-0000-0000F91E0000}"/>
    <cellStyle name="Normal 10 4 3 3 5" xfId="7899" xr:uid="{00000000-0005-0000-0000-0000FA1E0000}"/>
    <cellStyle name="Normal 10 4 3 4" xfId="7900" xr:uid="{00000000-0005-0000-0000-0000FB1E0000}"/>
    <cellStyle name="Normal 10 4 3 4 2" xfId="7901" xr:uid="{00000000-0005-0000-0000-0000FC1E0000}"/>
    <cellStyle name="Normal 10 4 3 4 2 2" xfId="7902" xr:uid="{00000000-0005-0000-0000-0000FD1E0000}"/>
    <cellStyle name="Normal 10 4 3 4 2 3" xfId="7903" xr:uid="{00000000-0005-0000-0000-0000FE1E0000}"/>
    <cellStyle name="Normal 10 4 3 4 3" xfId="7904" xr:uid="{00000000-0005-0000-0000-0000FF1E0000}"/>
    <cellStyle name="Normal 10 4 3 4 4" xfId="7905" xr:uid="{00000000-0005-0000-0000-0000001F0000}"/>
    <cellStyle name="Normal 10 4 3 5" xfId="7906" xr:uid="{00000000-0005-0000-0000-0000011F0000}"/>
    <cellStyle name="Normal 10 4 3 5 2" xfId="7907" xr:uid="{00000000-0005-0000-0000-0000021F0000}"/>
    <cellStyle name="Normal 10 4 3 5 3" xfId="7908" xr:uid="{00000000-0005-0000-0000-0000031F0000}"/>
    <cellStyle name="Normal 10 4 3 6" xfId="7909" xr:uid="{00000000-0005-0000-0000-0000041F0000}"/>
    <cellStyle name="Normal 10 4 3 7" xfId="7910" xr:uid="{00000000-0005-0000-0000-0000051F0000}"/>
    <cellStyle name="Normal 10 4 4" xfId="7911" xr:uid="{00000000-0005-0000-0000-0000061F0000}"/>
    <cellStyle name="Normal 10 4 4 2" xfId="7912" xr:uid="{00000000-0005-0000-0000-0000071F0000}"/>
    <cellStyle name="Normal 10 4 4 2 2" xfId="7913" xr:uid="{00000000-0005-0000-0000-0000081F0000}"/>
    <cellStyle name="Normal 10 4 4 2 2 2" xfId="7914" xr:uid="{00000000-0005-0000-0000-0000091F0000}"/>
    <cellStyle name="Normal 10 4 4 2 2 2 2" xfId="7915" xr:uid="{00000000-0005-0000-0000-00000A1F0000}"/>
    <cellStyle name="Normal 10 4 4 2 2 2 3" xfId="7916" xr:uid="{00000000-0005-0000-0000-00000B1F0000}"/>
    <cellStyle name="Normal 10 4 4 2 2 3" xfId="7917" xr:uid="{00000000-0005-0000-0000-00000C1F0000}"/>
    <cellStyle name="Normal 10 4 4 2 2 4" xfId="7918" xr:uid="{00000000-0005-0000-0000-00000D1F0000}"/>
    <cellStyle name="Normal 10 4 4 2 3" xfId="7919" xr:uid="{00000000-0005-0000-0000-00000E1F0000}"/>
    <cellStyle name="Normal 10 4 4 2 3 2" xfId="7920" xr:uid="{00000000-0005-0000-0000-00000F1F0000}"/>
    <cellStyle name="Normal 10 4 4 2 3 3" xfId="7921" xr:uid="{00000000-0005-0000-0000-0000101F0000}"/>
    <cellStyle name="Normal 10 4 4 2 4" xfId="7922" xr:uid="{00000000-0005-0000-0000-0000111F0000}"/>
    <cellStyle name="Normal 10 4 4 2 5" xfId="7923" xr:uid="{00000000-0005-0000-0000-0000121F0000}"/>
    <cellStyle name="Normal 10 4 4 3" xfId="7924" xr:uid="{00000000-0005-0000-0000-0000131F0000}"/>
    <cellStyle name="Normal 10 4 4 3 2" xfId="7925" xr:uid="{00000000-0005-0000-0000-0000141F0000}"/>
    <cellStyle name="Normal 10 4 4 3 2 2" xfId="7926" xr:uid="{00000000-0005-0000-0000-0000151F0000}"/>
    <cellStyle name="Normal 10 4 4 3 2 3" xfId="7927" xr:uid="{00000000-0005-0000-0000-0000161F0000}"/>
    <cellStyle name="Normal 10 4 4 3 3" xfId="7928" xr:uid="{00000000-0005-0000-0000-0000171F0000}"/>
    <cellStyle name="Normal 10 4 4 3 4" xfId="7929" xr:uid="{00000000-0005-0000-0000-0000181F0000}"/>
    <cellStyle name="Normal 10 4 4 4" xfId="7930" xr:uid="{00000000-0005-0000-0000-0000191F0000}"/>
    <cellStyle name="Normal 10 4 4 4 2" xfId="7931" xr:uid="{00000000-0005-0000-0000-00001A1F0000}"/>
    <cellStyle name="Normal 10 4 4 4 3" xfId="7932" xr:uid="{00000000-0005-0000-0000-00001B1F0000}"/>
    <cellStyle name="Normal 10 4 4 5" xfId="7933" xr:uid="{00000000-0005-0000-0000-00001C1F0000}"/>
    <cellStyle name="Normal 10 4 4 6" xfId="7934" xr:uid="{00000000-0005-0000-0000-00001D1F0000}"/>
    <cellStyle name="Normal 10 4 5" xfId="7935" xr:uid="{00000000-0005-0000-0000-00001E1F0000}"/>
    <cellStyle name="Normal 10 4 5 2" xfId="7936" xr:uid="{00000000-0005-0000-0000-00001F1F0000}"/>
    <cellStyle name="Normal 10 4 5 2 2" xfId="7937" xr:uid="{00000000-0005-0000-0000-0000201F0000}"/>
    <cellStyle name="Normal 10 4 5 2 2 2" xfId="7938" xr:uid="{00000000-0005-0000-0000-0000211F0000}"/>
    <cellStyle name="Normal 10 4 5 2 2 3" xfId="7939" xr:uid="{00000000-0005-0000-0000-0000221F0000}"/>
    <cellStyle name="Normal 10 4 5 2 3" xfId="7940" xr:uid="{00000000-0005-0000-0000-0000231F0000}"/>
    <cellStyle name="Normal 10 4 5 2 4" xfId="7941" xr:uid="{00000000-0005-0000-0000-0000241F0000}"/>
    <cellStyle name="Normal 10 4 5 3" xfId="7942" xr:uid="{00000000-0005-0000-0000-0000251F0000}"/>
    <cellStyle name="Normal 10 4 5 3 2" xfId="7943" xr:uid="{00000000-0005-0000-0000-0000261F0000}"/>
    <cellStyle name="Normal 10 4 5 3 3" xfId="7944" xr:uid="{00000000-0005-0000-0000-0000271F0000}"/>
    <cellStyle name="Normal 10 4 5 4" xfId="7945" xr:uid="{00000000-0005-0000-0000-0000281F0000}"/>
    <cellStyle name="Normal 10 4 5 5" xfId="7946" xr:uid="{00000000-0005-0000-0000-0000291F0000}"/>
    <cellStyle name="Normal 10 4 6" xfId="7947" xr:uid="{00000000-0005-0000-0000-00002A1F0000}"/>
    <cellStyle name="Normal 10 4 6 2" xfId="7948" xr:uid="{00000000-0005-0000-0000-00002B1F0000}"/>
    <cellStyle name="Normal 10 4 6 2 2" xfId="7949" xr:uid="{00000000-0005-0000-0000-00002C1F0000}"/>
    <cellStyle name="Normal 10 4 6 2 3" xfId="7950" xr:uid="{00000000-0005-0000-0000-00002D1F0000}"/>
    <cellStyle name="Normal 10 4 6 3" xfId="7951" xr:uid="{00000000-0005-0000-0000-00002E1F0000}"/>
    <cellStyle name="Normal 10 4 6 4" xfId="7952" xr:uid="{00000000-0005-0000-0000-00002F1F0000}"/>
    <cellStyle name="Normal 10 4 7" xfId="7953" xr:uid="{00000000-0005-0000-0000-0000301F0000}"/>
    <cellStyle name="Normal 10 4 7 2" xfId="7954" xr:uid="{00000000-0005-0000-0000-0000311F0000}"/>
    <cellStyle name="Normal 10 4 7 3" xfId="7955" xr:uid="{00000000-0005-0000-0000-0000321F0000}"/>
    <cellStyle name="Normal 10 4 8" xfId="7956" xr:uid="{00000000-0005-0000-0000-0000331F0000}"/>
    <cellStyle name="Normal 10 4 9" xfId="7957" xr:uid="{00000000-0005-0000-0000-0000341F0000}"/>
    <cellStyle name="Normal 10 5" xfId="7958" xr:uid="{00000000-0005-0000-0000-0000351F0000}"/>
    <cellStyle name="Normal 10 5 2" xfId="7959" xr:uid="{00000000-0005-0000-0000-0000361F0000}"/>
    <cellStyle name="Normal 10 5 2 2" xfId="7960" xr:uid="{00000000-0005-0000-0000-0000371F0000}"/>
    <cellStyle name="Normal 10 5 2 2 2" xfId="7961" xr:uid="{00000000-0005-0000-0000-0000381F0000}"/>
    <cellStyle name="Normal 10 5 2 2 2 2" xfId="7962" xr:uid="{00000000-0005-0000-0000-0000391F0000}"/>
    <cellStyle name="Normal 10 5 2 2 2 2 2" xfId="7963" xr:uid="{00000000-0005-0000-0000-00003A1F0000}"/>
    <cellStyle name="Normal 10 5 2 2 2 2 2 2" xfId="7964" xr:uid="{00000000-0005-0000-0000-00003B1F0000}"/>
    <cellStyle name="Normal 10 5 2 2 2 2 2 3" xfId="7965" xr:uid="{00000000-0005-0000-0000-00003C1F0000}"/>
    <cellStyle name="Normal 10 5 2 2 2 2 3" xfId="7966" xr:uid="{00000000-0005-0000-0000-00003D1F0000}"/>
    <cellStyle name="Normal 10 5 2 2 2 2 4" xfId="7967" xr:uid="{00000000-0005-0000-0000-00003E1F0000}"/>
    <cellStyle name="Normal 10 5 2 2 2 3" xfId="7968" xr:uid="{00000000-0005-0000-0000-00003F1F0000}"/>
    <cellStyle name="Normal 10 5 2 2 2 3 2" xfId="7969" xr:uid="{00000000-0005-0000-0000-0000401F0000}"/>
    <cellStyle name="Normal 10 5 2 2 2 3 3" xfId="7970" xr:uid="{00000000-0005-0000-0000-0000411F0000}"/>
    <cellStyle name="Normal 10 5 2 2 2 4" xfId="7971" xr:uid="{00000000-0005-0000-0000-0000421F0000}"/>
    <cellStyle name="Normal 10 5 2 2 2 5" xfId="7972" xr:uid="{00000000-0005-0000-0000-0000431F0000}"/>
    <cellStyle name="Normal 10 5 2 2 3" xfId="7973" xr:uid="{00000000-0005-0000-0000-0000441F0000}"/>
    <cellStyle name="Normal 10 5 2 2 3 2" xfId="7974" xr:uid="{00000000-0005-0000-0000-0000451F0000}"/>
    <cellStyle name="Normal 10 5 2 2 3 2 2" xfId="7975" xr:uid="{00000000-0005-0000-0000-0000461F0000}"/>
    <cellStyle name="Normal 10 5 2 2 3 2 3" xfId="7976" xr:uid="{00000000-0005-0000-0000-0000471F0000}"/>
    <cellStyle name="Normal 10 5 2 2 3 3" xfId="7977" xr:uid="{00000000-0005-0000-0000-0000481F0000}"/>
    <cellStyle name="Normal 10 5 2 2 3 4" xfId="7978" xr:uid="{00000000-0005-0000-0000-0000491F0000}"/>
    <cellStyle name="Normal 10 5 2 2 4" xfId="7979" xr:uid="{00000000-0005-0000-0000-00004A1F0000}"/>
    <cellStyle name="Normal 10 5 2 2 4 2" xfId="7980" xr:uid="{00000000-0005-0000-0000-00004B1F0000}"/>
    <cellStyle name="Normal 10 5 2 2 4 3" xfId="7981" xr:uid="{00000000-0005-0000-0000-00004C1F0000}"/>
    <cellStyle name="Normal 10 5 2 2 5" xfId="7982" xr:uid="{00000000-0005-0000-0000-00004D1F0000}"/>
    <cellStyle name="Normal 10 5 2 2 6" xfId="7983" xr:uid="{00000000-0005-0000-0000-00004E1F0000}"/>
    <cellStyle name="Normal 10 5 2 3" xfId="7984" xr:uid="{00000000-0005-0000-0000-00004F1F0000}"/>
    <cellStyle name="Normal 10 5 2 3 2" xfId="7985" xr:uid="{00000000-0005-0000-0000-0000501F0000}"/>
    <cellStyle name="Normal 10 5 2 3 2 2" xfId="7986" xr:uid="{00000000-0005-0000-0000-0000511F0000}"/>
    <cellStyle name="Normal 10 5 2 3 2 2 2" xfId="7987" xr:uid="{00000000-0005-0000-0000-0000521F0000}"/>
    <cellStyle name="Normal 10 5 2 3 2 2 3" xfId="7988" xr:uid="{00000000-0005-0000-0000-0000531F0000}"/>
    <cellStyle name="Normal 10 5 2 3 2 3" xfId="7989" xr:uid="{00000000-0005-0000-0000-0000541F0000}"/>
    <cellStyle name="Normal 10 5 2 3 2 4" xfId="7990" xr:uid="{00000000-0005-0000-0000-0000551F0000}"/>
    <cellStyle name="Normal 10 5 2 3 3" xfId="7991" xr:uid="{00000000-0005-0000-0000-0000561F0000}"/>
    <cellStyle name="Normal 10 5 2 3 3 2" xfId="7992" xr:uid="{00000000-0005-0000-0000-0000571F0000}"/>
    <cellStyle name="Normal 10 5 2 3 3 3" xfId="7993" xr:uid="{00000000-0005-0000-0000-0000581F0000}"/>
    <cellStyle name="Normal 10 5 2 3 4" xfId="7994" xr:uid="{00000000-0005-0000-0000-0000591F0000}"/>
    <cellStyle name="Normal 10 5 2 3 5" xfId="7995" xr:uid="{00000000-0005-0000-0000-00005A1F0000}"/>
    <cellStyle name="Normal 10 5 2 4" xfId="7996" xr:uid="{00000000-0005-0000-0000-00005B1F0000}"/>
    <cellStyle name="Normal 10 5 2 4 2" xfId="7997" xr:uid="{00000000-0005-0000-0000-00005C1F0000}"/>
    <cellStyle name="Normal 10 5 2 4 2 2" xfId="7998" xr:uid="{00000000-0005-0000-0000-00005D1F0000}"/>
    <cellStyle name="Normal 10 5 2 4 2 3" xfId="7999" xr:uid="{00000000-0005-0000-0000-00005E1F0000}"/>
    <cellStyle name="Normal 10 5 2 4 3" xfId="8000" xr:uid="{00000000-0005-0000-0000-00005F1F0000}"/>
    <cellStyle name="Normal 10 5 2 4 4" xfId="8001" xr:uid="{00000000-0005-0000-0000-0000601F0000}"/>
    <cellStyle name="Normal 10 5 2 5" xfId="8002" xr:uid="{00000000-0005-0000-0000-0000611F0000}"/>
    <cellStyle name="Normal 10 5 2 5 2" xfId="8003" xr:uid="{00000000-0005-0000-0000-0000621F0000}"/>
    <cellStyle name="Normal 10 5 2 5 3" xfId="8004" xr:uid="{00000000-0005-0000-0000-0000631F0000}"/>
    <cellStyle name="Normal 10 5 2 6" xfId="8005" xr:uid="{00000000-0005-0000-0000-0000641F0000}"/>
    <cellStyle name="Normal 10 5 2 7" xfId="8006" xr:uid="{00000000-0005-0000-0000-0000651F0000}"/>
    <cellStyle name="Normal 10 5 3" xfId="8007" xr:uid="{00000000-0005-0000-0000-0000661F0000}"/>
    <cellStyle name="Normal 10 5 3 2" xfId="8008" xr:uid="{00000000-0005-0000-0000-0000671F0000}"/>
    <cellStyle name="Normal 10 5 3 2 2" xfId="8009" xr:uid="{00000000-0005-0000-0000-0000681F0000}"/>
    <cellStyle name="Normal 10 5 3 2 2 2" xfId="8010" xr:uid="{00000000-0005-0000-0000-0000691F0000}"/>
    <cellStyle name="Normal 10 5 3 2 2 2 2" xfId="8011" xr:uid="{00000000-0005-0000-0000-00006A1F0000}"/>
    <cellStyle name="Normal 10 5 3 2 2 2 2 2" xfId="8012" xr:uid="{00000000-0005-0000-0000-00006B1F0000}"/>
    <cellStyle name="Normal 10 5 3 2 2 2 2 3" xfId="8013" xr:uid="{00000000-0005-0000-0000-00006C1F0000}"/>
    <cellStyle name="Normal 10 5 3 2 2 2 3" xfId="8014" xr:uid="{00000000-0005-0000-0000-00006D1F0000}"/>
    <cellStyle name="Normal 10 5 3 2 2 2 4" xfId="8015" xr:uid="{00000000-0005-0000-0000-00006E1F0000}"/>
    <cellStyle name="Normal 10 5 3 2 2 3" xfId="8016" xr:uid="{00000000-0005-0000-0000-00006F1F0000}"/>
    <cellStyle name="Normal 10 5 3 2 2 3 2" xfId="8017" xr:uid="{00000000-0005-0000-0000-0000701F0000}"/>
    <cellStyle name="Normal 10 5 3 2 2 3 3" xfId="8018" xr:uid="{00000000-0005-0000-0000-0000711F0000}"/>
    <cellStyle name="Normal 10 5 3 2 2 4" xfId="8019" xr:uid="{00000000-0005-0000-0000-0000721F0000}"/>
    <cellStyle name="Normal 10 5 3 2 2 5" xfId="8020" xr:uid="{00000000-0005-0000-0000-0000731F0000}"/>
    <cellStyle name="Normal 10 5 3 2 3" xfId="8021" xr:uid="{00000000-0005-0000-0000-0000741F0000}"/>
    <cellStyle name="Normal 10 5 3 2 3 2" xfId="8022" xr:uid="{00000000-0005-0000-0000-0000751F0000}"/>
    <cellStyle name="Normal 10 5 3 2 3 2 2" xfId="8023" xr:uid="{00000000-0005-0000-0000-0000761F0000}"/>
    <cellStyle name="Normal 10 5 3 2 3 2 3" xfId="8024" xr:uid="{00000000-0005-0000-0000-0000771F0000}"/>
    <cellStyle name="Normal 10 5 3 2 3 3" xfId="8025" xr:uid="{00000000-0005-0000-0000-0000781F0000}"/>
    <cellStyle name="Normal 10 5 3 2 3 4" xfId="8026" xr:uid="{00000000-0005-0000-0000-0000791F0000}"/>
    <cellStyle name="Normal 10 5 3 2 4" xfId="8027" xr:uid="{00000000-0005-0000-0000-00007A1F0000}"/>
    <cellStyle name="Normal 10 5 3 2 4 2" xfId="8028" xr:uid="{00000000-0005-0000-0000-00007B1F0000}"/>
    <cellStyle name="Normal 10 5 3 2 4 3" xfId="8029" xr:uid="{00000000-0005-0000-0000-00007C1F0000}"/>
    <cellStyle name="Normal 10 5 3 2 5" xfId="8030" xr:uid="{00000000-0005-0000-0000-00007D1F0000}"/>
    <cellStyle name="Normal 10 5 3 2 6" xfId="8031" xr:uid="{00000000-0005-0000-0000-00007E1F0000}"/>
    <cellStyle name="Normal 10 5 3 3" xfId="8032" xr:uid="{00000000-0005-0000-0000-00007F1F0000}"/>
    <cellStyle name="Normal 10 5 3 3 2" xfId="8033" xr:uid="{00000000-0005-0000-0000-0000801F0000}"/>
    <cellStyle name="Normal 10 5 3 3 2 2" xfId="8034" xr:uid="{00000000-0005-0000-0000-0000811F0000}"/>
    <cellStyle name="Normal 10 5 3 3 2 2 2" xfId="8035" xr:uid="{00000000-0005-0000-0000-0000821F0000}"/>
    <cellStyle name="Normal 10 5 3 3 2 2 3" xfId="8036" xr:uid="{00000000-0005-0000-0000-0000831F0000}"/>
    <cellStyle name="Normal 10 5 3 3 2 3" xfId="8037" xr:uid="{00000000-0005-0000-0000-0000841F0000}"/>
    <cellStyle name="Normal 10 5 3 3 2 4" xfId="8038" xr:uid="{00000000-0005-0000-0000-0000851F0000}"/>
    <cellStyle name="Normal 10 5 3 3 3" xfId="8039" xr:uid="{00000000-0005-0000-0000-0000861F0000}"/>
    <cellStyle name="Normal 10 5 3 3 3 2" xfId="8040" xr:uid="{00000000-0005-0000-0000-0000871F0000}"/>
    <cellStyle name="Normal 10 5 3 3 3 3" xfId="8041" xr:uid="{00000000-0005-0000-0000-0000881F0000}"/>
    <cellStyle name="Normal 10 5 3 3 4" xfId="8042" xr:uid="{00000000-0005-0000-0000-0000891F0000}"/>
    <cellStyle name="Normal 10 5 3 3 5" xfId="8043" xr:uid="{00000000-0005-0000-0000-00008A1F0000}"/>
    <cellStyle name="Normal 10 5 3 4" xfId="8044" xr:uid="{00000000-0005-0000-0000-00008B1F0000}"/>
    <cellStyle name="Normal 10 5 3 4 2" xfId="8045" xr:uid="{00000000-0005-0000-0000-00008C1F0000}"/>
    <cellStyle name="Normal 10 5 3 4 2 2" xfId="8046" xr:uid="{00000000-0005-0000-0000-00008D1F0000}"/>
    <cellStyle name="Normal 10 5 3 4 2 3" xfId="8047" xr:uid="{00000000-0005-0000-0000-00008E1F0000}"/>
    <cellStyle name="Normal 10 5 3 4 3" xfId="8048" xr:uid="{00000000-0005-0000-0000-00008F1F0000}"/>
    <cellStyle name="Normal 10 5 3 4 4" xfId="8049" xr:uid="{00000000-0005-0000-0000-0000901F0000}"/>
    <cellStyle name="Normal 10 5 3 5" xfId="8050" xr:uid="{00000000-0005-0000-0000-0000911F0000}"/>
    <cellStyle name="Normal 10 5 3 5 2" xfId="8051" xr:uid="{00000000-0005-0000-0000-0000921F0000}"/>
    <cellStyle name="Normal 10 5 3 5 3" xfId="8052" xr:uid="{00000000-0005-0000-0000-0000931F0000}"/>
    <cellStyle name="Normal 10 5 3 6" xfId="8053" xr:uid="{00000000-0005-0000-0000-0000941F0000}"/>
    <cellStyle name="Normal 10 5 3 7" xfId="8054" xr:uid="{00000000-0005-0000-0000-0000951F0000}"/>
    <cellStyle name="Normal 10 5 4" xfId="8055" xr:uid="{00000000-0005-0000-0000-0000961F0000}"/>
    <cellStyle name="Normal 10 5 4 2" xfId="8056" xr:uid="{00000000-0005-0000-0000-0000971F0000}"/>
    <cellStyle name="Normal 10 5 4 2 2" xfId="8057" xr:uid="{00000000-0005-0000-0000-0000981F0000}"/>
    <cellStyle name="Normal 10 5 4 2 2 2" xfId="8058" xr:uid="{00000000-0005-0000-0000-0000991F0000}"/>
    <cellStyle name="Normal 10 5 4 2 2 2 2" xfId="8059" xr:uid="{00000000-0005-0000-0000-00009A1F0000}"/>
    <cellStyle name="Normal 10 5 4 2 2 2 3" xfId="8060" xr:uid="{00000000-0005-0000-0000-00009B1F0000}"/>
    <cellStyle name="Normal 10 5 4 2 2 3" xfId="8061" xr:uid="{00000000-0005-0000-0000-00009C1F0000}"/>
    <cellStyle name="Normal 10 5 4 2 2 4" xfId="8062" xr:uid="{00000000-0005-0000-0000-00009D1F0000}"/>
    <cellStyle name="Normal 10 5 4 2 3" xfId="8063" xr:uid="{00000000-0005-0000-0000-00009E1F0000}"/>
    <cellStyle name="Normal 10 5 4 2 3 2" xfId="8064" xr:uid="{00000000-0005-0000-0000-00009F1F0000}"/>
    <cellStyle name="Normal 10 5 4 2 3 3" xfId="8065" xr:uid="{00000000-0005-0000-0000-0000A01F0000}"/>
    <cellStyle name="Normal 10 5 4 2 4" xfId="8066" xr:uid="{00000000-0005-0000-0000-0000A11F0000}"/>
    <cellStyle name="Normal 10 5 4 2 5" xfId="8067" xr:uid="{00000000-0005-0000-0000-0000A21F0000}"/>
    <cellStyle name="Normal 10 5 4 3" xfId="8068" xr:uid="{00000000-0005-0000-0000-0000A31F0000}"/>
    <cellStyle name="Normal 10 5 4 3 2" xfId="8069" xr:uid="{00000000-0005-0000-0000-0000A41F0000}"/>
    <cellStyle name="Normal 10 5 4 3 2 2" xfId="8070" xr:uid="{00000000-0005-0000-0000-0000A51F0000}"/>
    <cellStyle name="Normal 10 5 4 3 2 3" xfId="8071" xr:uid="{00000000-0005-0000-0000-0000A61F0000}"/>
    <cellStyle name="Normal 10 5 4 3 3" xfId="8072" xr:uid="{00000000-0005-0000-0000-0000A71F0000}"/>
    <cellStyle name="Normal 10 5 4 3 4" xfId="8073" xr:uid="{00000000-0005-0000-0000-0000A81F0000}"/>
    <cellStyle name="Normal 10 5 4 4" xfId="8074" xr:uid="{00000000-0005-0000-0000-0000A91F0000}"/>
    <cellStyle name="Normal 10 5 4 4 2" xfId="8075" xr:uid="{00000000-0005-0000-0000-0000AA1F0000}"/>
    <cellStyle name="Normal 10 5 4 4 3" xfId="8076" xr:uid="{00000000-0005-0000-0000-0000AB1F0000}"/>
    <cellStyle name="Normal 10 5 4 5" xfId="8077" xr:uid="{00000000-0005-0000-0000-0000AC1F0000}"/>
    <cellStyle name="Normal 10 5 4 6" xfId="8078" xr:uid="{00000000-0005-0000-0000-0000AD1F0000}"/>
    <cellStyle name="Normal 10 5 5" xfId="8079" xr:uid="{00000000-0005-0000-0000-0000AE1F0000}"/>
    <cellStyle name="Normal 10 5 5 2" xfId="8080" xr:uid="{00000000-0005-0000-0000-0000AF1F0000}"/>
    <cellStyle name="Normal 10 5 5 2 2" xfId="8081" xr:uid="{00000000-0005-0000-0000-0000B01F0000}"/>
    <cellStyle name="Normal 10 5 5 2 2 2" xfId="8082" xr:uid="{00000000-0005-0000-0000-0000B11F0000}"/>
    <cellStyle name="Normal 10 5 5 2 2 3" xfId="8083" xr:uid="{00000000-0005-0000-0000-0000B21F0000}"/>
    <cellStyle name="Normal 10 5 5 2 3" xfId="8084" xr:uid="{00000000-0005-0000-0000-0000B31F0000}"/>
    <cellStyle name="Normal 10 5 5 2 4" xfId="8085" xr:uid="{00000000-0005-0000-0000-0000B41F0000}"/>
    <cellStyle name="Normal 10 5 5 3" xfId="8086" xr:uid="{00000000-0005-0000-0000-0000B51F0000}"/>
    <cellStyle name="Normal 10 5 5 3 2" xfId="8087" xr:uid="{00000000-0005-0000-0000-0000B61F0000}"/>
    <cellStyle name="Normal 10 5 5 3 3" xfId="8088" xr:uid="{00000000-0005-0000-0000-0000B71F0000}"/>
    <cellStyle name="Normal 10 5 5 4" xfId="8089" xr:uid="{00000000-0005-0000-0000-0000B81F0000}"/>
    <cellStyle name="Normal 10 5 5 5" xfId="8090" xr:uid="{00000000-0005-0000-0000-0000B91F0000}"/>
    <cellStyle name="Normal 10 5 6" xfId="8091" xr:uid="{00000000-0005-0000-0000-0000BA1F0000}"/>
    <cellStyle name="Normal 10 5 6 2" xfId="8092" xr:uid="{00000000-0005-0000-0000-0000BB1F0000}"/>
    <cellStyle name="Normal 10 5 6 2 2" xfId="8093" xr:uid="{00000000-0005-0000-0000-0000BC1F0000}"/>
    <cellStyle name="Normal 10 5 6 2 3" xfId="8094" xr:uid="{00000000-0005-0000-0000-0000BD1F0000}"/>
    <cellStyle name="Normal 10 5 6 3" xfId="8095" xr:uid="{00000000-0005-0000-0000-0000BE1F0000}"/>
    <cellStyle name="Normal 10 5 6 4" xfId="8096" xr:uid="{00000000-0005-0000-0000-0000BF1F0000}"/>
    <cellStyle name="Normal 10 5 7" xfId="8097" xr:uid="{00000000-0005-0000-0000-0000C01F0000}"/>
    <cellStyle name="Normal 10 5 7 2" xfId="8098" xr:uid="{00000000-0005-0000-0000-0000C11F0000}"/>
    <cellStyle name="Normal 10 5 7 3" xfId="8099" xr:uid="{00000000-0005-0000-0000-0000C21F0000}"/>
    <cellStyle name="Normal 10 5 8" xfId="8100" xr:uid="{00000000-0005-0000-0000-0000C31F0000}"/>
    <cellStyle name="Normal 10 5 9" xfId="8101" xr:uid="{00000000-0005-0000-0000-0000C41F0000}"/>
    <cellStyle name="Normal 10 6" xfId="8102" xr:uid="{00000000-0005-0000-0000-0000C51F0000}"/>
    <cellStyle name="Normal 10 6 2" xfId="8103" xr:uid="{00000000-0005-0000-0000-0000C61F0000}"/>
    <cellStyle name="Normal 10 6 2 2" xfId="8104" xr:uid="{00000000-0005-0000-0000-0000C71F0000}"/>
    <cellStyle name="Normal 10 6 2 2 2" xfId="8105" xr:uid="{00000000-0005-0000-0000-0000C81F0000}"/>
    <cellStyle name="Normal 10 6 2 2 2 2" xfId="8106" xr:uid="{00000000-0005-0000-0000-0000C91F0000}"/>
    <cellStyle name="Normal 10 6 2 2 2 2 2" xfId="8107" xr:uid="{00000000-0005-0000-0000-0000CA1F0000}"/>
    <cellStyle name="Normal 10 6 2 2 2 2 3" xfId="8108" xr:uid="{00000000-0005-0000-0000-0000CB1F0000}"/>
    <cellStyle name="Normal 10 6 2 2 2 3" xfId="8109" xr:uid="{00000000-0005-0000-0000-0000CC1F0000}"/>
    <cellStyle name="Normal 10 6 2 2 2 4" xfId="8110" xr:uid="{00000000-0005-0000-0000-0000CD1F0000}"/>
    <cellStyle name="Normal 10 6 2 2 3" xfId="8111" xr:uid="{00000000-0005-0000-0000-0000CE1F0000}"/>
    <cellStyle name="Normal 10 6 2 2 3 2" xfId="8112" xr:uid="{00000000-0005-0000-0000-0000CF1F0000}"/>
    <cellStyle name="Normal 10 6 2 2 3 3" xfId="8113" xr:uid="{00000000-0005-0000-0000-0000D01F0000}"/>
    <cellStyle name="Normal 10 6 2 2 4" xfId="8114" xr:uid="{00000000-0005-0000-0000-0000D11F0000}"/>
    <cellStyle name="Normal 10 6 2 2 5" xfId="8115" xr:uid="{00000000-0005-0000-0000-0000D21F0000}"/>
    <cellStyle name="Normal 10 6 2 3" xfId="8116" xr:uid="{00000000-0005-0000-0000-0000D31F0000}"/>
    <cellStyle name="Normal 10 6 2 3 2" xfId="8117" xr:uid="{00000000-0005-0000-0000-0000D41F0000}"/>
    <cellStyle name="Normal 10 6 2 3 2 2" xfId="8118" xr:uid="{00000000-0005-0000-0000-0000D51F0000}"/>
    <cellStyle name="Normal 10 6 2 3 2 3" xfId="8119" xr:uid="{00000000-0005-0000-0000-0000D61F0000}"/>
    <cellStyle name="Normal 10 6 2 3 3" xfId="8120" xr:uid="{00000000-0005-0000-0000-0000D71F0000}"/>
    <cellStyle name="Normal 10 6 2 3 4" xfId="8121" xr:uid="{00000000-0005-0000-0000-0000D81F0000}"/>
    <cellStyle name="Normal 10 6 2 4" xfId="8122" xr:uid="{00000000-0005-0000-0000-0000D91F0000}"/>
    <cellStyle name="Normal 10 6 2 4 2" xfId="8123" xr:uid="{00000000-0005-0000-0000-0000DA1F0000}"/>
    <cellStyle name="Normal 10 6 2 4 3" xfId="8124" xr:uid="{00000000-0005-0000-0000-0000DB1F0000}"/>
    <cellStyle name="Normal 10 6 2 5" xfId="8125" xr:uid="{00000000-0005-0000-0000-0000DC1F0000}"/>
    <cellStyle name="Normal 10 6 2 6" xfId="8126" xr:uid="{00000000-0005-0000-0000-0000DD1F0000}"/>
    <cellStyle name="Normal 10 6 3" xfId="8127" xr:uid="{00000000-0005-0000-0000-0000DE1F0000}"/>
    <cellStyle name="Normal 10 6 3 2" xfId="8128" xr:uid="{00000000-0005-0000-0000-0000DF1F0000}"/>
    <cellStyle name="Normal 10 6 3 2 2" xfId="8129" xr:uid="{00000000-0005-0000-0000-0000E01F0000}"/>
    <cellStyle name="Normal 10 6 3 2 2 2" xfId="8130" xr:uid="{00000000-0005-0000-0000-0000E11F0000}"/>
    <cellStyle name="Normal 10 6 3 2 2 3" xfId="8131" xr:uid="{00000000-0005-0000-0000-0000E21F0000}"/>
    <cellStyle name="Normal 10 6 3 2 3" xfId="8132" xr:uid="{00000000-0005-0000-0000-0000E31F0000}"/>
    <cellStyle name="Normal 10 6 3 2 4" xfId="8133" xr:uid="{00000000-0005-0000-0000-0000E41F0000}"/>
    <cellStyle name="Normal 10 6 3 3" xfId="8134" xr:uid="{00000000-0005-0000-0000-0000E51F0000}"/>
    <cellStyle name="Normal 10 6 3 3 2" xfId="8135" xr:uid="{00000000-0005-0000-0000-0000E61F0000}"/>
    <cellStyle name="Normal 10 6 3 3 3" xfId="8136" xr:uid="{00000000-0005-0000-0000-0000E71F0000}"/>
    <cellStyle name="Normal 10 6 3 4" xfId="8137" xr:uid="{00000000-0005-0000-0000-0000E81F0000}"/>
    <cellStyle name="Normal 10 6 3 5" xfId="8138" xr:uid="{00000000-0005-0000-0000-0000E91F0000}"/>
    <cellStyle name="Normal 10 6 4" xfId="8139" xr:uid="{00000000-0005-0000-0000-0000EA1F0000}"/>
    <cellStyle name="Normal 10 6 4 2" xfId="8140" xr:uid="{00000000-0005-0000-0000-0000EB1F0000}"/>
    <cellStyle name="Normal 10 6 4 2 2" xfId="8141" xr:uid="{00000000-0005-0000-0000-0000EC1F0000}"/>
    <cellStyle name="Normal 10 6 4 2 3" xfId="8142" xr:uid="{00000000-0005-0000-0000-0000ED1F0000}"/>
    <cellStyle name="Normal 10 6 4 3" xfId="8143" xr:uid="{00000000-0005-0000-0000-0000EE1F0000}"/>
    <cellStyle name="Normal 10 6 4 4" xfId="8144" xr:uid="{00000000-0005-0000-0000-0000EF1F0000}"/>
    <cellStyle name="Normal 10 6 5" xfId="8145" xr:uid="{00000000-0005-0000-0000-0000F01F0000}"/>
    <cellStyle name="Normal 10 6 5 2" xfId="8146" xr:uid="{00000000-0005-0000-0000-0000F11F0000}"/>
    <cellStyle name="Normal 10 6 5 3" xfId="8147" xr:uid="{00000000-0005-0000-0000-0000F21F0000}"/>
    <cellStyle name="Normal 10 6 6" xfId="8148" xr:uid="{00000000-0005-0000-0000-0000F31F0000}"/>
    <cellStyle name="Normal 10 6 7" xfId="8149" xr:uid="{00000000-0005-0000-0000-0000F41F0000}"/>
    <cellStyle name="Normal 10 7" xfId="8150" xr:uid="{00000000-0005-0000-0000-0000F51F0000}"/>
    <cellStyle name="Normal 10 7 2" xfId="8151" xr:uid="{00000000-0005-0000-0000-0000F61F0000}"/>
    <cellStyle name="Normal 10 7 2 2" xfId="8152" xr:uid="{00000000-0005-0000-0000-0000F71F0000}"/>
    <cellStyle name="Normal 10 7 2 2 2" xfId="8153" xr:uid="{00000000-0005-0000-0000-0000F81F0000}"/>
    <cellStyle name="Normal 10 7 2 2 2 2" xfId="8154" xr:uid="{00000000-0005-0000-0000-0000F91F0000}"/>
    <cellStyle name="Normal 10 7 2 2 2 2 2" xfId="8155" xr:uid="{00000000-0005-0000-0000-0000FA1F0000}"/>
    <cellStyle name="Normal 10 7 2 2 2 2 3" xfId="8156" xr:uid="{00000000-0005-0000-0000-0000FB1F0000}"/>
    <cellStyle name="Normal 10 7 2 2 2 3" xfId="8157" xr:uid="{00000000-0005-0000-0000-0000FC1F0000}"/>
    <cellStyle name="Normal 10 7 2 2 2 4" xfId="8158" xr:uid="{00000000-0005-0000-0000-0000FD1F0000}"/>
    <cellStyle name="Normal 10 7 2 2 3" xfId="8159" xr:uid="{00000000-0005-0000-0000-0000FE1F0000}"/>
    <cellStyle name="Normal 10 7 2 2 3 2" xfId="8160" xr:uid="{00000000-0005-0000-0000-0000FF1F0000}"/>
    <cellStyle name="Normal 10 7 2 2 3 3" xfId="8161" xr:uid="{00000000-0005-0000-0000-000000200000}"/>
    <cellStyle name="Normal 10 7 2 2 4" xfId="8162" xr:uid="{00000000-0005-0000-0000-000001200000}"/>
    <cellStyle name="Normal 10 7 2 2 5" xfId="8163" xr:uid="{00000000-0005-0000-0000-000002200000}"/>
    <cellStyle name="Normal 10 7 2 3" xfId="8164" xr:uid="{00000000-0005-0000-0000-000003200000}"/>
    <cellStyle name="Normal 10 7 2 3 2" xfId="8165" xr:uid="{00000000-0005-0000-0000-000004200000}"/>
    <cellStyle name="Normal 10 7 2 3 2 2" xfId="8166" xr:uid="{00000000-0005-0000-0000-000005200000}"/>
    <cellStyle name="Normal 10 7 2 3 2 3" xfId="8167" xr:uid="{00000000-0005-0000-0000-000006200000}"/>
    <cellStyle name="Normal 10 7 2 3 3" xfId="8168" xr:uid="{00000000-0005-0000-0000-000007200000}"/>
    <cellStyle name="Normal 10 7 2 3 4" xfId="8169" xr:uid="{00000000-0005-0000-0000-000008200000}"/>
    <cellStyle name="Normal 10 7 2 4" xfId="8170" xr:uid="{00000000-0005-0000-0000-000009200000}"/>
    <cellStyle name="Normal 10 7 2 4 2" xfId="8171" xr:uid="{00000000-0005-0000-0000-00000A200000}"/>
    <cellStyle name="Normal 10 7 2 4 3" xfId="8172" xr:uid="{00000000-0005-0000-0000-00000B200000}"/>
    <cellStyle name="Normal 10 7 2 5" xfId="8173" xr:uid="{00000000-0005-0000-0000-00000C200000}"/>
    <cellStyle name="Normal 10 7 2 6" xfId="8174" xr:uid="{00000000-0005-0000-0000-00000D200000}"/>
    <cellStyle name="Normal 10 7 3" xfId="8175" xr:uid="{00000000-0005-0000-0000-00000E200000}"/>
    <cellStyle name="Normal 10 7 3 2" xfId="8176" xr:uid="{00000000-0005-0000-0000-00000F200000}"/>
    <cellStyle name="Normal 10 7 3 2 2" xfId="8177" xr:uid="{00000000-0005-0000-0000-000010200000}"/>
    <cellStyle name="Normal 10 7 3 2 2 2" xfId="8178" xr:uid="{00000000-0005-0000-0000-000011200000}"/>
    <cellStyle name="Normal 10 7 3 2 2 3" xfId="8179" xr:uid="{00000000-0005-0000-0000-000012200000}"/>
    <cellStyle name="Normal 10 7 3 2 3" xfId="8180" xr:uid="{00000000-0005-0000-0000-000013200000}"/>
    <cellStyle name="Normal 10 7 3 2 4" xfId="8181" xr:uid="{00000000-0005-0000-0000-000014200000}"/>
    <cellStyle name="Normal 10 7 3 3" xfId="8182" xr:uid="{00000000-0005-0000-0000-000015200000}"/>
    <cellStyle name="Normal 10 7 3 3 2" xfId="8183" xr:uid="{00000000-0005-0000-0000-000016200000}"/>
    <cellStyle name="Normal 10 7 3 3 3" xfId="8184" xr:uid="{00000000-0005-0000-0000-000017200000}"/>
    <cellStyle name="Normal 10 7 3 4" xfId="8185" xr:uid="{00000000-0005-0000-0000-000018200000}"/>
    <cellStyle name="Normal 10 7 3 5" xfId="8186" xr:uid="{00000000-0005-0000-0000-000019200000}"/>
    <cellStyle name="Normal 10 7 4" xfId="8187" xr:uid="{00000000-0005-0000-0000-00001A200000}"/>
    <cellStyle name="Normal 10 7 4 2" xfId="8188" xr:uid="{00000000-0005-0000-0000-00001B200000}"/>
    <cellStyle name="Normal 10 7 4 2 2" xfId="8189" xr:uid="{00000000-0005-0000-0000-00001C200000}"/>
    <cellStyle name="Normal 10 7 4 2 3" xfId="8190" xr:uid="{00000000-0005-0000-0000-00001D200000}"/>
    <cellStyle name="Normal 10 7 4 3" xfId="8191" xr:uid="{00000000-0005-0000-0000-00001E200000}"/>
    <cellStyle name="Normal 10 7 4 4" xfId="8192" xr:uid="{00000000-0005-0000-0000-00001F200000}"/>
    <cellStyle name="Normal 10 7 5" xfId="8193" xr:uid="{00000000-0005-0000-0000-000020200000}"/>
    <cellStyle name="Normal 10 7 5 2" xfId="8194" xr:uid="{00000000-0005-0000-0000-000021200000}"/>
    <cellStyle name="Normal 10 7 5 3" xfId="8195" xr:uid="{00000000-0005-0000-0000-000022200000}"/>
    <cellStyle name="Normal 10 7 6" xfId="8196" xr:uid="{00000000-0005-0000-0000-000023200000}"/>
    <cellStyle name="Normal 10 7 7" xfId="8197" xr:uid="{00000000-0005-0000-0000-000024200000}"/>
    <cellStyle name="Normal 10 8" xfId="8198" xr:uid="{00000000-0005-0000-0000-000025200000}"/>
    <cellStyle name="Normal 10 8 2" xfId="8199" xr:uid="{00000000-0005-0000-0000-000026200000}"/>
    <cellStyle name="Normal 10 8 2 2" xfId="8200" xr:uid="{00000000-0005-0000-0000-000027200000}"/>
    <cellStyle name="Normal 10 8 2 2 2" xfId="8201" xr:uid="{00000000-0005-0000-0000-000028200000}"/>
    <cellStyle name="Normal 10 8 2 2 2 2" xfId="8202" xr:uid="{00000000-0005-0000-0000-000029200000}"/>
    <cellStyle name="Normal 10 8 2 2 2 2 2" xfId="8203" xr:uid="{00000000-0005-0000-0000-00002A200000}"/>
    <cellStyle name="Normal 10 8 2 2 2 2 3" xfId="8204" xr:uid="{00000000-0005-0000-0000-00002B200000}"/>
    <cellStyle name="Normal 10 8 2 2 2 3" xfId="8205" xr:uid="{00000000-0005-0000-0000-00002C200000}"/>
    <cellStyle name="Normal 10 8 2 2 2 4" xfId="8206" xr:uid="{00000000-0005-0000-0000-00002D200000}"/>
    <cellStyle name="Normal 10 8 2 2 3" xfId="8207" xr:uid="{00000000-0005-0000-0000-00002E200000}"/>
    <cellStyle name="Normal 10 8 2 2 3 2" xfId="8208" xr:uid="{00000000-0005-0000-0000-00002F200000}"/>
    <cellStyle name="Normal 10 8 2 2 3 3" xfId="8209" xr:uid="{00000000-0005-0000-0000-000030200000}"/>
    <cellStyle name="Normal 10 8 2 2 4" xfId="8210" xr:uid="{00000000-0005-0000-0000-000031200000}"/>
    <cellStyle name="Normal 10 8 2 2 5" xfId="8211" xr:uid="{00000000-0005-0000-0000-000032200000}"/>
    <cellStyle name="Normal 10 8 2 3" xfId="8212" xr:uid="{00000000-0005-0000-0000-000033200000}"/>
    <cellStyle name="Normal 10 8 2 3 2" xfId="8213" xr:uid="{00000000-0005-0000-0000-000034200000}"/>
    <cellStyle name="Normal 10 8 2 3 2 2" xfId="8214" xr:uid="{00000000-0005-0000-0000-000035200000}"/>
    <cellStyle name="Normal 10 8 2 3 2 3" xfId="8215" xr:uid="{00000000-0005-0000-0000-000036200000}"/>
    <cellStyle name="Normal 10 8 2 3 3" xfId="8216" xr:uid="{00000000-0005-0000-0000-000037200000}"/>
    <cellStyle name="Normal 10 8 2 3 4" xfId="8217" xr:uid="{00000000-0005-0000-0000-000038200000}"/>
    <cellStyle name="Normal 10 8 2 4" xfId="8218" xr:uid="{00000000-0005-0000-0000-000039200000}"/>
    <cellStyle name="Normal 10 8 2 4 2" xfId="8219" xr:uid="{00000000-0005-0000-0000-00003A200000}"/>
    <cellStyle name="Normal 10 8 2 4 3" xfId="8220" xr:uid="{00000000-0005-0000-0000-00003B200000}"/>
    <cellStyle name="Normal 10 8 2 5" xfId="8221" xr:uid="{00000000-0005-0000-0000-00003C200000}"/>
    <cellStyle name="Normal 10 8 2 6" xfId="8222" xr:uid="{00000000-0005-0000-0000-00003D200000}"/>
    <cellStyle name="Normal 10 9" xfId="8223" xr:uid="{00000000-0005-0000-0000-00003E200000}"/>
    <cellStyle name="Normal 10 9 2" xfId="8224" xr:uid="{00000000-0005-0000-0000-00003F200000}"/>
    <cellStyle name="Normal 10 9 2 2" xfId="8225" xr:uid="{00000000-0005-0000-0000-000040200000}"/>
    <cellStyle name="Normal 10 9 2 2 2" xfId="8226" xr:uid="{00000000-0005-0000-0000-000041200000}"/>
    <cellStyle name="Normal 10 9 2 2 2 2" xfId="8227" xr:uid="{00000000-0005-0000-0000-000042200000}"/>
    <cellStyle name="Normal 10 9 2 2 2 3" xfId="8228" xr:uid="{00000000-0005-0000-0000-000043200000}"/>
    <cellStyle name="Normal 10 9 2 2 3" xfId="8229" xr:uid="{00000000-0005-0000-0000-000044200000}"/>
    <cellStyle name="Normal 10 9 2 2 4" xfId="8230" xr:uid="{00000000-0005-0000-0000-000045200000}"/>
    <cellStyle name="Normal 10 9 2 3" xfId="8231" xr:uid="{00000000-0005-0000-0000-000046200000}"/>
    <cellStyle name="Normal 10 9 2 3 2" xfId="8232" xr:uid="{00000000-0005-0000-0000-000047200000}"/>
    <cellStyle name="Normal 10 9 2 3 3" xfId="8233" xr:uid="{00000000-0005-0000-0000-000048200000}"/>
    <cellStyle name="Normal 10 9 2 4" xfId="8234" xr:uid="{00000000-0005-0000-0000-000049200000}"/>
    <cellStyle name="Normal 10 9 2 5" xfId="8235" xr:uid="{00000000-0005-0000-0000-00004A200000}"/>
    <cellStyle name="Normal 10 9 3" xfId="8236" xr:uid="{00000000-0005-0000-0000-00004B200000}"/>
    <cellStyle name="Normal 10 9 3 2" xfId="8237" xr:uid="{00000000-0005-0000-0000-00004C200000}"/>
    <cellStyle name="Normal 10 9 3 2 2" xfId="8238" xr:uid="{00000000-0005-0000-0000-00004D200000}"/>
    <cellStyle name="Normal 10 9 3 2 3" xfId="8239" xr:uid="{00000000-0005-0000-0000-00004E200000}"/>
    <cellStyle name="Normal 10 9 3 3" xfId="8240" xr:uid="{00000000-0005-0000-0000-00004F200000}"/>
    <cellStyle name="Normal 10 9 3 4" xfId="8241" xr:uid="{00000000-0005-0000-0000-000050200000}"/>
    <cellStyle name="Normal 10 9 4" xfId="8242" xr:uid="{00000000-0005-0000-0000-000051200000}"/>
    <cellStyle name="Normal 10 9 4 2" xfId="8243" xr:uid="{00000000-0005-0000-0000-000052200000}"/>
    <cellStyle name="Normal 10 9 4 3" xfId="8244" xr:uid="{00000000-0005-0000-0000-000053200000}"/>
    <cellStyle name="Normal 10 9 5" xfId="8245" xr:uid="{00000000-0005-0000-0000-000054200000}"/>
    <cellStyle name="Normal 10 9 6" xfId="8246" xr:uid="{00000000-0005-0000-0000-000055200000}"/>
    <cellStyle name="Normal 11" xfId="8247" xr:uid="{00000000-0005-0000-0000-000056200000}"/>
    <cellStyle name="Normal 11 2" xfId="8248" xr:uid="{00000000-0005-0000-0000-000057200000}"/>
    <cellStyle name="Normal 11 2 2" xfId="8249" xr:uid="{00000000-0005-0000-0000-000058200000}"/>
    <cellStyle name="Normal 11 2 2 2" xfId="8250" xr:uid="{00000000-0005-0000-0000-000059200000}"/>
    <cellStyle name="Normal 11 2 2 2 2" xfId="8251" xr:uid="{00000000-0005-0000-0000-00005A200000}"/>
    <cellStyle name="Normal 11 2 2 2 2 2" xfId="8252" xr:uid="{00000000-0005-0000-0000-00005B200000}"/>
    <cellStyle name="Normal 11 2 2 2 2 2 2" xfId="8253" xr:uid="{00000000-0005-0000-0000-00005C200000}"/>
    <cellStyle name="Normal 11 2 2 2 2 2 3" xfId="8254" xr:uid="{00000000-0005-0000-0000-00005D200000}"/>
    <cellStyle name="Normal 11 2 2 2 2 3" xfId="8255" xr:uid="{00000000-0005-0000-0000-00005E200000}"/>
    <cellStyle name="Normal 11 2 2 2 2 4" xfId="8256" xr:uid="{00000000-0005-0000-0000-00005F200000}"/>
    <cellStyle name="Normal 11 2 2 2 3" xfId="8257" xr:uid="{00000000-0005-0000-0000-000060200000}"/>
    <cellStyle name="Normal 11 2 2 2 3 2" xfId="8258" xr:uid="{00000000-0005-0000-0000-000061200000}"/>
    <cellStyle name="Normal 11 2 2 2 3 3" xfId="8259" xr:uid="{00000000-0005-0000-0000-000062200000}"/>
    <cellStyle name="Normal 11 2 2 2 4" xfId="8260" xr:uid="{00000000-0005-0000-0000-000063200000}"/>
    <cellStyle name="Normal 11 2 2 2 5" xfId="8261" xr:uid="{00000000-0005-0000-0000-000064200000}"/>
    <cellStyle name="Normal 11 2 2 3" xfId="8262" xr:uid="{00000000-0005-0000-0000-000065200000}"/>
    <cellStyle name="Normal 11 2 2 3 2" xfId="8263" xr:uid="{00000000-0005-0000-0000-000066200000}"/>
    <cellStyle name="Normal 11 2 2 3 2 2" xfId="8264" xr:uid="{00000000-0005-0000-0000-000067200000}"/>
    <cellStyle name="Normal 11 2 2 3 2 3" xfId="8265" xr:uid="{00000000-0005-0000-0000-000068200000}"/>
    <cellStyle name="Normal 11 2 2 3 3" xfId="8266" xr:uid="{00000000-0005-0000-0000-000069200000}"/>
    <cellStyle name="Normal 11 2 2 3 4" xfId="8267" xr:uid="{00000000-0005-0000-0000-00006A200000}"/>
    <cellStyle name="Normal 11 2 2 4" xfId="8268" xr:uid="{00000000-0005-0000-0000-00006B200000}"/>
    <cellStyle name="Normal 11 2 2 4 2" xfId="8269" xr:uid="{00000000-0005-0000-0000-00006C200000}"/>
    <cellStyle name="Normal 11 2 2 4 3" xfId="8270" xr:uid="{00000000-0005-0000-0000-00006D200000}"/>
    <cellStyle name="Normal 11 2 2 5" xfId="8271" xr:uid="{00000000-0005-0000-0000-00006E200000}"/>
    <cellStyle name="Normal 11 2 2 6" xfId="8272" xr:uid="{00000000-0005-0000-0000-00006F200000}"/>
    <cellStyle name="Normal 11 2 3" xfId="8273" xr:uid="{00000000-0005-0000-0000-000070200000}"/>
    <cellStyle name="Normal 11 2 4" xfId="8274" xr:uid="{00000000-0005-0000-0000-000071200000}"/>
    <cellStyle name="Normal 11 2 4 2" xfId="8275" xr:uid="{00000000-0005-0000-0000-000072200000}"/>
    <cellStyle name="Normal 11 2 4 2 2" xfId="8276" xr:uid="{00000000-0005-0000-0000-000073200000}"/>
    <cellStyle name="Normal 11 2 4 2 2 2" xfId="8277" xr:uid="{00000000-0005-0000-0000-000074200000}"/>
    <cellStyle name="Normal 11 2 4 2 2 3" xfId="8278" xr:uid="{00000000-0005-0000-0000-000075200000}"/>
    <cellStyle name="Normal 11 2 4 2 3" xfId="8279" xr:uid="{00000000-0005-0000-0000-000076200000}"/>
    <cellStyle name="Normal 11 2 4 2 4" xfId="8280" xr:uid="{00000000-0005-0000-0000-000077200000}"/>
    <cellStyle name="Normal 11 2 4 3" xfId="8281" xr:uid="{00000000-0005-0000-0000-000078200000}"/>
    <cellStyle name="Normal 11 2 4 3 2" xfId="8282" xr:uid="{00000000-0005-0000-0000-000079200000}"/>
    <cellStyle name="Normal 11 2 4 3 3" xfId="8283" xr:uid="{00000000-0005-0000-0000-00007A200000}"/>
    <cellStyle name="Normal 11 2 4 4" xfId="8284" xr:uid="{00000000-0005-0000-0000-00007B200000}"/>
    <cellStyle name="Normal 11 2 4 5" xfId="8285" xr:uid="{00000000-0005-0000-0000-00007C200000}"/>
    <cellStyle name="Normal 11 2 5" xfId="8286" xr:uid="{00000000-0005-0000-0000-00007D200000}"/>
    <cellStyle name="Normal 11 2 5 2" xfId="8287" xr:uid="{00000000-0005-0000-0000-00007E200000}"/>
    <cellStyle name="Normal 11 2 5 2 2" xfId="8288" xr:uid="{00000000-0005-0000-0000-00007F200000}"/>
    <cellStyle name="Normal 11 2 5 2 3" xfId="8289" xr:uid="{00000000-0005-0000-0000-000080200000}"/>
    <cellStyle name="Normal 11 2 5 3" xfId="8290" xr:uid="{00000000-0005-0000-0000-000081200000}"/>
    <cellStyle name="Normal 11 2 5 4" xfId="8291" xr:uid="{00000000-0005-0000-0000-000082200000}"/>
    <cellStyle name="Normal 11 2 6" xfId="8292" xr:uid="{00000000-0005-0000-0000-000083200000}"/>
    <cellStyle name="Normal 11 2 6 2" xfId="8293" xr:uid="{00000000-0005-0000-0000-000084200000}"/>
    <cellStyle name="Normal 11 2 6 3" xfId="8294" xr:uid="{00000000-0005-0000-0000-000085200000}"/>
    <cellStyle name="Normal 11 2 7" xfId="8295" xr:uid="{00000000-0005-0000-0000-000086200000}"/>
    <cellStyle name="Normal 11 2 8" xfId="8296" xr:uid="{00000000-0005-0000-0000-000087200000}"/>
    <cellStyle name="Normal 11 3" xfId="8297" xr:uid="{00000000-0005-0000-0000-000088200000}"/>
    <cellStyle name="Normal 11 3 2" xfId="8298" xr:uid="{00000000-0005-0000-0000-000089200000}"/>
    <cellStyle name="Normal 11 3 2 2" xfId="8299" xr:uid="{00000000-0005-0000-0000-00008A200000}"/>
    <cellStyle name="Normal 11 3 2 2 2" xfId="8300" xr:uid="{00000000-0005-0000-0000-00008B200000}"/>
    <cellStyle name="Normal 11 3 2 2 2 2" xfId="8301" xr:uid="{00000000-0005-0000-0000-00008C200000}"/>
    <cellStyle name="Normal 11 3 2 2 2 3" xfId="8302" xr:uid="{00000000-0005-0000-0000-00008D200000}"/>
    <cellStyle name="Normal 11 3 2 2 3" xfId="8303" xr:uid="{00000000-0005-0000-0000-00008E200000}"/>
    <cellStyle name="Normal 11 3 2 2 4" xfId="8304" xr:uid="{00000000-0005-0000-0000-00008F200000}"/>
    <cellStyle name="Normal 11 3 2 3" xfId="8305" xr:uid="{00000000-0005-0000-0000-000090200000}"/>
    <cellStyle name="Normal 11 3 2 3 2" xfId="8306" xr:uid="{00000000-0005-0000-0000-000091200000}"/>
    <cellStyle name="Normal 11 3 2 3 3" xfId="8307" xr:uid="{00000000-0005-0000-0000-000092200000}"/>
    <cellStyle name="Normal 11 3 2 4" xfId="8308" xr:uid="{00000000-0005-0000-0000-000093200000}"/>
    <cellStyle name="Normal 11 3 2 5" xfId="8309" xr:uid="{00000000-0005-0000-0000-000094200000}"/>
    <cellStyle name="Normal 11 3 3" xfId="8310" xr:uid="{00000000-0005-0000-0000-000095200000}"/>
    <cellStyle name="Normal 11 3 3 2" xfId="8311" xr:uid="{00000000-0005-0000-0000-000096200000}"/>
    <cellStyle name="Normal 11 3 3 2 2" xfId="8312" xr:uid="{00000000-0005-0000-0000-000097200000}"/>
    <cellStyle name="Normal 11 3 3 2 3" xfId="8313" xr:uid="{00000000-0005-0000-0000-000098200000}"/>
    <cellStyle name="Normal 11 3 3 3" xfId="8314" xr:uid="{00000000-0005-0000-0000-000099200000}"/>
    <cellStyle name="Normal 11 3 3 4" xfId="8315" xr:uid="{00000000-0005-0000-0000-00009A200000}"/>
    <cellStyle name="Normal 11 3 4" xfId="8316" xr:uid="{00000000-0005-0000-0000-00009B200000}"/>
    <cellStyle name="Normal 11 3 4 2" xfId="8317" xr:uid="{00000000-0005-0000-0000-00009C200000}"/>
    <cellStyle name="Normal 11 3 4 3" xfId="8318" xr:uid="{00000000-0005-0000-0000-00009D200000}"/>
    <cellStyle name="Normal 11 3 5" xfId="8319" xr:uid="{00000000-0005-0000-0000-00009E200000}"/>
    <cellStyle name="Normal 11 3 6" xfId="8320" xr:uid="{00000000-0005-0000-0000-00009F200000}"/>
    <cellStyle name="Normal 11 4" xfId="8321" xr:uid="{00000000-0005-0000-0000-0000A0200000}"/>
    <cellStyle name="Normal 11 4 2" xfId="8322" xr:uid="{00000000-0005-0000-0000-0000A1200000}"/>
    <cellStyle name="Normal 11 4 2 2" xfId="8323" xr:uid="{00000000-0005-0000-0000-0000A2200000}"/>
    <cellStyle name="Normal 11 4 2 2 2" xfId="8324" xr:uid="{00000000-0005-0000-0000-0000A3200000}"/>
    <cellStyle name="Normal 11 4 2 2 2 2" xfId="8325" xr:uid="{00000000-0005-0000-0000-0000A4200000}"/>
    <cellStyle name="Normal 11 4 2 2 2 3" xfId="8326" xr:uid="{00000000-0005-0000-0000-0000A5200000}"/>
    <cellStyle name="Normal 11 4 2 2 3" xfId="8327" xr:uid="{00000000-0005-0000-0000-0000A6200000}"/>
    <cellStyle name="Normal 11 4 2 2 4" xfId="8328" xr:uid="{00000000-0005-0000-0000-0000A7200000}"/>
    <cellStyle name="Normal 11 4 2 3" xfId="8329" xr:uid="{00000000-0005-0000-0000-0000A8200000}"/>
    <cellStyle name="Normal 11 4 2 3 2" xfId="8330" xr:uid="{00000000-0005-0000-0000-0000A9200000}"/>
    <cellStyle name="Normal 11 4 2 3 3" xfId="8331" xr:uid="{00000000-0005-0000-0000-0000AA200000}"/>
    <cellStyle name="Normal 11 4 2 4" xfId="8332" xr:uid="{00000000-0005-0000-0000-0000AB200000}"/>
    <cellStyle name="Normal 11 4 2 5" xfId="8333" xr:uid="{00000000-0005-0000-0000-0000AC200000}"/>
    <cellStyle name="Normal 11 4 3" xfId="8334" xr:uid="{00000000-0005-0000-0000-0000AD200000}"/>
    <cellStyle name="Normal 11 4 3 2" xfId="8335" xr:uid="{00000000-0005-0000-0000-0000AE200000}"/>
    <cellStyle name="Normal 11 4 3 2 2" xfId="8336" xr:uid="{00000000-0005-0000-0000-0000AF200000}"/>
    <cellStyle name="Normal 11 4 3 2 3" xfId="8337" xr:uid="{00000000-0005-0000-0000-0000B0200000}"/>
    <cellStyle name="Normal 11 4 3 3" xfId="8338" xr:uid="{00000000-0005-0000-0000-0000B1200000}"/>
    <cellStyle name="Normal 11 4 3 4" xfId="8339" xr:uid="{00000000-0005-0000-0000-0000B2200000}"/>
    <cellStyle name="Normal 11 4 4" xfId="8340" xr:uid="{00000000-0005-0000-0000-0000B3200000}"/>
    <cellStyle name="Normal 11 4 4 2" xfId="8341" xr:uid="{00000000-0005-0000-0000-0000B4200000}"/>
    <cellStyle name="Normal 11 4 4 3" xfId="8342" xr:uid="{00000000-0005-0000-0000-0000B5200000}"/>
    <cellStyle name="Normal 11 4 5" xfId="8343" xr:uid="{00000000-0005-0000-0000-0000B6200000}"/>
    <cellStyle name="Normal 11 4 6" xfId="8344" xr:uid="{00000000-0005-0000-0000-0000B7200000}"/>
    <cellStyle name="Normal 11 5" xfId="8345" xr:uid="{00000000-0005-0000-0000-0000B8200000}"/>
    <cellStyle name="Normal 11 5 2" xfId="8346" xr:uid="{00000000-0005-0000-0000-0000B9200000}"/>
    <cellStyle name="Normal 11 5 2 2" xfId="8347" xr:uid="{00000000-0005-0000-0000-0000BA200000}"/>
    <cellStyle name="Normal 11 5 2 2 2" xfId="8348" xr:uid="{00000000-0005-0000-0000-0000BB200000}"/>
    <cellStyle name="Normal 11 5 2 2 3" xfId="8349" xr:uid="{00000000-0005-0000-0000-0000BC200000}"/>
    <cellStyle name="Normal 11 5 2 3" xfId="8350" xr:uid="{00000000-0005-0000-0000-0000BD200000}"/>
    <cellStyle name="Normal 11 5 2 4" xfId="8351" xr:uid="{00000000-0005-0000-0000-0000BE200000}"/>
    <cellStyle name="Normal 11 5 3" xfId="8352" xr:uid="{00000000-0005-0000-0000-0000BF200000}"/>
    <cellStyle name="Normal 11 5 3 2" xfId="8353" xr:uid="{00000000-0005-0000-0000-0000C0200000}"/>
    <cellStyle name="Normal 11 5 3 3" xfId="8354" xr:uid="{00000000-0005-0000-0000-0000C1200000}"/>
    <cellStyle name="Normal 11 5 4" xfId="8355" xr:uid="{00000000-0005-0000-0000-0000C2200000}"/>
    <cellStyle name="Normal 11 5 5" xfId="8356" xr:uid="{00000000-0005-0000-0000-0000C3200000}"/>
    <cellStyle name="Normal 11 6" xfId="8357" xr:uid="{00000000-0005-0000-0000-0000C4200000}"/>
    <cellStyle name="Normal 11 6 2" xfId="8358" xr:uid="{00000000-0005-0000-0000-0000C5200000}"/>
    <cellStyle name="Normal 11 6 2 2" xfId="8359" xr:uid="{00000000-0005-0000-0000-0000C6200000}"/>
    <cellStyle name="Normal 11 6 2 3" xfId="8360" xr:uid="{00000000-0005-0000-0000-0000C7200000}"/>
    <cellStyle name="Normal 11 6 3" xfId="8361" xr:uid="{00000000-0005-0000-0000-0000C8200000}"/>
    <cellStyle name="Normal 11 6 4" xfId="8362" xr:uid="{00000000-0005-0000-0000-0000C9200000}"/>
    <cellStyle name="Normal 11 7" xfId="8363" xr:uid="{00000000-0005-0000-0000-0000CA200000}"/>
    <cellStyle name="Normal 11 7 2" xfId="8364" xr:uid="{00000000-0005-0000-0000-0000CB200000}"/>
    <cellStyle name="Normal 11 7 3" xfId="8365" xr:uid="{00000000-0005-0000-0000-0000CC200000}"/>
    <cellStyle name="Normal 11 8" xfId="8366" xr:uid="{00000000-0005-0000-0000-0000CD200000}"/>
    <cellStyle name="Normal 11 9" xfId="8367" xr:uid="{00000000-0005-0000-0000-0000CE200000}"/>
    <cellStyle name="Normal 12" xfId="8368" xr:uid="{00000000-0005-0000-0000-0000CF200000}"/>
    <cellStyle name="Normal 12 10" xfId="8369" xr:uid="{00000000-0005-0000-0000-0000D0200000}"/>
    <cellStyle name="Normal 12 10 2" xfId="8370" xr:uid="{00000000-0005-0000-0000-0000D1200000}"/>
    <cellStyle name="Normal 12 10 3" xfId="8371" xr:uid="{00000000-0005-0000-0000-0000D2200000}"/>
    <cellStyle name="Normal 12 11" xfId="8372" xr:uid="{00000000-0005-0000-0000-0000D3200000}"/>
    <cellStyle name="Normal 12 11 2" xfId="8373" xr:uid="{00000000-0005-0000-0000-0000D4200000}"/>
    <cellStyle name="Normal 12 11 3" xfId="8374" xr:uid="{00000000-0005-0000-0000-0000D5200000}"/>
    <cellStyle name="Normal 12 12" xfId="8375" xr:uid="{00000000-0005-0000-0000-0000D6200000}"/>
    <cellStyle name="Normal 12 13" xfId="8376" xr:uid="{00000000-0005-0000-0000-0000D7200000}"/>
    <cellStyle name="Normal 12 2" xfId="8377" xr:uid="{00000000-0005-0000-0000-0000D8200000}"/>
    <cellStyle name="Normal 12 2 2" xfId="8378" xr:uid="{00000000-0005-0000-0000-0000D9200000}"/>
    <cellStyle name="Normal 12 2 2 2" xfId="8379" xr:uid="{00000000-0005-0000-0000-0000DA200000}"/>
    <cellStyle name="Normal 12 2 2 2 2" xfId="8380" xr:uid="{00000000-0005-0000-0000-0000DB200000}"/>
    <cellStyle name="Normal 12 2 2 2 2 2" xfId="8381" xr:uid="{00000000-0005-0000-0000-0000DC200000}"/>
    <cellStyle name="Normal 12 2 2 2 2 2 2" xfId="8382" xr:uid="{00000000-0005-0000-0000-0000DD200000}"/>
    <cellStyle name="Normal 12 2 2 2 2 2 2 2" xfId="8383" xr:uid="{00000000-0005-0000-0000-0000DE200000}"/>
    <cellStyle name="Normal 12 2 2 2 2 2 2 2 2" xfId="8384" xr:uid="{00000000-0005-0000-0000-0000DF200000}"/>
    <cellStyle name="Normal 12 2 2 2 2 2 2 2 3" xfId="8385" xr:uid="{00000000-0005-0000-0000-0000E0200000}"/>
    <cellStyle name="Normal 12 2 2 2 2 2 2 3" xfId="8386" xr:uid="{00000000-0005-0000-0000-0000E1200000}"/>
    <cellStyle name="Normal 12 2 2 2 2 2 2 4" xfId="8387" xr:uid="{00000000-0005-0000-0000-0000E2200000}"/>
    <cellStyle name="Normal 12 2 2 2 2 2 3" xfId="8388" xr:uid="{00000000-0005-0000-0000-0000E3200000}"/>
    <cellStyle name="Normal 12 2 2 2 2 2 3 2" xfId="8389" xr:uid="{00000000-0005-0000-0000-0000E4200000}"/>
    <cellStyle name="Normal 12 2 2 2 2 2 3 3" xfId="8390" xr:uid="{00000000-0005-0000-0000-0000E5200000}"/>
    <cellStyle name="Normal 12 2 2 2 2 2 4" xfId="8391" xr:uid="{00000000-0005-0000-0000-0000E6200000}"/>
    <cellStyle name="Normal 12 2 2 2 2 2 5" xfId="8392" xr:uid="{00000000-0005-0000-0000-0000E7200000}"/>
    <cellStyle name="Normal 12 2 2 2 2 3" xfId="8393" xr:uid="{00000000-0005-0000-0000-0000E8200000}"/>
    <cellStyle name="Normal 12 2 2 2 2 3 2" xfId="8394" xr:uid="{00000000-0005-0000-0000-0000E9200000}"/>
    <cellStyle name="Normal 12 2 2 2 2 3 2 2" xfId="8395" xr:uid="{00000000-0005-0000-0000-0000EA200000}"/>
    <cellStyle name="Normal 12 2 2 2 2 3 2 3" xfId="8396" xr:uid="{00000000-0005-0000-0000-0000EB200000}"/>
    <cellStyle name="Normal 12 2 2 2 2 3 3" xfId="8397" xr:uid="{00000000-0005-0000-0000-0000EC200000}"/>
    <cellStyle name="Normal 12 2 2 2 2 3 4" xfId="8398" xr:uid="{00000000-0005-0000-0000-0000ED200000}"/>
    <cellStyle name="Normal 12 2 2 2 2 4" xfId="8399" xr:uid="{00000000-0005-0000-0000-0000EE200000}"/>
    <cellStyle name="Normal 12 2 2 2 2 4 2" xfId="8400" xr:uid="{00000000-0005-0000-0000-0000EF200000}"/>
    <cellStyle name="Normal 12 2 2 2 2 4 3" xfId="8401" xr:uid="{00000000-0005-0000-0000-0000F0200000}"/>
    <cellStyle name="Normal 12 2 2 2 2 5" xfId="8402" xr:uid="{00000000-0005-0000-0000-0000F1200000}"/>
    <cellStyle name="Normal 12 2 2 2 2 6" xfId="8403" xr:uid="{00000000-0005-0000-0000-0000F2200000}"/>
    <cellStyle name="Normal 12 2 2 2 3" xfId="8404" xr:uid="{00000000-0005-0000-0000-0000F3200000}"/>
    <cellStyle name="Normal 12 2 2 2 3 2" xfId="8405" xr:uid="{00000000-0005-0000-0000-0000F4200000}"/>
    <cellStyle name="Normal 12 2 2 2 3 2 2" xfId="8406" xr:uid="{00000000-0005-0000-0000-0000F5200000}"/>
    <cellStyle name="Normal 12 2 2 2 3 2 2 2" xfId="8407" xr:uid="{00000000-0005-0000-0000-0000F6200000}"/>
    <cellStyle name="Normal 12 2 2 2 3 2 2 3" xfId="8408" xr:uid="{00000000-0005-0000-0000-0000F7200000}"/>
    <cellStyle name="Normal 12 2 2 2 3 2 3" xfId="8409" xr:uid="{00000000-0005-0000-0000-0000F8200000}"/>
    <cellStyle name="Normal 12 2 2 2 3 2 4" xfId="8410" xr:uid="{00000000-0005-0000-0000-0000F9200000}"/>
    <cellStyle name="Normal 12 2 2 2 3 3" xfId="8411" xr:uid="{00000000-0005-0000-0000-0000FA200000}"/>
    <cellStyle name="Normal 12 2 2 2 3 3 2" xfId="8412" xr:uid="{00000000-0005-0000-0000-0000FB200000}"/>
    <cellStyle name="Normal 12 2 2 2 3 3 3" xfId="8413" xr:uid="{00000000-0005-0000-0000-0000FC200000}"/>
    <cellStyle name="Normal 12 2 2 2 3 4" xfId="8414" xr:uid="{00000000-0005-0000-0000-0000FD200000}"/>
    <cellStyle name="Normal 12 2 2 2 3 5" xfId="8415" xr:uid="{00000000-0005-0000-0000-0000FE200000}"/>
    <cellStyle name="Normal 12 2 2 2 4" xfId="8416" xr:uid="{00000000-0005-0000-0000-0000FF200000}"/>
    <cellStyle name="Normal 12 2 2 2 4 2" xfId="8417" xr:uid="{00000000-0005-0000-0000-000000210000}"/>
    <cellStyle name="Normal 12 2 2 2 4 2 2" xfId="8418" xr:uid="{00000000-0005-0000-0000-000001210000}"/>
    <cellStyle name="Normal 12 2 2 2 4 2 3" xfId="8419" xr:uid="{00000000-0005-0000-0000-000002210000}"/>
    <cellStyle name="Normal 12 2 2 2 4 3" xfId="8420" xr:uid="{00000000-0005-0000-0000-000003210000}"/>
    <cellStyle name="Normal 12 2 2 2 4 4" xfId="8421" xr:uid="{00000000-0005-0000-0000-000004210000}"/>
    <cellStyle name="Normal 12 2 2 2 5" xfId="8422" xr:uid="{00000000-0005-0000-0000-000005210000}"/>
    <cellStyle name="Normal 12 2 2 2 5 2" xfId="8423" xr:uid="{00000000-0005-0000-0000-000006210000}"/>
    <cellStyle name="Normal 12 2 2 2 5 3" xfId="8424" xr:uid="{00000000-0005-0000-0000-000007210000}"/>
    <cellStyle name="Normal 12 2 2 2 6" xfId="8425" xr:uid="{00000000-0005-0000-0000-000008210000}"/>
    <cellStyle name="Normal 12 2 2 2 7" xfId="8426" xr:uid="{00000000-0005-0000-0000-000009210000}"/>
    <cellStyle name="Normal 12 2 2 3" xfId="8427" xr:uid="{00000000-0005-0000-0000-00000A210000}"/>
    <cellStyle name="Normal 12 2 2 3 2" xfId="8428" xr:uid="{00000000-0005-0000-0000-00000B210000}"/>
    <cellStyle name="Normal 12 2 2 3 2 2" xfId="8429" xr:uid="{00000000-0005-0000-0000-00000C210000}"/>
    <cellStyle name="Normal 12 2 2 3 2 2 2" xfId="8430" xr:uid="{00000000-0005-0000-0000-00000D210000}"/>
    <cellStyle name="Normal 12 2 2 3 2 2 2 2" xfId="8431" xr:uid="{00000000-0005-0000-0000-00000E210000}"/>
    <cellStyle name="Normal 12 2 2 3 2 2 2 2 2" xfId="8432" xr:uid="{00000000-0005-0000-0000-00000F210000}"/>
    <cellStyle name="Normal 12 2 2 3 2 2 2 2 3" xfId="8433" xr:uid="{00000000-0005-0000-0000-000010210000}"/>
    <cellStyle name="Normal 12 2 2 3 2 2 2 3" xfId="8434" xr:uid="{00000000-0005-0000-0000-000011210000}"/>
    <cellStyle name="Normal 12 2 2 3 2 2 2 4" xfId="8435" xr:uid="{00000000-0005-0000-0000-000012210000}"/>
    <cellStyle name="Normal 12 2 2 3 2 2 3" xfId="8436" xr:uid="{00000000-0005-0000-0000-000013210000}"/>
    <cellStyle name="Normal 12 2 2 3 2 2 3 2" xfId="8437" xr:uid="{00000000-0005-0000-0000-000014210000}"/>
    <cellStyle name="Normal 12 2 2 3 2 2 3 3" xfId="8438" xr:uid="{00000000-0005-0000-0000-000015210000}"/>
    <cellStyle name="Normal 12 2 2 3 2 2 4" xfId="8439" xr:uid="{00000000-0005-0000-0000-000016210000}"/>
    <cellStyle name="Normal 12 2 2 3 2 2 5" xfId="8440" xr:uid="{00000000-0005-0000-0000-000017210000}"/>
    <cellStyle name="Normal 12 2 2 3 2 3" xfId="8441" xr:uid="{00000000-0005-0000-0000-000018210000}"/>
    <cellStyle name="Normal 12 2 2 3 2 3 2" xfId="8442" xr:uid="{00000000-0005-0000-0000-000019210000}"/>
    <cellStyle name="Normal 12 2 2 3 2 3 2 2" xfId="8443" xr:uid="{00000000-0005-0000-0000-00001A210000}"/>
    <cellStyle name="Normal 12 2 2 3 2 3 2 3" xfId="8444" xr:uid="{00000000-0005-0000-0000-00001B210000}"/>
    <cellStyle name="Normal 12 2 2 3 2 3 3" xfId="8445" xr:uid="{00000000-0005-0000-0000-00001C210000}"/>
    <cellStyle name="Normal 12 2 2 3 2 3 4" xfId="8446" xr:uid="{00000000-0005-0000-0000-00001D210000}"/>
    <cellStyle name="Normal 12 2 2 3 2 4" xfId="8447" xr:uid="{00000000-0005-0000-0000-00001E210000}"/>
    <cellStyle name="Normal 12 2 2 3 2 4 2" xfId="8448" xr:uid="{00000000-0005-0000-0000-00001F210000}"/>
    <cellStyle name="Normal 12 2 2 3 2 4 3" xfId="8449" xr:uid="{00000000-0005-0000-0000-000020210000}"/>
    <cellStyle name="Normal 12 2 2 3 2 5" xfId="8450" xr:uid="{00000000-0005-0000-0000-000021210000}"/>
    <cellStyle name="Normal 12 2 2 3 2 6" xfId="8451" xr:uid="{00000000-0005-0000-0000-000022210000}"/>
    <cellStyle name="Normal 12 2 2 3 3" xfId="8452" xr:uid="{00000000-0005-0000-0000-000023210000}"/>
    <cellStyle name="Normal 12 2 2 3 3 2" xfId="8453" xr:uid="{00000000-0005-0000-0000-000024210000}"/>
    <cellStyle name="Normal 12 2 2 3 3 2 2" xfId="8454" xr:uid="{00000000-0005-0000-0000-000025210000}"/>
    <cellStyle name="Normal 12 2 2 3 3 2 2 2" xfId="8455" xr:uid="{00000000-0005-0000-0000-000026210000}"/>
    <cellStyle name="Normal 12 2 2 3 3 2 2 3" xfId="8456" xr:uid="{00000000-0005-0000-0000-000027210000}"/>
    <cellStyle name="Normal 12 2 2 3 3 2 3" xfId="8457" xr:uid="{00000000-0005-0000-0000-000028210000}"/>
    <cellStyle name="Normal 12 2 2 3 3 2 4" xfId="8458" xr:uid="{00000000-0005-0000-0000-000029210000}"/>
    <cellStyle name="Normal 12 2 2 3 3 3" xfId="8459" xr:uid="{00000000-0005-0000-0000-00002A210000}"/>
    <cellStyle name="Normal 12 2 2 3 3 3 2" xfId="8460" xr:uid="{00000000-0005-0000-0000-00002B210000}"/>
    <cellStyle name="Normal 12 2 2 3 3 3 3" xfId="8461" xr:uid="{00000000-0005-0000-0000-00002C210000}"/>
    <cellStyle name="Normal 12 2 2 3 3 4" xfId="8462" xr:uid="{00000000-0005-0000-0000-00002D210000}"/>
    <cellStyle name="Normal 12 2 2 3 3 5" xfId="8463" xr:uid="{00000000-0005-0000-0000-00002E210000}"/>
    <cellStyle name="Normal 12 2 2 3 4" xfId="8464" xr:uid="{00000000-0005-0000-0000-00002F210000}"/>
    <cellStyle name="Normal 12 2 2 3 4 2" xfId="8465" xr:uid="{00000000-0005-0000-0000-000030210000}"/>
    <cellStyle name="Normal 12 2 2 3 4 2 2" xfId="8466" xr:uid="{00000000-0005-0000-0000-000031210000}"/>
    <cellStyle name="Normal 12 2 2 3 4 2 3" xfId="8467" xr:uid="{00000000-0005-0000-0000-000032210000}"/>
    <cellStyle name="Normal 12 2 2 3 4 3" xfId="8468" xr:uid="{00000000-0005-0000-0000-000033210000}"/>
    <cellStyle name="Normal 12 2 2 3 4 4" xfId="8469" xr:uid="{00000000-0005-0000-0000-000034210000}"/>
    <cellStyle name="Normal 12 2 2 3 5" xfId="8470" xr:uid="{00000000-0005-0000-0000-000035210000}"/>
    <cellStyle name="Normal 12 2 2 3 5 2" xfId="8471" xr:uid="{00000000-0005-0000-0000-000036210000}"/>
    <cellStyle name="Normal 12 2 2 3 5 3" xfId="8472" xr:uid="{00000000-0005-0000-0000-000037210000}"/>
    <cellStyle name="Normal 12 2 2 3 6" xfId="8473" xr:uid="{00000000-0005-0000-0000-000038210000}"/>
    <cellStyle name="Normal 12 2 2 3 7" xfId="8474" xr:uid="{00000000-0005-0000-0000-000039210000}"/>
    <cellStyle name="Normal 12 2 2 4" xfId="8475" xr:uid="{00000000-0005-0000-0000-00003A210000}"/>
    <cellStyle name="Normal 12 2 2 4 2" xfId="8476" xr:uid="{00000000-0005-0000-0000-00003B210000}"/>
    <cellStyle name="Normal 12 2 2 4 2 2" xfId="8477" xr:uid="{00000000-0005-0000-0000-00003C210000}"/>
    <cellStyle name="Normal 12 2 2 4 2 2 2" xfId="8478" xr:uid="{00000000-0005-0000-0000-00003D210000}"/>
    <cellStyle name="Normal 12 2 2 4 2 2 2 2" xfId="8479" xr:uid="{00000000-0005-0000-0000-00003E210000}"/>
    <cellStyle name="Normal 12 2 2 4 2 2 2 3" xfId="8480" xr:uid="{00000000-0005-0000-0000-00003F210000}"/>
    <cellStyle name="Normal 12 2 2 4 2 2 3" xfId="8481" xr:uid="{00000000-0005-0000-0000-000040210000}"/>
    <cellStyle name="Normal 12 2 2 4 2 2 4" xfId="8482" xr:uid="{00000000-0005-0000-0000-000041210000}"/>
    <cellStyle name="Normal 12 2 2 4 2 3" xfId="8483" xr:uid="{00000000-0005-0000-0000-000042210000}"/>
    <cellStyle name="Normal 12 2 2 4 2 3 2" xfId="8484" xr:uid="{00000000-0005-0000-0000-000043210000}"/>
    <cellStyle name="Normal 12 2 2 4 2 3 3" xfId="8485" xr:uid="{00000000-0005-0000-0000-000044210000}"/>
    <cellStyle name="Normal 12 2 2 4 2 4" xfId="8486" xr:uid="{00000000-0005-0000-0000-000045210000}"/>
    <cellStyle name="Normal 12 2 2 4 2 5" xfId="8487" xr:uid="{00000000-0005-0000-0000-000046210000}"/>
    <cellStyle name="Normal 12 2 2 4 3" xfId="8488" xr:uid="{00000000-0005-0000-0000-000047210000}"/>
    <cellStyle name="Normal 12 2 2 4 3 2" xfId="8489" xr:uid="{00000000-0005-0000-0000-000048210000}"/>
    <cellStyle name="Normal 12 2 2 4 3 2 2" xfId="8490" xr:uid="{00000000-0005-0000-0000-000049210000}"/>
    <cellStyle name="Normal 12 2 2 4 3 2 3" xfId="8491" xr:uid="{00000000-0005-0000-0000-00004A210000}"/>
    <cellStyle name="Normal 12 2 2 4 3 3" xfId="8492" xr:uid="{00000000-0005-0000-0000-00004B210000}"/>
    <cellStyle name="Normal 12 2 2 4 3 4" xfId="8493" xr:uid="{00000000-0005-0000-0000-00004C210000}"/>
    <cellStyle name="Normal 12 2 2 4 4" xfId="8494" xr:uid="{00000000-0005-0000-0000-00004D210000}"/>
    <cellStyle name="Normal 12 2 2 4 4 2" xfId="8495" xr:uid="{00000000-0005-0000-0000-00004E210000}"/>
    <cellStyle name="Normal 12 2 2 4 4 3" xfId="8496" xr:uid="{00000000-0005-0000-0000-00004F210000}"/>
    <cellStyle name="Normal 12 2 2 4 5" xfId="8497" xr:uid="{00000000-0005-0000-0000-000050210000}"/>
    <cellStyle name="Normal 12 2 2 4 6" xfId="8498" xr:uid="{00000000-0005-0000-0000-000051210000}"/>
    <cellStyle name="Normal 12 2 2 5" xfId="8499" xr:uid="{00000000-0005-0000-0000-000052210000}"/>
    <cellStyle name="Normal 12 2 2 5 2" xfId="8500" xr:uid="{00000000-0005-0000-0000-000053210000}"/>
    <cellStyle name="Normal 12 2 2 5 2 2" xfId="8501" xr:uid="{00000000-0005-0000-0000-000054210000}"/>
    <cellStyle name="Normal 12 2 2 5 2 2 2" xfId="8502" xr:uid="{00000000-0005-0000-0000-000055210000}"/>
    <cellStyle name="Normal 12 2 2 5 2 2 3" xfId="8503" xr:uid="{00000000-0005-0000-0000-000056210000}"/>
    <cellStyle name="Normal 12 2 2 5 2 3" xfId="8504" xr:uid="{00000000-0005-0000-0000-000057210000}"/>
    <cellStyle name="Normal 12 2 2 5 2 4" xfId="8505" xr:uid="{00000000-0005-0000-0000-000058210000}"/>
    <cellStyle name="Normal 12 2 2 5 3" xfId="8506" xr:uid="{00000000-0005-0000-0000-000059210000}"/>
    <cellStyle name="Normal 12 2 2 5 3 2" xfId="8507" xr:uid="{00000000-0005-0000-0000-00005A210000}"/>
    <cellStyle name="Normal 12 2 2 5 3 3" xfId="8508" xr:uid="{00000000-0005-0000-0000-00005B210000}"/>
    <cellStyle name="Normal 12 2 2 5 4" xfId="8509" xr:uid="{00000000-0005-0000-0000-00005C210000}"/>
    <cellStyle name="Normal 12 2 2 5 5" xfId="8510" xr:uid="{00000000-0005-0000-0000-00005D210000}"/>
    <cellStyle name="Normal 12 2 2 6" xfId="8511" xr:uid="{00000000-0005-0000-0000-00005E210000}"/>
    <cellStyle name="Normal 12 2 2 6 2" xfId="8512" xr:uid="{00000000-0005-0000-0000-00005F210000}"/>
    <cellStyle name="Normal 12 2 2 6 2 2" xfId="8513" xr:uid="{00000000-0005-0000-0000-000060210000}"/>
    <cellStyle name="Normal 12 2 2 6 2 3" xfId="8514" xr:uid="{00000000-0005-0000-0000-000061210000}"/>
    <cellStyle name="Normal 12 2 2 6 3" xfId="8515" xr:uid="{00000000-0005-0000-0000-000062210000}"/>
    <cellStyle name="Normal 12 2 2 6 4" xfId="8516" xr:uid="{00000000-0005-0000-0000-000063210000}"/>
    <cellStyle name="Normal 12 2 2 7" xfId="8517" xr:uid="{00000000-0005-0000-0000-000064210000}"/>
    <cellStyle name="Normal 12 2 2 7 2" xfId="8518" xr:uid="{00000000-0005-0000-0000-000065210000}"/>
    <cellStyle name="Normal 12 2 2 7 3" xfId="8519" xr:uid="{00000000-0005-0000-0000-000066210000}"/>
    <cellStyle name="Normal 12 2 2 8" xfId="8520" xr:uid="{00000000-0005-0000-0000-000067210000}"/>
    <cellStyle name="Normal 12 2 2 9" xfId="8521" xr:uid="{00000000-0005-0000-0000-000068210000}"/>
    <cellStyle name="Normal 12 2 3" xfId="8522" xr:uid="{00000000-0005-0000-0000-000069210000}"/>
    <cellStyle name="Normal 12 2 3 2" xfId="8523" xr:uid="{00000000-0005-0000-0000-00006A210000}"/>
    <cellStyle name="Normal 12 2 3 2 2" xfId="8524" xr:uid="{00000000-0005-0000-0000-00006B210000}"/>
    <cellStyle name="Normal 12 2 3 2 2 2" xfId="8525" xr:uid="{00000000-0005-0000-0000-00006C210000}"/>
    <cellStyle name="Normal 12 2 3 2 2 2 2" xfId="8526" xr:uid="{00000000-0005-0000-0000-00006D210000}"/>
    <cellStyle name="Normal 12 2 3 2 2 2 2 2" xfId="8527" xr:uid="{00000000-0005-0000-0000-00006E210000}"/>
    <cellStyle name="Normal 12 2 3 2 2 2 2 3" xfId="8528" xr:uid="{00000000-0005-0000-0000-00006F210000}"/>
    <cellStyle name="Normal 12 2 3 2 2 2 3" xfId="8529" xr:uid="{00000000-0005-0000-0000-000070210000}"/>
    <cellStyle name="Normal 12 2 3 2 2 2 4" xfId="8530" xr:uid="{00000000-0005-0000-0000-000071210000}"/>
    <cellStyle name="Normal 12 2 3 2 2 3" xfId="8531" xr:uid="{00000000-0005-0000-0000-000072210000}"/>
    <cellStyle name="Normal 12 2 3 2 2 3 2" xfId="8532" xr:uid="{00000000-0005-0000-0000-000073210000}"/>
    <cellStyle name="Normal 12 2 3 2 2 3 3" xfId="8533" xr:uid="{00000000-0005-0000-0000-000074210000}"/>
    <cellStyle name="Normal 12 2 3 2 2 4" xfId="8534" xr:uid="{00000000-0005-0000-0000-000075210000}"/>
    <cellStyle name="Normal 12 2 3 2 2 5" xfId="8535" xr:uid="{00000000-0005-0000-0000-000076210000}"/>
    <cellStyle name="Normal 12 2 3 2 3" xfId="8536" xr:uid="{00000000-0005-0000-0000-000077210000}"/>
    <cellStyle name="Normal 12 2 3 2 3 2" xfId="8537" xr:uid="{00000000-0005-0000-0000-000078210000}"/>
    <cellStyle name="Normal 12 2 3 2 3 2 2" xfId="8538" xr:uid="{00000000-0005-0000-0000-000079210000}"/>
    <cellStyle name="Normal 12 2 3 2 3 2 3" xfId="8539" xr:uid="{00000000-0005-0000-0000-00007A210000}"/>
    <cellStyle name="Normal 12 2 3 2 3 3" xfId="8540" xr:uid="{00000000-0005-0000-0000-00007B210000}"/>
    <cellStyle name="Normal 12 2 3 2 3 4" xfId="8541" xr:uid="{00000000-0005-0000-0000-00007C210000}"/>
    <cellStyle name="Normal 12 2 3 2 4" xfId="8542" xr:uid="{00000000-0005-0000-0000-00007D210000}"/>
    <cellStyle name="Normal 12 2 3 2 4 2" xfId="8543" xr:uid="{00000000-0005-0000-0000-00007E210000}"/>
    <cellStyle name="Normal 12 2 3 2 4 3" xfId="8544" xr:uid="{00000000-0005-0000-0000-00007F210000}"/>
    <cellStyle name="Normal 12 2 3 2 5" xfId="8545" xr:uid="{00000000-0005-0000-0000-000080210000}"/>
    <cellStyle name="Normal 12 2 3 2 6" xfId="8546" xr:uid="{00000000-0005-0000-0000-000081210000}"/>
    <cellStyle name="Normal 12 2 3 3" xfId="8547" xr:uid="{00000000-0005-0000-0000-000082210000}"/>
    <cellStyle name="Normal 12 2 3 3 2" xfId="8548" xr:uid="{00000000-0005-0000-0000-000083210000}"/>
    <cellStyle name="Normal 12 2 3 3 2 2" xfId="8549" xr:uid="{00000000-0005-0000-0000-000084210000}"/>
    <cellStyle name="Normal 12 2 3 3 2 2 2" xfId="8550" xr:uid="{00000000-0005-0000-0000-000085210000}"/>
    <cellStyle name="Normal 12 2 3 3 2 2 3" xfId="8551" xr:uid="{00000000-0005-0000-0000-000086210000}"/>
    <cellStyle name="Normal 12 2 3 3 2 3" xfId="8552" xr:uid="{00000000-0005-0000-0000-000087210000}"/>
    <cellStyle name="Normal 12 2 3 3 2 4" xfId="8553" xr:uid="{00000000-0005-0000-0000-000088210000}"/>
    <cellStyle name="Normal 12 2 3 3 3" xfId="8554" xr:uid="{00000000-0005-0000-0000-000089210000}"/>
    <cellStyle name="Normal 12 2 3 3 3 2" xfId="8555" xr:uid="{00000000-0005-0000-0000-00008A210000}"/>
    <cellStyle name="Normal 12 2 3 3 3 3" xfId="8556" xr:uid="{00000000-0005-0000-0000-00008B210000}"/>
    <cellStyle name="Normal 12 2 3 3 4" xfId="8557" xr:uid="{00000000-0005-0000-0000-00008C210000}"/>
    <cellStyle name="Normal 12 2 3 3 5" xfId="8558" xr:uid="{00000000-0005-0000-0000-00008D210000}"/>
    <cellStyle name="Normal 12 2 3 4" xfId="8559" xr:uid="{00000000-0005-0000-0000-00008E210000}"/>
    <cellStyle name="Normal 12 2 3 4 2" xfId="8560" xr:uid="{00000000-0005-0000-0000-00008F210000}"/>
    <cellStyle name="Normal 12 2 3 4 2 2" xfId="8561" xr:uid="{00000000-0005-0000-0000-000090210000}"/>
    <cellStyle name="Normal 12 2 3 4 2 3" xfId="8562" xr:uid="{00000000-0005-0000-0000-000091210000}"/>
    <cellStyle name="Normal 12 2 3 4 3" xfId="8563" xr:uid="{00000000-0005-0000-0000-000092210000}"/>
    <cellStyle name="Normal 12 2 3 4 4" xfId="8564" xr:uid="{00000000-0005-0000-0000-000093210000}"/>
    <cellStyle name="Normal 12 2 3 5" xfId="8565" xr:uid="{00000000-0005-0000-0000-000094210000}"/>
    <cellStyle name="Normal 12 2 3 5 2" xfId="8566" xr:uid="{00000000-0005-0000-0000-000095210000}"/>
    <cellStyle name="Normal 12 2 3 5 3" xfId="8567" xr:uid="{00000000-0005-0000-0000-000096210000}"/>
    <cellStyle name="Normal 12 2 3 6" xfId="8568" xr:uid="{00000000-0005-0000-0000-000097210000}"/>
    <cellStyle name="Normal 12 2 3 7" xfId="8569" xr:uid="{00000000-0005-0000-0000-000098210000}"/>
    <cellStyle name="Normal 12 2 4" xfId="8570" xr:uid="{00000000-0005-0000-0000-000099210000}"/>
    <cellStyle name="Normal 12 2 4 2" xfId="8571" xr:uid="{00000000-0005-0000-0000-00009A210000}"/>
    <cellStyle name="Normal 12 2 4 2 2" xfId="8572" xr:uid="{00000000-0005-0000-0000-00009B210000}"/>
    <cellStyle name="Normal 12 2 4 2 2 2" xfId="8573" xr:uid="{00000000-0005-0000-0000-00009C210000}"/>
    <cellStyle name="Normal 12 2 4 2 2 2 2" xfId="8574" xr:uid="{00000000-0005-0000-0000-00009D210000}"/>
    <cellStyle name="Normal 12 2 4 2 2 2 2 2" xfId="8575" xr:uid="{00000000-0005-0000-0000-00009E210000}"/>
    <cellStyle name="Normal 12 2 4 2 2 2 2 3" xfId="8576" xr:uid="{00000000-0005-0000-0000-00009F210000}"/>
    <cellStyle name="Normal 12 2 4 2 2 2 3" xfId="8577" xr:uid="{00000000-0005-0000-0000-0000A0210000}"/>
    <cellStyle name="Normal 12 2 4 2 2 2 4" xfId="8578" xr:uid="{00000000-0005-0000-0000-0000A1210000}"/>
    <cellStyle name="Normal 12 2 4 2 2 3" xfId="8579" xr:uid="{00000000-0005-0000-0000-0000A2210000}"/>
    <cellStyle name="Normal 12 2 4 2 2 3 2" xfId="8580" xr:uid="{00000000-0005-0000-0000-0000A3210000}"/>
    <cellStyle name="Normal 12 2 4 2 2 3 3" xfId="8581" xr:uid="{00000000-0005-0000-0000-0000A4210000}"/>
    <cellStyle name="Normal 12 2 4 2 2 4" xfId="8582" xr:uid="{00000000-0005-0000-0000-0000A5210000}"/>
    <cellStyle name="Normal 12 2 4 2 2 5" xfId="8583" xr:uid="{00000000-0005-0000-0000-0000A6210000}"/>
    <cellStyle name="Normal 12 2 4 2 3" xfId="8584" xr:uid="{00000000-0005-0000-0000-0000A7210000}"/>
    <cellStyle name="Normal 12 2 4 2 3 2" xfId="8585" xr:uid="{00000000-0005-0000-0000-0000A8210000}"/>
    <cellStyle name="Normal 12 2 4 2 3 2 2" xfId="8586" xr:uid="{00000000-0005-0000-0000-0000A9210000}"/>
    <cellStyle name="Normal 12 2 4 2 3 2 3" xfId="8587" xr:uid="{00000000-0005-0000-0000-0000AA210000}"/>
    <cellStyle name="Normal 12 2 4 2 3 3" xfId="8588" xr:uid="{00000000-0005-0000-0000-0000AB210000}"/>
    <cellStyle name="Normal 12 2 4 2 3 4" xfId="8589" xr:uid="{00000000-0005-0000-0000-0000AC210000}"/>
    <cellStyle name="Normal 12 2 4 2 4" xfId="8590" xr:uid="{00000000-0005-0000-0000-0000AD210000}"/>
    <cellStyle name="Normal 12 2 4 2 4 2" xfId="8591" xr:uid="{00000000-0005-0000-0000-0000AE210000}"/>
    <cellStyle name="Normal 12 2 4 2 4 3" xfId="8592" xr:uid="{00000000-0005-0000-0000-0000AF210000}"/>
    <cellStyle name="Normal 12 2 4 2 5" xfId="8593" xr:uid="{00000000-0005-0000-0000-0000B0210000}"/>
    <cellStyle name="Normal 12 2 4 2 6" xfId="8594" xr:uid="{00000000-0005-0000-0000-0000B1210000}"/>
    <cellStyle name="Normal 12 2 4 3" xfId="8595" xr:uid="{00000000-0005-0000-0000-0000B2210000}"/>
    <cellStyle name="Normal 12 2 4 3 2" xfId="8596" xr:uid="{00000000-0005-0000-0000-0000B3210000}"/>
    <cellStyle name="Normal 12 2 4 3 2 2" xfId="8597" xr:uid="{00000000-0005-0000-0000-0000B4210000}"/>
    <cellStyle name="Normal 12 2 4 3 2 2 2" xfId="8598" xr:uid="{00000000-0005-0000-0000-0000B5210000}"/>
    <cellStyle name="Normal 12 2 4 3 2 2 3" xfId="8599" xr:uid="{00000000-0005-0000-0000-0000B6210000}"/>
    <cellStyle name="Normal 12 2 4 3 2 3" xfId="8600" xr:uid="{00000000-0005-0000-0000-0000B7210000}"/>
    <cellStyle name="Normal 12 2 4 3 2 4" xfId="8601" xr:uid="{00000000-0005-0000-0000-0000B8210000}"/>
    <cellStyle name="Normal 12 2 4 3 3" xfId="8602" xr:uid="{00000000-0005-0000-0000-0000B9210000}"/>
    <cellStyle name="Normal 12 2 4 3 3 2" xfId="8603" xr:uid="{00000000-0005-0000-0000-0000BA210000}"/>
    <cellStyle name="Normal 12 2 4 3 3 3" xfId="8604" xr:uid="{00000000-0005-0000-0000-0000BB210000}"/>
    <cellStyle name="Normal 12 2 4 3 4" xfId="8605" xr:uid="{00000000-0005-0000-0000-0000BC210000}"/>
    <cellStyle name="Normal 12 2 4 3 5" xfId="8606" xr:uid="{00000000-0005-0000-0000-0000BD210000}"/>
    <cellStyle name="Normal 12 2 4 4" xfId="8607" xr:uid="{00000000-0005-0000-0000-0000BE210000}"/>
    <cellStyle name="Normal 12 2 4 4 2" xfId="8608" xr:uid="{00000000-0005-0000-0000-0000BF210000}"/>
    <cellStyle name="Normal 12 2 4 4 2 2" xfId="8609" xr:uid="{00000000-0005-0000-0000-0000C0210000}"/>
    <cellStyle name="Normal 12 2 4 4 2 3" xfId="8610" xr:uid="{00000000-0005-0000-0000-0000C1210000}"/>
    <cellStyle name="Normal 12 2 4 4 3" xfId="8611" xr:uid="{00000000-0005-0000-0000-0000C2210000}"/>
    <cellStyle name="Normal 12 2 4 4 4" xfId="8612" xr:uid="{00000000-0005-0000-0000-0000C3210000}"/>
    <cellStyle name="Normal 12 2 4 5" xfId="8613" xr:uid="{00000000-0005-0000-0000-0000C4210000}"/>
    <cellStyle name="Normal 12 2 4 5 2" xfId="8614" xr:uid="{00000000-0005-0000-0000-0000C5210000}"/>
    <cellStyle name="Normal 12 2 4 5 3" xfId="8615" xr:uid="{00000000-0005-0000-0000-0000C6210000}"/>
    <cellStyle name="Normal 12 2 4 6" xfId="8616" xr:uid="{00000000-0005-0000-0000-0000C7210000}"/>
    <cellStyle name="Normal 12 2 4 7" xfId="8617" xr:uid="{00000000-0005-0000-0000-0000C8210000}"/>
    <cellStyle name="Normal 12 2 5" xfId="8618" xr:uid="{00000000-0005-0000-0000-0000C9210000}"/>
    <cellStyle name="Normal 12 2 5 2" xfId="8619" xr:uid="{00000000-0005-0000-0000-0000CA210000}"/>
    <cellStyle name="Normal 12 2 5 2 2" xfId="8620" xr:uid="{00000000-0005-0000-0000-0000CB210000}"/>
    <cellStyle name="Normal 12 2 5 2 2 2" xfId="8621" xr:uid="{00000000-0005-0000-0000-0000CC210000}"/>
    <cellStyle name="Normal 12 2 5 2 2 2 2" xfId="8622" xr:uid="{00000000-0005-0000-0000-0000CD210000}"/>
    <cellStyle name="Normal 12 2 5 2 2 2 2 2" xfId="8623" xr:uid="{00000000-0005-0000-0000-0000CE210000}"/>
    <cellStyle name="Normal 12 2 5 2 2 2 2 3" xfId="8624" xr:uid="{00000000-0005-0000-0000-0000CF210000}"/>
    <cellStyle name="Normal 12 2 5 2 2 2 3" xfId="8625" xr:uid="{00000000-0005-0000-0000-0000D0210000}"/>
    <cellStyle name="Normal 12 2 5 2 2 2 4" xfId="8626" xr:uid="{00000000-0005-0000-0000-0000D1210000}"/>
    <cellStyle name="Normal 12 2 5 2 2 3" xfId="8627" xr:uid="{00000000-0005-0000-0000-0000D2210000}"/>
    <cellStyle name="Normal 12 2 5 2 2 3 2" xfId="8628" xr:uid="{00000000-0005-0000-0000-0000D3210000}"/>
    <cellStyle name="Normal 12 2 5 2 2 3 3" xfId="8629" xr:uid="{00000000-0005-0000-0000-0000D4210000}"/>
    <cellStyle name="Normal 12 2 5 2 2 4" xfId="8630" xr:uid="{00000000-0005-0000-0000-0000D5210000}"/>
    <cellStyle name="Normal 12 2 5 2 2 5" xfId="8631" xr:uid="{00000000-0005-0000-0000-0000D6210000}"/>
    <cellStyle name="Normal 12 2 5 2 3" xfId="8632" xr:uid="{00000000-0005-0000-0000-0000D7210000}"/>
    <cellStyle name="Normal 12 2 5 2 3 2" xfId="8633" xr:uid="{00000000-0005-0000-0000-0000D8210000}"/>
    <cellStyle name="Normal 12 2 5 2 3 2 2" xfId="8634" xr:uid="{00000000-0005-0000-0000-0000D9210000}"/>
    <cellStyle name="Normal 12 2 5 2 3 2 3" xfId="8635" xr:uid="{00000000-0005-0000-0000-0000DA210000}"/>
    <cellStyle name="Normal 12 2 5 2 3 3" xfId="8636" xr:uid="{00000000-0005-0000-0000-0000DB210000}"/>
    <cellStyle name="Normal 12 2 5 2 3 4" xfId="8637" xr:uid="{00000000-0005-0000-0000-0000DC210000}"/>
    <cellStyle name="Normal 12 2 5 2 4" xfId="8638" xr:uid="{00000000-0005-0000-0000-0000DD210000}"/>
    <cellStyle name="Normal 12 2 5 2 4 2" xfId="8639" xr:uid="{00000000-0005-0000-0000-0000DE210000}"/>
    <cellStyle name="Normal 12 2 5 2 4 3" xfId="8640" xr:uid="{00000000-0005-0000-0000-0000DF210000}"/>
    <cellStyle name="Normal 12 2 5 2 5" xfId="8641" xr:uid="{00000000-0005-0000-0000-0000E0210000}"/>
    <cellStyle name="Normal 12 2 5 2 6" xfId="8642" xr:uid="{00000000-0005-0000-0000-0000E1210000}"/>
    <cellStyle name="Normal 12 2 6" xfId="8643" xr:uid="{00000000-0005-0000-0000-0000E2210000}"/>
    <cellStyle name="Normal 12 2 6 2" xfId="8644" xr:uid="{00000000-0005-0000-0000-0000E3210000}"/>
    <cellStyle name="Normal 12 2 6 2 2" xfId="8645" xr:uid="{00000000-0005-0000-0000-0000E4210000}"/>
    <cellStyle name="Normal 12 2 6 2 2 2" xfId="8646" xr:uid="{00000000-0005-0000-0000-0000E5210000}"/>
    <cellStyle name="Normal 12 2 6 2 2 2 2" xfId="8647" xr:uid="{00000000-0005-0000-0000-0000E6210000}"/>
    <cellStyle name="Normal 12 2 6 2 2 2 3" xfId="8648" xr:uid="{00000000-0005-0000-0000-0000E7210000}"/>
    <cellStyle name="Normal 12 2 6 2 2 3" xfId="8649" xr:uid="{00000000-0005-0000-0000-0000E8210000}"/>
    <cellStyle name="Normal 12 2 6 2 2 4" xfId="8650" xr:uid="{00000000-0005-0000-0000-0000E9210000}"/>
    <cellStyle name="Normal 12 2 6 2 3" xfId="8651" xr:uid="{00000000-0005-0000-0000-0000EA210000}"/>
    <cellStyle name="Normal 12 2 6 2 3 2" xfId="8652" xr:uid="{00000000-0005-0000-0000-0000EB210000}"/>
    <cellStyle name="Normal 12 2 6 2 3 3" xfId="8653" xr:uid="{00000000-0005-0000-0000-0000EC210000}"/>
    <cellStyle name="Normal 12 2 6 2 4" xfId="8654" xr:uid="{00000000-0005-0000-0000-0000ED210000}"/>
    <cellStyle name="Normal 12 2 6 2 5" xfId="8655" xr:uid="{00000000-0005-0000-0000-0000EE210000}"/>
    <cellStyle name="Normal 12 2 6 3" xfId="8656" xr:uid="{00000000-0005-0000-0000-0000EF210000}"/>
    <cellStyle name="Normal 12 2 6 3 2" xfId="8657" xr:uid="{00000000-0005-0000-0000-0000F0210000}"/>
    <cellStyle name="Normal 12 2 6 3 2 2" xfId="8658" xr:uid="{00000000-0005-0000-0000-0000F1210000}"/>
    <cellStyle name="Normal 12 2 6 3 2 3" xfId="8659" xr:uid="{00000000-0005-0000-0000-0000F2210000}"/>
    <cellStyle name="Normal 12 2 6 3 3" xfId="8660" xr:uid="{00000000-0005-0000-0000-0000F3210000}"/>
    <cellStyle name="Normal 12 2 6 3 4" xfId="8661" xr:uid="{00000000-0005-0000-0000-0000F4210000}"/>
    <cellStyle name="Normal 12 2 6 4" xfId="8662" xr:uid="{00000000-0005-0000-0000-0000F5210000}"/>
    <cellStyle name="Normal 12 2 6 4 2" xfId="8663" xr:uid="{00000000-0005-0000-0000-0000F6210000}"/>
    <cellStyle name="Normal 12 2 6 4 3" xfId="8664" xr:uid="{00000000-0005-0000-0000-0000F7210000}"/>
    <cellStyle name="Normal 12 2 6 5" xfId="8665" xr:uid="{00000000-0005-0000-0000-0000F8210000}"/>
    <cellStyle name="Normal 12 2 6 6" xfId="8666" xr:uid="{00000000-0005-0000-0000-0000F9210000}"/>
    <cellStyle name="Normal 12 3" xfId="8667" xr:uid="{00000000-0005-0000-0000-0000FA210000}"/>
    <cellStyle name="Normal 12 3 2" xfId="8668" xr:uid="{00000000-0005-0000-0000-0000FB210000}"/>
    <cellStyle name="Normal 12 3 2 2" xfId="8669" xr:uid="{00000000-0005-0000-0000-0000FC210000}"/>
    <cellStyle name="Normal 12 3 2 2 2" xfId="8670" xr:uid="{00000000-0005-0000-0000-0000FD210000}"/>
    <cellStyle name="Normal 12 3 2 2 2 2" xfId="8671" xr:uid="{00000000-0005-0000-0000-0000FE210000}"/>
    <cellStyle name="Normal 12 3 2 2 2 2 2" xfId="8672" xr:uid="{00000000-0005-0000-0000-0000FF210000}"/>
    <cellStyle name="Normal 12 3 2 2 2 2 2 2" xfId="8673" xr:uid="{00000000-0005-0000-0000-000000220000}"/>
    <cellStyle name="Normal 12 3 2 2 2 2 2 3" xfId="8674" xr:uid="{00000000-0005-0000-0000-000001220000}"/>
    <cellStyle name="Normal 12 3 2 2 2 2 3" xfId="8675" xr:uid="{00000000-0005-0000-0000-000002220000}"/>
    <cellStyle name="Normal 12 3 2 2 2 2 4" xfId="8676" xr:uid="{00000000-0005-0000-0000-000003220000}"/>
    <cellStyle name="Normal 12 3 2 2 2 3" xfId="8677" xr:uid="{00000000-0005-0000-0000-000004220000}"/>
    <cellStyle name="Normal 12 3 2 2 2 3 2" xfId="8678" xr:uid="{00000000-0005-0000-0000-000005220000}"/>
    <cellStyle name="Normal 12 3 2 2 2 3 3" xfId="8679" xr:uid="{00000000-0005-0000-0000-000006220000}"/>
    <cellStyle name="Normal 12 3 2 2 2 4" xfId="8680" xr:uid="{00000000-0005-0000-0000-000007220000}"/>
    <cellStyle name="Normal 12 3 2 2 2 5" xfId="8681" xr:uid="{00000000-0005-0000-0000-000008220000}"/>
    <cellStyle name="Normal 12 3 2 2 3" xfId="8682" xr:uid="{00000000-0005-0000-0000-000009220000}"/>
    <cellStyle name="Normal 12 3 2 2 3 2" xfId="8683" xr:uid="{00000000-0005-0000-0000-00000A220000}"/>
    <cellStyle name="Normal 12 3 2 2 3 2 2" xfId="8684" xr:uid="{00000000-0005-0000-0000-00000B220000}"/>
    <cellStyle name="Normal 12 3 2 2 3 2 3" xfId="8685" xr:uid="{00000000-0005-0000-0000-00000C220000}"/>
    <cellStyle name="Normal 12 3 2 2 3 3" xfId="8686" xr:uid="{00000000-0005-0000-0000-00000D220000}"/>
    <cellStyle name="Normal 12 3 2 2 3 4" xfId="8687" xr:uid="{00000000-0005-0000-0000-00000E220000}"/>
    <cellStyle name="Normal 12 3 2 2 4" xfId="8688" xr:uid="{00000000-0005-0000-0000-00000F220000}"/>
    <cellStyle name="Normal 12 3 2 2 4 2" xfId="8689" xr:uid="{00000000-0005-0000-0000-000010220000}"/>
    <cellStyle name="Normal 12 3 2 2 4 3" xfId="8690" xr:uid="{00000000-0005-0000-0000-000011220000}"/>
    <cellStyle name="Normal 12 3 2 2 5" xfId="8691" xr:uid="{00000000-0005-0000-0000-000012220000}"/>
    <cellStyle name="Normal 12 3 2 2 6" xfId="8692" xr:uid="{00000000-0005-0000-0000-000013220000}"/>
    <cellStyle name="Normal 12 3 2 3" xfId="8693" xr:uid="{00000000-0005-0000-0000-000014220000}"/>
    <cellStyle name="Normal 12 3 2 3 2" xfId="8694" xr:uid="{00000000-0005-0000-0000-000015220000}"/>
    <cellStyle name="Normal 12 3 2 3 2 2" xfId="8695" xr:uid="{00000000-0005-0000-0000-000016220000}"/>
    <cellStyle name="Normal 12 3 2 3 2 2 2" xfId="8696" xr:uid="{00000000-0005-0000-0000-000017220000}"/>
    <cellStyle name="Normal 12 3 2 3 2 2 3" xfId="8697" xr:uid="{00000000-0005-0000-0000-000018220000}"/>
    <cellStyle name="Normal 12 3 2 3 2 3" xfId="8698" xr:uid="{00000000-0005-0000-0000-000019220000}"/>
    <cellStyle name="Normal 12 3 2 3 2 4" xfId="8699" xr:uid="{00000000-0005-0000-0000-00001A220000}"/>
    <cellStyle name="Normal 12 3 2 3 3" xfId="8700" xr:uid="{00000000-0005-0000-0000-00001B220000}"/>
    <cellStyle name="Normal 12 3 2 3 3 2" xfId="8701" xr:uid="{00000000-0005-0000-0000-00001C220000}"/>
    <cellStyle name="Normal 12 3 2 3 3 3" xfId="8702" xr:uid="{00000000-0005-0000-0000-00001D220000}"/>
    <cellStyle name="Normal 12 3 2 3 4" xfId="8703" xr:uid="{00000000-0005-0000-0000-00001E220000}"/>
    <cellStyle name="Normal 12 3 2 3 5" xfId="8704" xr:uid="{00000000-0005-0000-0000-00001F220000}"/>
    <cellStyle name="Normal 12 3 2 4" xfId="8705" xr:uid="{00000000-0005-0000-0000-000020220000}"/>
    <cellStyle name="Normal 12 3 2 4 2" xfId="8706" xr:uid="{00000000-0005-0000-0000-000021220000}"/>
    <cellStyle name="Normal 12 3 2 4 2 2" xfId="8707" xr:uid="{00000000-0005-0000-0000-000022220000}"/>
    <cellStyle name="Normal 12 3 2 4 2 3" xfId="8708" xr:uid="{00000000-0005-0000-0000-000023220000}"/>
    <cellStyle name="Normal 12 3 2 4 3" xfId="8709" xr:uid="{00000000-0005-0000-0000-000024220000}"/>
    <cellStyle name="Normal 12 3 2 4 4" xfId="8710" xr:uid="{00000000-0005-0000-0000-000025220000}"/>
    <cellStyle name="Normal 12 3 2 5" xfId="8711" xr:uid="{00000000-0005-0000-0000-000026220000}"/>
    <cellStyle name="Normal 12 3 2 5 2" xfId="8712" xr:uid="{00000000-0005-0000-0000-000027220000}"/>
    <cellStyle name="Normal 12 3 2 5 3" xfId="8713" xr:uid="{00000000-0005-0000-0000-000028220000}"/>
    <cellStyle name="Normal 12 3 2 6" xfId="8714" xr:uid="{00000000-0005-0000-0000-000029220000}"/>
    <cellStyle name="Normal 12 3 2 7" xfId="8715" xr:uid="{00000000-0005-0000-0000-00002A220000}"/>
    <cellStyle name="Normal 12 3 3" xfId="8716" xr:uid="{00000000-0005-0000-0000-00002B220000}"/>
    <cellStyle name="Normal 12 3 3 2" xfId="8717" xr:uid="{00000000-0005-0000-0000-00002C220000}"/>
    <cellStyle name="Normal 12 3 3 2 2" xfId="8718" xr:uid="{00000000-0005-0000-0000-00002D220000}"/>
    <cellStyle name="Normal 12 3 3 2 2 2" xfId="8719" xr:uid="{00000000-0005-0000-0000-00002E220000}"/>
    <cellStyle name="Normal 12 3 3 2 2 2 2" xfId="8720" xr:uid="{00000000-0005-0000-0000-00002F220000}"/>
    <cellStyle name="Normal 12 3 3 2 2 2 2 2" xfId="8721" xr:uid="{00000000-0005-0000-0000-000030220000}"/>
    <cellStyle name="Normal 12 3 3 2 2 2 2 3" xfId="8722" xr:uid="{00000000-0005-0000-0000-000031220000}"/>
    <cellStyle name="Normal 12 3 3 2 2 2 3" xfId="8723" xr:uid="{00000000-0005-0000-0000-000032220000}"/>
    <cellStyle name="Normal 12 3 3 2 2 2 4" xfId="8724" xr:uid="{00000000-0005-0000-0000-000033220000}"/>
    <cellStyle name="Normal 12 3 3 2 2 3" xfId="8725" xr:uid="{00000000-0005-0000-0000-000034220000}"/>
    <cellStyle name="Normal 12 3 3 2 2 3 2" xfId="8726" xr:uid="{00000000-0005-0000-0000-000035220000}"/>
    <cellStyle name="Normal 12 3 3 2 2 3 3" xfId="8727" xr:uid="{00000000-0005-0000-0000-000036220000}"/>
    <cellStyle name="Normal 12 3 3 2 2 4" xfId="8728" xr:uid="{00000000-0005-0000-0000-000037220000}"/>
    <cellStyle name="Normal 12 3 3 2 2 5" xfId="8729" xr:uid="{00000000-0005-0000-0000-000038220000}"/>
    <cellStyle name="Normal 12 3 3 2 3" xfId="8730" xr:uid="{00000000-0005-0000-0000-000039220000}"/>
    <cellStyle name="Normal 12 3 3 2 3 2" xfId="8731" xr:uid="{00000000-0005-0000-0000-00003A220000}"/>
    <cellStyle name="Normal 12 3 3 2 3 2 2" xfId="8732" xr:uid="{00000000-0005-0000-0000-00003B220000}"/>
    <cellStyle name="Normal 12 3 3 2 3 2 3" xfId="8733" xr:uid="{00000000-0005-0000-0000-00003C220000}"/>
    <cellStyle name="Normal 12 3 3 2 3 3" xfId="8734" xr:uid="{00000000-0005-0000-0000-00003D220000}"/>
    <cellStyle name="Normal 12 3 3 2 3 4" xfId="8735" xr:uid="{00000000-0005-0000-0000-00003E220000}"/>
    <cellStyle name="Normal 12 3 3 2 4" xfId="8736" xr:uid="{00000000-0005-0000-0000-00003F220000}"/>
    <cellStyle name="Normal 12 3 3 2 4 2" xfId="8737" xr:uid="{00000000-0005-0000-0000-000040220000}"/>
    <cellStyle name="Normal 12 3 3 2 4 3" xfId="8738" xr:uid="{00000000-0005-0000-0000-000041220000}"/>
    <cellStyle name="Normal 12 3 3 2 5" xfId="8739" xr:uid="{00000000-0005-0000-0000-000042220000}"/>
    <cellStyle name="Normal 12 3 3 2 6" xfId="8740" xr:uid="{00000000-0005-0000-0000-000043220000}"/>
    <cellStyle name="Normal 12 3 3 3" xfId="8741" xr:uid="{00000000-0005-0000-0000-000044220000}"/>
    <cellStyle name="Normal 12 3 3 3 2" xfId="8742" xr:uid="{00000000-0005-0000-0000-000045220000}"/>
    <cellStyle name="Normal 12 3 3 3 2 2" xfId="8743" xr:uid="{00000000-0005-0000-0000-000046220000}"/>
    <cellStyle name="Normal 12 3 3 3 2 2 2" xfId="8744" xr:uid="{00000000-0005-0000-0000-000047220000}"/>
    <cellStyle name="Normal 12 3 3 3 2 2 3" xfId="8745" xr:uid="{00000000-0005-0000-0000-000048220000}"/>
    <cellStyle name="Normal 12 3 3 3 2 3" xfId="8746" xr:uid="{00000000-0005-0000-0000-000049220000}"/>
    <cellStyle name="Normal 12 3 3 3 2 4" xfId="8747" xr:uid="{00000000-0005-0000-0000-00004A220000}"/>
    <cellStyle name="Normal 12 3 3 3 3" xfId="8748" xr:uid="{00000000-0005-0000-0000-00004B220000}"/>
    <cellStyle name="Normal 12 3 3 3 3 2" xfId="8749" xr:uid="{00000000-0005-0000-0000-00004C220000}"/>
    <cellStyle name="Normal 12 3 3 3 3 3" xfId="8750" xr:uid="{00000000-0005-0000-0000-00004D220000}"/>
    <cellStyle name="Normal 12 3 3 3 4" xfId="8751" xr:uid="{00000000-0005-0000-0000-00004E220000}"/>
    <cellStyle name="Normal 12 3 3 3 5" xfId="8752" xr:uid="{00000000-0005-0000-0000-00004F220000}"/>
    <cellStyle name="Normal 12 3 3 4" xfId="8753" xr:uid="{00000000-0005-0000-0000-000050220000}"/>
    <cellStyle name="Normal 12 3 3 4 2" xfId="8754" xr:uid="{00000000-0005-0000-0000-000051220000}"/>
    <cellStyle name="Normal 12 3 3 4 2 2" xfId="8755" xr:uid="{00000000-0005-0000-0000-000052220000}"/>
    <cellStyle name="Normal 12 3 3 4 2 3" xfId="8756" xr:uid="{00000000-0005-0000-0000-000053220000}"/>
    <cellStyle name="Normal 12 3 3 4 3" xfId="8757" xr:uid="{00000000-0005-0000-0000-000054220000}"/>
    <cellStyle name="Normal 12 3 3 4 4" xfId="8758" xr:uid="{00000000-0005-0000-0000-000055220000}"/>
    <cellStyle name="Normal 12 3 3 5" xfId="8759" xr:uid="{00000000-0005-0000-0000-000056220000}"/>
    <cellStyle name="Normal 12 3 3 5 2" xfId="8760" xr:uid="{00000000-0005-0000-0000-000057220000}"/>
    <cellStyle name="Normal 12 3 3 5 3" xfId="8761" xr:uid="{00000000-0005-0000-0000-000058220000}"/>
    <cellStyle name="Normal 12 3 3 6" xfId="8762" xr:uid="{00000000-0005-0000-0000-000059220000}"/>
    <cellStyle name="Normal 12 3 3 7" xfId="8763" xr:uid="{00000000-0005-0000-0000-00005A220000}"/>
    <cellStyle name="Normal 12 3 4" xfId="8764" xr:uid="{00000000-0005-0000-0000-00005B220000}"/>
    <cellStyle name="Normal 12 3 4 2" xfId="8765" xr:uid="{00000000-0005-0000-0000-00005C220000}"/>
    <cellStyle name="Normal 12 3 4 2 2" xfId="8766" xr:uid="{00000000-0005-0000-0000-00005D220000}"/>
    <cellStyle name="Normal 12 3 4 2 2 2" xfId="8767" xr:uid="{00000000-0005-0000-0000-00005E220000}"/>
    <cellStyle name="Normal 12 3 4 2 2 2 2" xfId="8768" xr:uid="{00000000-0005-0000-0000-00005F220000}"/>
    <cellStyle name="Normal 12 3 4 2 2 2 3" xfId="8769" xr:uid="{00000000-0005-0000-0000-000060220000}"/>
    <cellStyle name="Normal 12 3 4 2 2 3" xfId="8770" xr:uid="{00000000-0005-0000-0000-000061220000}"/>
    <cellStyle name="Normal 12 3 4 2 2 4" xfId="8771" xr:uid="{00000000-0005-0000-0000-000062220000}"/>
    <cellStyle name="Normal 12 3 4 2 3" xfId="8772" xr:uid="{00000000-0005-0000-0000-000063220000}"/>
    <cellStyle name="Normal 12 3 4 2 3 2" xfId="8773" xr:uid="{00000000-0005-0000-0000-000064220000}"/>
    <cellStyle name="Normal 12 3 4 2 3 3" xfId="8774" xr:uid="{00000000-0005-0000-0000-000065220000}"/>
    <cellStyle name="Normal 12 3 4 2 4" xfId="8775" xr:uid="{00000000-0005-0000-0000-000066220000}"/>
    <cellStyle name="Normal 12 3 4 2 5" xfId="8776" xr:uid="{00000000-0005-0000-0000-000067220000}"/>
    <cellStyle name="Normal 12 3 4 3" xfId="8777" xr:uid="{00000000-0005-0000-0000-000068220000}"/>
    <cellStyle name="Normal 12 3 4 3 2" xfId="8778" xr:uid="{00000000-0005-0000-0000-000069220000}"/>
    <cellStyle name="Normal 12 3 4 3 2 2" xfId="8779" xr:uid="{00000000-0005-0000-0000-00006A220000}"/>
    <cellStyle name="Normal 12 3 4 3 2 3" xfId="8780" xr:uid="{00000000-0005-0000-0000-00006B220000}"/>
    <cellStyle name="Normal 12 3 4 3 3" xfId="8781" xr:uid="{00000000-0005-0000-0000-00006C220000}"/>
    <cellStyle name="Normal 12 3 4 3 4" xfId="8782" xr:uid="{00000000-0005-0000-0000-00006D220000}"/>
    <cellStyle name="Normal 12 3 4 4" xfId="8783" xr:uid="{00000000-0005-0000-0000-00006E220000}"/>
    <cellStyle name="Normal 12 3 4 4 2" xfId="8784" xr:uid="{00000000-0005-0000-0000-00006F220000}"/>
    <cellStyle name="Normal 12 3 4 4 3" xfId="8785" xr:uid="{00000000-0005-0000-0000-000070220000}"/>
    <cellStyle name="Normal 12 3 4 5" xfId="8786" xr:uid="{00000000-0005-0000-0000-000071220000}"/>
    <cellStyle name="Normal 12 3 4 6" xfId="8787" xr:uid="{00000000-0005-0000-0000-000072220000}"/>
    <cellStyle name="Normal 12 3 5" xfId="8788" xr:uid="{00000000-0005-0000-0000-000073220000}"/>
    <cellStyle name="Normal 12 3 5 2" xfId="8789" xr:uid="{00000000-0005-0000-0000-000074220000}"/>
    <cellStyle name="Normal 12 3 5 2 2" xfId="8790" xr:uid="{00000000-0005-0000-0000-000075220000}"/>
    <cellStyle name="Normal 12 3 5 2 2 2" xfId="8791" xr:uid="{00000000-0005-0000-0000-000076220000}"/>
    <cellStyle name="Normal 12 3 5 2 2 3" xfId="8792" xr:uid="{00000000-0005-0000-0000-000077220000}"/>
    <cellStyle name="Normal 12 3 5 2 3" xfId="8793" xr:uid="{00000000-0005-0000-0000-000078220000}"/>
    <cellStyle name="Normal 12 3 5 2 4" xfId="8794" xr:uid="{00000000-0005-0000-0000-000079220000}"/>
    <cellStyle name="Normal 12 3 5 3" xfId="8795" xr:uid="{00000000-0005-0000-0000-00007A220000}"/>
    <cellStyle name="Normal 12 3 5 3 2" xfId="8796" xr:uid="{00000000-0005-0000-0000-00007B220000}"/>
    <cellStyle name="Normal 12 3 5 3 3" xfId="8797" xr:uid="{00000000-0005-0000-0000-00007C220000}"/>
    <cellStyle name="Normal 12 3 5 4" xfId="8798" xr:uid="{00000000-0005-0000-0000-00007D220000}"/>
    <cellStyle name="Normal 12 3 5 5" xfId="8799" xr:uid="{00000000-0005-0000-0000-00007E220000}"/>
    <cellStyle name="Normal 12 3 6" xfId="8800" xr:uid="{00000000-0005-0000-0000-00007F220000}"/>
    <cellStyle name="Normal 12 3 6 2" xfId="8801" xr:uid="{00000000-0005-0000-0000-000080220000}"/>
    <cellStyle name="Normal 12 3 6 2 2" xfId="8802" xr:uid="{00000000-0005-0000-0000-000081220000}"/>
    <cellStyle name="Normal 12 3 6 2 3" xfId="8803" xr:uid="{00000000-0005-0000-0000-000082220000}"/>
    <cellStyle name="Normal 12 3 6 3" xfId="8804" xr:uid="{00000000-0005-0000-0000-000083220000}"/>
    <cellStyle name="Normal 12 3 6 4" xfId="8805" xr:uid="{00000000-0005-0000-0000-000084220000}"/>
    <cellStyle name="Normal 12 3 7" xfId="8806" xr:uid="{00000000-0005-0000-0000-000085220000}"/>
    <cellStyle name="Normal 12 3 7 2" xfId="8807" xr:uid="{00000000-0005-0000-0000-000086220000}"/>
    <cellStyle name="Normal 12 3 7 3" xfId="8808" xr:uid="{00000000-0005-0000-0000-000087220000}"/>
    <cellStyle name="Normal 12 3 8" xfId="8809" xr:uid="{00000000-0005-0000-0000-000088220000}"/>
    <cellStyle name="Normal 12 3 9" xfId="8810" xr:uid="{00000000-0005-0000-0000-000089220000}"/>
    <cellStyle name="Normal 12 4" xfId="8811" xr:uid="{00000000-0005-0000-0000-00008A220000}"/>
    <cellStyle name="Normal 12 4 2" xfId="8812" xr:uid="{00000000-0005-0000-0000-00008B220000}"/>
    <cellStyle name="Normal 12 4 2 2" xfId="8813" xr:uid="{00000000-0005-0000-0000-00008C220000}"/>
    <cellStyle name="Normal 12 4 2 2 2" xfId="8814" xr:uid="{00000000-0005-0000-0000-00008D220000}"/>
    <cellStyle name="Normal 12 4 2 2 2 2" xfId="8815" xr:uid="{00000000-0005-0000-0000-00008E220000}"/>
    <cellStyle name="Normal 12 4 2 2 2 2 2" xfId="8816" xr:uid="{00000000-0005-0000-0000-00008F220000}"/>
    <cellStyle name="Normal 12 4 2 2 2 2 2 2" xfId="8817" xr:uid="{00000000-0005-0000-0000-000090220000}"/>
    <cellStyle name="Normal 12 4 2 2 2 2 2 3" xfId="8818" xr:uid="{00000000-0005-0000-0000-000091220000}"/>
    <cellStyle name="Normal 12 4 2 2 2 2 3" xfId="8819" xr:uid="{00000000-0005-0000-0000-000092220000}"/>
    <cellStyle name="Normal 12 4 2 2 2 2 4" xfId="8820" xr:uid="{00000000-0005-0000-0000-000093220000}"/>
    <cellStyle name="Normal 12 4 2 2 2 3" xfId="8821" xr:uid="{00000000-0005-0000-0000-000094220000}"/>
    <cellStyle name="Normal 12 4 2 2 2 3 2" xfId="8822" xr:uid="{00000000-0005-0000-0000-000095220000}"/>
    <cellStyle name="Normal 12 4 2 2 2 3 3" xfId="8823" xr:uid="{00000000-0005-0000-0000-000096220000}"/>
    <cellStyle name="Normal 12 4 2 2 2 4" xfId="8824" xr:uid="{00000000-0005-0000-0000-000097220000}"/>
    <cellStyle name="Normal 12 4 2 2 2 5" xfId="8825" xr:uid="{00000000-0005-0000-0000-000098220000}"/>
    <cellStyle name="Normal 12 4 2 2 3" xfId="8826" xr:uid="{00000000-0005-0000-0000-000099220000}"/>
    <cellStyle name="Normal 12 4 2 2 3 2" xfId="8827" xr:uid="{00000000-0005-0000-0000-00009A220000}"/>
    <cellStyle name="Normal 12 4 2 2 3 2 2" xfId="8828" xr:uid="{00000000-0005-0000-0000-00009B220000}"/>
    <cellStyle name="Normal 12 4 2 2 3 2 3" xfId="8829" xr:uid="{00000000-0005-0000-0000-00009C220000}"/>
    <cellStyle name="Normal 12 4 2 2 3 3" xfId="8830" xr:uid="{00000000-0005-0000-0000-00009D220000}"/>
    <cellStyle name="Normal 12 4 2 2 3 4" xfId="8831" xr:uid="{00000000-0005-0000-0000-00009E220000}"/>
    <cellStyle name="Normal 12 4 2 2 4" xfId="8832" xr:uid="{00000000-0005-0000-0000-00009F220000}"/>
    <cellStyle name="Normal 12 4 2 2 4 2" xfId="8833" xr:uid="{00000000-0005-0000-0000-0000A0220000}"/>
    <cellStyle name="Normal 12 4 2 2 4 3" xfId="8834" xr:uid="{00000000-0005-0000-0000-0000A1220000}"/>
    <cellStyle name="Normal 12 4 2 2 5" xfId="8835" xr:uid="{00000000-0005-0000-0000-0000A2220000}"/>
    <cellStyle name="Normal 12 4 2 2 6" xfId="8836" xr:uid="{00000000-0005-0000-0000-0000A3220000}"/>
    <cellStyle name="Normal 12 4 2 3" xfId="8837" xr:uid="{00000000-0005-0000-0000-0000A4220000}"/>
    <cellStyle name="Normal 12 4 2 3 2" xfId="8838" xr:uid="{00000000-0005-0000-0000-0000A5220000}"/>
    <cellStyle name="Normal 12 4 2 3 2 2" xfId="8839" xr:uid="{00000000-0005-0000-0000-0000A6220000}"/>
    <cellStyle name="Normal 12 4 2 3 2 2 2" xfId="8840" xr:uid="{00000000-0005-0000-0000-0000A7220000}"/>
    <cellStyle name="Normal 12 4 2 3 2 2 3" xfId="8841" xr:uid="{00000000-0005-0000-0000-0000A8220000}"/>
    <cellStyle name="Normal 12 4 2 3 2 3" xfId="8842" xr:uid="{00000000-0005-0000-0000-0000A9220000}"/>
    <cellStyle name="Normal 12 4 2 3 2 4" xfId="8843" xr:uid="{00000000-0005-0000-0000-0000AA220000}"/>
    <cellStyle name="Normal 12 4 2 3 3" xfId="8844" xr:uid="{00000000-0005-0000-0000-0000AB220000}"/>
    <cellStyle name="Normal 12 4 2 3 3 2" xfId="8845" xr:uid="{00000000-0005-0000-0000-0000AC220000}"/>
    <cellStyle name="Normal 12 4 2 3 3 3" xfId="8846" xr:uid="{00000000-0005-0000-0000-0000AD220000}"/>
    <cellStyle name="Normal 12 4 2 3 4" xfId="8847" xr:uid="{00000000-0005-0000-0000-0000AE220000}"/>
    <cellStyle name="Normal 12 4 2 3 5" xfId="8848" xr:uid="{00000000-0005-0000-0000-0000AF220000}"/>
    <cellStyle name="Normal 12 4 2 4" xfId="8849" xr:uid="{00000000-0005-0000-0000-0000B0220000}"/>
    <cellStyle name="Normal 12 4 2 4 2" xfId="8850" xr:uid="{00000000-0005-0000-0000-0000B1220000}"/>
    <cellStyle name="Normal 12 4 2 4 2 2" xfId="8851" xr:uid="{00000000-0005-0000-0000-0000B2220000}"/>
    <cellStyle name="Normal 12 4 2 4 2 3" xfId="8852" xr:uid="{00000000-0005-0000-0000-0000B3220000}"/>
    <cellStyle name="Normal 12 4 2 4 3" xfId="8853" xr:uid="{00000000-0005-0000-0000-0000B4220000}"/>
    <cellStyle name="Normal 12 4 2 4 4" xfId="8854" xr:uid="{00000000-0005-0000-0000-0000B5220000}"/>
    <cellStyle name="Normal 12 4 2 5" xfId="8855" xr:uid="{00000000-0005-0000-0000-0000B6220000}"/>
    <cellStyle name="Normal 12 4 2 5 2" xfId="8856" xr:uid="{00000000-0005-0000-0000-0000B7220000}"/>
    <cellStyle name="Normal 12 4 2 5 3" xfId="8857" xr:uid="{00000000-0005-0000-0000-0000B8220000}"/>
    <cellStyle name="Normal 12 4 2 6" xfId="8858" xr:uid="{00000000-0005-0000-0000-0000B9220000}"/>
    <cellStyle name="Normal 12 4 2 7" xfId="8859" xr:uid="{00000000-0005-0000-0000-0000BA220000}"/>
    <cellStyle name="Normal 12 4 3" xfId="8860" xr:uid="{00000000-0005-0000-0000-0000BB220000}"/>
    <cellStyle name="Normal 12 4 3 2" xfId="8861" xr:uid="{00000000-0005-0000-0000-0000BC220000}"/>
    <cellStyle name="Normal 12 4 3 2 2" xfId="8862" xr:uid="{00000000-0005-0000-0000-0000BD220000}"/>
    <cellStyle name="Normal 12 4 3 2 2 2" xfId="8863" xr:uid="{00000000-0005-0000-0000-0000BE220000}"/>
    <cellStyle name="Normal 12 4 3 2 2 2 2" xfId="8864" xr:uid="{00000000-0005-0000-0000-0000BF220000}"/>
    <cellStyle name="Normal 12 4 3 2 2 2 2 2" xfId="8865" xr:uid="{00000000-0005-0000-0000-0000C0220000}"/>
    <cellStyle name="Normal 12 4 3 2 2 2 2 3" xfId="8866" xr:uid="{00000000-0005-0000-0000-0000C1220000}"/>
    <cellStyle name="Normal 12 4 3 2 2 2 3" xfId="8867" xr:uid="{00000000-0005-0000-0000-0000C2220000}"/>
    <cellStyle name="Normal 12 4 3 2 2 2 4" xfId="8868" xr:uid="{00000000-0005-0000-0000-0000C3220000}"/>
    <cellStyle name="Normal 12 4 3 2 2 3" xfId="8869" xr:uid="{00000000-0005-0000-0000-0000C4220000}"/>
    <cellStyle name="Normal 12 4 3 2 2 3 2" xfId="8870" xr:uid="{00000000-0005-0000-0000-0000C5220000}"/>
    <cellStyle name="Normal 12 4 3 2 2 3 3" xfId="8871" xr:uid="{00000000-0005-0000-0000-0000C6220000}"/>
    <cellStyle name="Normal 12 4 3 2 2 4" xfId="8872" xr:uid="{00000000-0005-0000-0000-0000C7220000}"/>
    <cellStyle name="Normal 12 4 3 2 2 5" xfId="8873" xr:uid="{00000000-0005-0000-0000-0000C8220000}"/>
    <cellStyle name="Normal 12 4 3 2 3" xfId="8874" xr:uid="{00000000-0005-0000-0000-0000C9220000}"/>
    <cellStyle name="Normal 12 4 3 2 3 2" xfId="8875" xr:uid="{00000000-0005-0000-0000-0000CA220000}"/>
    <cellStyle name="Normal 12 4 3 2 3 2 2" xfId="8876" xr:uid="{00000000-0005-0000-0000-0000CB220000}"/>
    <cellStyle name="Normal 12 4 3 2 3 2 3" xfId="8877" xr:uid="{00000000-0005-0000-0000-0000CC220000}"/>
    <cellStyle name="Normal 12 4 3 2 3 3" xfId="8878" xr:uid="{00000000-0005-0000-0000-0000CD220000}"/>
    <cellStyle name="Normal 12 4 3 2 3 4" xfId="8879" xr:uid="{00000000-0005-0000-0000-0000CE220000}"/>
    <cellStyle name="Normal 12 4 3 2 4" xfId="8880" xr:uid="{00000000-0005-0000-0000-0000CF220000}"/>
    <cellStyle name="Normal 12 4 3 2 4 2" xfId="8881" xr:uid="{00000000-0005-0000-0000-0000D0220000}"/>
    <cellStyle name="Normal 12 4 3 2 4 3" xfId="8882" xr:uid="{00000000-0005-0000-0000-0000D1220000}"/>
    <cellStyle name="Normal 12 4 3 2 5" xfId="8883" xr:uid="{00000000-0005-0000-0000-0000D2220000}"/>
    <cellStyle name="Normal 12 4 3 2 6" xfId="8884" xr:uid="{00000000-0005-0000-0000-0000D3220000}"/>
    <cellStyle name="Normal 12 4 3 3" xfId="8885" xr:uid="{00000000-0005-0000-0000-0000D4220000}"/>
    <cellStyle name="Normal 12 4 3 3 2" xfId="8886" xr:uid="{00000000-0005-0000-0000-0000D5220000}"/>
    <cellStyle name="Normal 12 4 3 3 2 2" xfId="8887" xr:uid="{00000000-0005-0000-0000-0000D6220000}"/>
    <cellStyle name="Normal 12 4 3 3 2 2 2" xfId="8888" xr:uid="{00000000-0005-0000-0000-0000D7220000}"/>
    <cellStyle name="Normal 12 4 3 3 2 2 3" xfId="8889" xr:uid="{00000000-0005-0000-0000-0000D8220000}"/>
    <cellStyle name="Normal 12 4 3 3 2 3" xfId="8890" xr:uid="{00000000-0005-0000-0000-0000D9220000}"/>
    <cellStyle name="Normal 12 4 3 3 2 4" xfId="8891" xr:uid="{00000000-0005-0000-0000-0000DA220000}"/>
    <cellStyle name="Normal 12 4 3 3 3" xfId="8892" xr:uid="{00000000-0005-0000-0000-0000DB220000}"/>
    <cellStyle name="Normal 12 4 3 3 3 2" xfId="8893" xr:uid="{00000000-0005-0000-0000-0000DC220000}"/>
    <cellStyle name="Normal 12 4 3 3 3 3" xfId="8894" xr:uid="{00000000-0005-0000-0000-0000DD220000}"/>
    <cellStyle name="Normal 12 4 3 3 4" xfId="8895" xr:uid="{00000000-0005-0000-0000-0000DE220000}"/>
    <cellStyle name="Normal 12 4 3 3 5" xfId="8896" xr:uid="{00000000-0005-0000-0000-0000DF220000}"/>
    <cellStyle name="Normal 12 4 3 4" xfId="8897" xr:uid="{00000000-0005-0000-0000-0000E0220000}"/>
    <cellStyle name="Normal 12 4 3 4 2" xfId="8898" xr:uid="{00000000-0005-0000-0000-0000E1220000}"/>
    <cellStyle name="Normal 12 4 3 4 2 2" xfId="8899" xr:uid="{00000000-0005-0000-0000-0000E2220000}"/>
    <cellStyle name="Normal 12 4 3 4 2 3" xfId="8900" xr:uid="{00000000-0005-0000-0000-0000E3220000}"/>
    <cellStyle name="Normal 12 4 3 4 3" xfId="8901" xr:uid="{00000000-0005-0000-0000-0000E4220000}"/>
    <cellStyle name="Normal 12 4 3 4 4" xfId="8902" xr:uid="{00000000-0005-0000-0000-0000E5220000}"/>
    <cellStyle name="Normal 12 4 3 5" xfId="8903" xr:uid="{00000000-0005-0000-0000-0000E6220000}"/>
    <cellStyle name="Normal 12 4 3 5 2" xfId="8904" xr:uid="{00000000-0005-0000-0000-0000E7220000}"/>
    <cellStyle name="Normal 12 4 3 5 3" xfId="8905" xr:uid="{00000000-0005-0000-0000-0000E8220000}"/>
    <cellStyle name="Normal 12 4 3 6" xfId="8906" xr:uid="{00000000-0005-0000-0000-0000E9220000}"/>
    <cellStyle name="Normal 12 4 3 7" xfId="8907" xr:uid="{00000000-0005-0000-0000-0000EA220000}"/>
    <cellStyle name="Normal 12 4 4" xfId="8908" xr:uid="{00000000-0005-0000-0000-0000EB220000}"/>
    <cellStyle name="Normal 12 4 4 2" xfId="8909" xr:uid="{00000000-0005-0000-0000-0000EC220000}"/>
    <cellStyle name="Normal 12 4 4 2 2" xfId="8910" xr:uid="{00000000-0005-0000-0000-0000ED220000}"/>
    <cellStyle name="Normal 12 4 4 2 2 2" xfId="8911" xr:uid="{00000000-0005-0000-0000-0000EE220000}"/>
    <cellStyle name="Normal 12 4 4 2 2 2 2" xfId="8912" xr:uid="{00000000-0005-0000-0000-0000EF220000}"/>
    <cellStyle name="Normal 12 4 4 2 2 2 3" xfId="8913" xr:uid="{00000000-0005-0000-0000-0000F0220000}"/>
    <cellStyle name="Normal 12 4 4 2 2 3" xfId="8914" xr:uid="{00000000-0005-0000-0000-0000F1220000}"/>
    <cellStyle name="Normal 12 4 4 2 2 4" xfId="8915" xr:uid="{00000000-0005-0000-0000-0000F2220000}"/>
    <cellStyle name="Normal 12 4 4 2 3" xfId="8916" xr:uid="{00000000-0005-0000-0000-0000F3220000}"/>
    <cellStyle name="Normal 12 4 4 2 3 2" xfId="8917" xr:uid="{00000000-0005-0000-0000-0000F4220000}"/>
    <cellStyle name="Normal 12 4 4 2 3 3" xfId="8918" xr:uid="{00000000-0005-0000-0000-0000F5220000}"/>
    <cellStyle name="Normal 12 4 4 2 4" xfId="8919" xr:uid="{00000000-0005-0000-0000-0000F6220000}"/>
    <cellStyle name="Normal 12 4 4 2 5" xfId="8920" xr:uid="{00000000-0005-0000-0000-0000F7220000}"/>
    <cellStyle name="Normal 12 4 4 3" xfId="8921" xr:uid="{00000000-0005-0000-0000-0000F8220000}"/>
    <cellStyle name="Normal 12 4 4 3 2" xfId="8922" xr:uid="{00000000-0005-0000-0000-0000F9220000}"/>
    <cellStyle name="Normal 12 4 4 3 2 2" xfId="8923" xr:uid="{00000000-0005-0000-0000-0000FA220000}"/>
    <cellStyle name="Normal 12 4 4 3 2 3" xfId="8924" xr:uid="{00000000-0005-0000-0000-0000FB220000}"/>
    <cellStyle name="Normal 12 4 4 3 3" xfId="8925" xr:uid="{00000000-0005-0000-0000-0000FC220000}"/>
    <cellStyle name="Normal 12 4 4 3 4" xfId="8926" xr:uid="{00000000-0005-0000-0000-0000FD220000}"/>
    <cellStyle name="Normal 12 4 4 4" xfId="8927" xr:uid="{00000000-0005-0000-0000-0000FE220000}"/>
    <cellStyle name="Normal 12 4 4 4 2" xfId="8928" xr:uid="{00000000-0005-0000-0000-0000FF220000}"/>
    <cellStyle name="Normal 12 4 4 4 3" xfId="8929" xr:uid="{00000000-0005-0000-0000-000000230000}"/>
    <cellStyle name="Normal 12 4 4 5" xfId="8930" xr:uid="{00000000-0005-0000-0000-000001230000}"/>
    <cellStyle name="Normal 12 4 4 6" xfId="8931" xr:uid="{00000000-0005-0000-0000-000002230000}"/>
    <cellStyle name="Normal 12 4 5" xfId="8932" xr:uid="{00000000-0005-0000-0000-000003230000}"/>
    <cellStyle name="Normal 12 4 5 2" xfId="8933" xr:uid="{00000000-0005-0000-0000-000004230000}"/>
    <cellStyle name="Normal 12 4 5 2 2" xfId="8934" xr:uid="{00000000-0005-0000-0000-000005230000}"/>
    <cellStyle name="Normal 12 4 5 2 2 2" xfId="8935" xr:uid="{00000000-0005-0000-0000-000006230000}"/>
    <cellStyle name="Normal 12 4 5 2 2 3" xfId="8936" xr:uid="{00000000-0005-0000-0000-000007230000}"/>
    <cellStyle name="Normal 12 4 5 2 3" xfId="8937" xr:uid="{00000000-0005-0000-0000-000008230000}"/>
    <cellStyle name="Normal 12 4 5 2 4" xfId="8938" xr:uid="{00000000-0005-0000-0000-000009230000}"/>
    <cellStyle name="Normal 12 4 5 3" xfId="8939" xr:uid="{00000000-0005-0000-0000-00000A230000}"/>
    <cellStyle name="Normal 12 4 5 3 2" xfId="8940" xr:uid="{00000000-0005-0000-0000-00000B230000}"/>
    <cellStyle name="Normal 12 4 5 3 3" xfId="8941" xr:uid="{00000000-0005-0000-0000-00000C230000}"/>
    <cellStyle name="Normal 12 4 5 4" xfId="8942" xr:uid="{00000000-0005-0000-0000-00000D230000}"/>
    <cellStyle name="Normal 12 4 5 5" xfId="8943" xr:uid="{00000000-0005-0000-0000-00000E230000}"/>
    <cellStyle name="Normal 12 4 6" xfId="8944" xr:uid="{00000000-0005-0000-0000-00000F230000}"/>
    <cellStyle name="Normal 12 4 6 2" xfId="8945" xr:uid="{00000000-0005-0000-0000-000010230000}"/>
    <cellStyle name="Normal 12 4 6 2 2" xfId="8946" xr:uid="{00000000-0005-0000-0000-000011230000}"/>
    <cellStyle name="Normal 12 4 6 2 3" xfId="8947" xr:uid="{00000000-0005-0000-0000-000012230000}"/>
    <cellStyle name="Normal 12 4 6 3" xfId="8948" xr:uid="{00000000-0005-0000-0000-000013230000}"/>
    <cellStyle name="Normal 12 4 6 4" xfId="8949" xr:uid="{00000000-0005-0000-0000-000014230000}"/>
    <cellStyle name="Normal 12 4 7" xfId="8950" xr:uid="{00000000-0005-0000-0000-000015230000}"/>
    <cellStyle name="Normal 12 4 7 2" xfId="8951" xr:uid="{00000000-0005-0000-0000-000016230000}"/>
    <cellStyle name="Normal 12 4 7 3" xfId="8952" xr:uid="{00000000-0005-0000-0000-000017230000}"/>
    <cellStyle name="Normal 12 4 8" xfId="8953" xr:uid="{00000000-0005-0000-0000-000018230000}"/>
    <cellStyle name="Normal 12 4 9" xfId="8954" xr:uid="{00000000-0005-0000-0000-000019230000}"/>
    <cellStyle name="Normal 12 5" xfId="8955" xr:uid="{00000000-0005-0000-0000-00001A230000}"/>
    <cellStyle name="Normal 12 5 2" xfId="8956" xr:uid="{00000000-0005-0000-0000-00001B230000}"/>
    <cellStyle name="Normal 12 5 2 2" xfId="8957" xr:uid="{00000000-0005-0000-0000-00001C230000}"/>
    <cellStyle name="Normal 12 5 2 2 2" xfId="8958" xr:uid="{00000000-0005-0000-0000-00001D230000}"/>
    <cellStyle name="Normal 12 5 2 2 2 2" xfId="8959" xr:uid="{00000000-0005-0000-0000-00001E230000}"/>
    <cellStyle name="Normal 12 5 2 2 2 2 2" xfId="8960" xr:uid="{00000000-0005-0000-0000-00001F230000}"/>
    <cellStyle name="Normal 12 5 2 2 2 2 3" xfId="8961" xr:uid="{00000000-0005-0000-0000-000020230000}"/>
    <cellStyle name="Normal 12 5 2 2 2 3" xfId="8962" xr:uid="{00000000-0005-0000-0000-000021230000}"/>
    <cellStyle name="Normal 12 5 2 2 2 4" xfId="8963" xr:uid="{00000000-0005-0000-0000-000022230000}"/>
    <cellStyle name="Normal 12 5 2 2 3" xfId="8964" xr:uid="{00000000-0005-0000-0000-000023230000}"/>
    <cellStyle name="Normal 12 5 2 2 3 2" xfId="8965" xr:uid="{00000000-0005-0000-0000-000024230000}"/>
    <cellStyle name="Normal 12 5 2 2 3 3" xfId="8966" xr:uid="{00000000-0005-0000-0000-000025230000}"/>
    <cellStyle name="Normal 12 5 2 2 4" xfId="8967" xr:uid="{00000000-0005-0000-0000-000026230000}"/>
    <cellStyle name="Normal 12 5 2 2 5" xfId="8968" xr:uid="{00000000-0005-0000-0000-000027230000}"/>
    <cellStyle name="Normal 12 5 2 3" xfId="8969" xr:uid="{00000000-0005-0000-0000-000028230000}"/>
    <cellStyle name="Normal 12 5 2 3 2" xfId="8970" xr:uid="{00000000-0005-0000-0000-000029230000}"/>
    <cellStyle name="Normal 12 5 2 3 2 2" xfId="8971" xr:uid="{00000000-0005-0000-0000-00002A230000}"/>
    <cellStyle name="Normal 12 5 2 3 2 3" xfId="8972" xr:uid="{00000000-0005-0000-0000-00002B230000}"/>
    <cellStyle name="Normal 12 5 2 3 3" xfId="8973" xr:uid="{00000000-0005-0000-0000-00002C230000}"/>
    <cellStyle name="Normal 12 5 2 3 4" xfId="8974" xr:uid="{00000000-0005-0000-0000-00002D230000}"/>
    <cellStyle name="Normal 12 5 2 4" xfId="8975" xr:uid="{00000000-0005-0000-0000-00002E230000}"/>
    <cellStyle name="Normal 12 5 2 4 2" xfId="8976" xr:uid="{00000000-0005-0000-0000-00002F230000}"/>
    <cellStyle name="Normal 12 5 2 4 3" xfId="8977" xr:uid="{00000000-0005-0000-0000-000030230000}"/>
    <cellStyle name="Normal 12 5 2 5" xfId="8978" xr:uid="{00000000-0005-0000-0000-000031230000}"/>
    <cellStyle name="Normal 12 5 2 6" xfId="8979" xr:uid="{00000000-0005-0000-0000-000032230000}"/>
    <cellStyle name="Normal 12 5 3" xfId="8980" xr:uid="{00000000-0005-0000-0000-000033230000}"/>
    <cellStyle name="Normal 12 5 3 2" xfId="8981" xr:uid="{00000000-0005-0000-0000-000034230000}"/>
    <cellStyle name="Normal 12 5 3 2 2" xfId="8982" xr:uid="{00000000-0005-0000-0000-000035230000}"/>
    <cellStyle name="Normal 12 5 3 2 2 2" xfId="8983" xr:uid="{00000000-0005-0000-0000-000036230000}"/>
    <cellStyle name="Normal 12 5 3 2 2 3" xfId="8984" xr:uid="{00000000-0005-0000-0000-000037230000}"/>
    <cellStyle name="Normal 12 5 3 2 3" xfId="8985" xr:uid="{00000000-0005-0000-0000-000038230000}"/>
    <cellStyle name="Normal 12 5 3 2 4" xfId="8986" xr:uid="{00000000-0005-0000-0000-000039230000}"/>
    <cellStyle name="Normal 12 5 3 3" xfId="8987" xr:uid="{00000000-0005-0000-0000-00003A230000}"/>
    <cellStyle name="Normal 12 5 3 3 2" xfId="8988" xr:uid="{00000000-0005-0000-0000-00003B230000}"/>
    <cellStyle name="Normal 12 5 3 3 3" xfId="8989" xr:uid="{00000000-0005-0000-0000-00003C230000}"/>
    <cellStyle name="Normal 12 5 3 4" xfId="8990" xr:uid="{00000000-0005-0000-0000-00003D230000}"/>
    <cellStyle name="Normal 12 5 3 5" xfId="8991" xr:uid="{00000000-0005-0000-0000-00003E230000}"/>
    <cellStyle name="Normal 12 5 4" xfId="8992" xr:uid="{00000000-0005-0000-0000-00003F230000}"/>
    <cellStyle name="Normal 12 5 4 2" xfId="8993" xr:uid="{00000000-0005-0000-0000-000040230000}"/>
    <cellStyle name="Normal 12 5 4 2 2" xfId="8994" xr:uid="{00000000-0005-0000-0000-000041230000}"/>
    <cellStyle name="Normal 12 5 4 2 3" xfId="8995" xr:uid="{00000000-0005-0000-0000-000042230000}"/>
    <cellStyle name="Normal 12 5 4 3" xfId="8996" xr:uid="{00000000-0005-0000-0000-000043230000}"/>
    <cellStyle name="Normal 12 5 4 4" xfId="8997" xr:uid="{00000000-0005-0000-0000-000044230000}"/>
    <cellStyle name="Normal 12 5 5" xfId="8998" xr:uid="{00000000-0005-0000-0000-000045230000}"/>
    <cellStyle name="Normal 12 5 5 2" xfId="8999" xr:uid="{00000000-0005-0000-0000-000046230000}"/>
    <cellStyle name="Normal 12 5 5 3" xfId="9000" xr:uid="{00000000-0005-0000-0000-000047230000}"/>
    <cellStyle name="Normal 12 5 6" xfId="9001" xr:uid="{00000000-0005-0000-0000-000048230000}"/>
    <cellStyle name="Normal 12 5 7" xfId="9002" xr:uid="{00000000-0005-0000-0000-000049230000}"/>
    <cellStyle name="Normal 12 6" xfId="9003" xr:uid="{00000000-0005-0000-0000-00004A230000}"/>
    <cellStyle name="Normal 12 6 2" xfId="9004" xr:uid="{00000000-0005-0000-0000-00004B230000}"/>
    <cellStyle name="Normal 12 6 2 2" xfId="9005" xr:uid="{00000000-0005-0000-0000-00004C230000}"/>
    <cellStyle name="Normal 12 6 2 2 2" xfId="9006" xr:uid="{00000000-0005-0000-0000-00004D230000}"/>
    <cellStyle name="Normal 12 6 2 2 2 2" xfId="9007" xr:uid="{00000000-0005-0000-0000-00004E230000}"/>
    <cellStyle name="Normal 12 6 2 2 2 2 2" xfId="9008" xr:uid="{00000000-0005-0000-0000-00004F230000}"/>
    <cellStyle name="Normal 12 6 2 2 2 2 3" xfId="9009" xr:uid="{00000000-0005-0000-0000-000050230000}"/>
    <cellStyle name="Normal 12 6 2 2 2 3" xfId="9010" xr:uid="{00000000-0005-0000-0000-000051230000}"/>
    <cellStyle name="Normal 12 6 2 2 2 4" xfId="9011" xr:uid="{00000000-0005-0000-0000-000052230000}"/>
    <cellStyle name="Normal 12 6 2 2 3" xfId="9012" xr:uid="{00000000-0005-0000-0000-000053230000}"/>
    <cellStyle name="Normal 12 6 2 2 3 2" xfId="9013" xr:uid="{00000000-0005-0000-0000-000054230000}"/>
    <cellStyle name="Normal 12 6 2 2 3 3" xfId="9014" xr:uid="{00000000-0005-0000-0000-000055230000}"/>
    <cellStyle name="Normal 12 6 2 2 4" xfId="9015" xr:uid="{00000000-0005-0000-0000-000056230000}"/>
    <cellStyle name="Normal 12 6 2 2 5" xfId="9016" xr:uid="{00000000-0005-0000-0000-000057230000}"/>
    <cellStyle name="Normal 12 6 2 3" xfId="9017" xr:uid="{00000000-0005-0000-0000-000058230000}"/>
    <cellStyle name="Normal 12 6 2 3 2" xfId="9018" xr:uid="{00000000-0005-0000-0000-000059230000}"/>
    <cellStyle name="Normal 12 6 2 3 2 2" xfId="9019" xr:uid="{00000000-0005-0000-0000-00005A230000}"/>
    <cellStyle name="Normal 12 6 2 3 2 3" xfId="9020" xr:uid="{00000000-0005-0000-0000-00005B230000}"/>
    <cellStyle name="Normal 12 6 2 3 3" xfId="9021" xr:uid="{00000000-0005-0000-0000-00005C230000}"/>
    <cellStyle name="Normal 12 6 2 3 4" xfId="9022" xr:uid="{00000000-0005-0000-0000-00005D230000}"/>
    <cellStyle name="Normal 12 6 2 4" xfId="9023" xr:uid="{00000000-0005-0000-0000-00005E230000}"/>
    <cellStyle name="Normal 12 6 2 4 2" xfId="9024" xr:uid="{00000000-0005-0000-0000-00005F230000}"/>
    <cellStyle name="Normal 12 6 2 4 3" xfId="9025" xr:uid="{00000000-0005-0000-0000-000060230000}"/>
    <cellStyle name="Normal 12 6 2 5" xfId="9026" xr:uid="{00000000-0005-0000-0000-000061230000}"/>
    <cellStyle name="Normal 12 6 2 6" xfId="9027" xr:uid="{00000000-0005-0000-0000-000062230000}"/>
    <cellStyle name="Normal 12 6 3" xfId="9028" xr:uid="{00000000-0005-0000-0000-000063230000}"/>
    <cellStyle name="Normal 12 6 3 2" xfId="9029" xr:uid="{00000000-0005-0000-0000-000064230000}"/>
    <cellStyle name="Normal 12 6 3 2 2" xfId="9030" xr:uid="{00000000-0005-0000-0000-000065230000}"/>
    <cellStyle name="Normal 12 6 3 2 2 2" xfId="9031" xr:uid="{00000000-0005-0000-0000-000066230000}"/>
    <cellStyle name="Normal 12 6 3 2 2 3" xfId="9032" xr:uid="{00000000-0005-0000-0000-000067230000}"/>
    <cellStyle name="Normal 12 6 3 2 3" xfId="9033" xr:uid="{00000000-0005-0000-0000-000068230000}"/>
    <cellStyle name="Normal 12 6 3 2 4" xfId="9034" xr:uid="{00000000-0005-0000-0000-000069230000}"/>
    <cellStyle name="Normal 12 6 3 3" xfId="9035" xr:uid="{00000000-0005-0000-0000-00006A230000}"/>
    <cellStyle name="Normal 12 6 3 3 2" xfId="9036" xr:uid="{00000000-0005-0000-0000-00006B230000}"/>
    <cellStyle name="Normal 12 6 3 3 3" xfId="9037" xr:uid="{00000000-0005-0000-0000-00006C230000}"/>
    <cellStyle name="Normal 12 6 3 4" xfId="9038" xr:uid="{00000000-0005-0000-0000-00006D230000}"/>
    <cellStyle name="Normal 12 6 3 5" xfId="9039" xr:uid="{00000000-0005-0000-0000-00006E230000}"/>
    <cellStyle name="Normal 12 6 4" xfId="9040" xr:uid="{00000000-0005-0000-0000-00006F230000}"/>
    <cellStyle name="Normal 12 6 4 2" xfId="9041" xr:uid="{00000000-0005-0000-0000-000070230000}"/>
    <cellStyle name="Normal 12 6 4 2 2" xfId="9042" xr:uid="{00000000-0005-0000-0000-000071230000}"/>
    <cellStyle name="Normal 12 6 4 2 3" xfId="9043" xr:uid="{00000000-0005-0000-0000-000072230000}"/>
    <cellStyle name="Normal 12 6 4 3" xfId="9044" xr:uid="{00000000-0005-0000-0000-000073230000}"/>
    <cellStyle name="Normal 12 6 4 4" xfId="9045" xr:uid="{00000000-0005-0000-0000-000074230000}"/>
    <cellStyle name="Normal 12 6 5" xfId="9046" xr:uid="{00000000-0005-0000-0000-000075230000}"/>
    <cellStyle name="Normal 12 6 5 2" xfId="9047" xr:uid="{00000000-0005-0000-0000-000076230000}"/>
    <cellStyle name="Normal 12 6 5 3" xfId="9048" xr:uid="{00000000-0005-0000-0000-000077230000}"/>
    <cellStyle name="Normal 12 6 6" xfId="9049" xr:uid="{00000000-0005-0000-0000-000078230000}"/>
    <cellStyle name="Normal 12 6 7" xfId="9050" xr:uid="{00000000-0005-0000-0000-000079230000}"/>
    <cellStyle name="Normal 12 7" xfId="9051" xr:uid="{00000000-0005-0000-0000-00007A230000}"/>
    <cellStyle name="Normal 12 7 2" xfId="9052" xr:uid="{00000000-0005-0000-0000-00007B230000}"/>
    <cellStyle name="Normal 12 7 2 2" xfId="9053" xr:uid="{00000000-0005-0000-0000-00007C230000}"/>
    <cellStyle name="Normal 12 7 2 2 2" xfId="9054" xr:uid="{00000000-0005-0000-0000-00007D230000}"/>
    <cellStyle name="Normal 12 7 2 2 2 2" xfId="9055" xr:uid="{00000000-0005-0000-0000-00007E230000}"/>
    <cellStyle name="Normal 12 7 2 2 2 3" xfId="9056" xr:uid="{00000000-0005-0000-0000-00007F230000}"/>
    <cellStyle name="Normal 12 7 2 2 3" xfId="9057" xr:uid="{00000000-0005-0000-0000-000080230000}"/>
    <cellStyle name="Normal 12 7 2 2 4" xfId="9058" xr:uid="{00000000-0005-0000-0000-000081230000}"/>
    <cellStyle name="Normal 12 7 2 3" xfId="9059" xr:uid="{00000000-0005-0000-0000-000082230000}"/>
    <cellStyle name="Normal 12 7 2 3 2" xfId="9060" xr:uid="{00000000-0005-0000-0000-000083230000}"/>
    <cellStyle name="Normal 12 7 2 3 3" xfId="9061" xr:uid="{00000000-0005-0000-0000-000084230000}"/>
    <cellStyle name="Normal 12 7 2 4" xfId="9062" xr:uid="{00000000-0005-0000-0000-000085230000}"/>
    <cellStyle name="Normal 12 7 2 5" xfId="9063" xr:uid="{00000000-0005-0000-0000-000086230000}"/>
    <cellStyle name="Normal 12 7 3" xfId="9064" xr:uid="{00000000-0005-0000-0000-000087230000}"/>
    <cellStyle name="Normal 12 7 3 2" xfId="9065" xr:uid="{00000000-0005-0000-0000-000088230000}"/>
    <cellStyle name="Normal 12 7 3 2 2" xfId="9066" xr:uid="{00000000-0005-0000-0000-000089230000}"/>
    <cellStyle name="Normal 12 7 3 2 3" xfId="9067" xr:uid="{00000000-0005-0000-0000-00008A230000}"/>
    <cellStyle name="Normal 12 7 3 3" xfId="9068" xr:uid="{00000000-0005-0000-0000-00008B230000}"/>
    <cellStyle name="Normal 12 7 3 4" xfId="9069" xr:uid="{00000000-0005-0000-0000-00008C230000}"/>
    <cellStyle name="Normal 12 7 4" xfId="9070" xr:uid="{00000000-0005-0000-0000-00008D230000}"/>
    <cellStyle name="Normal 12 7 4 2" xfId="9071" xr:uid="{00000000-0005-0000-0000-00008E230000}"/>
    <cellStyle name="Normal 12 7 4 3" xfId="9072" xr:uid="{00000000-0005-0000-0000-00008F230000}"/>
    <cellStyle name="Normal 12 7 5" xfId="9073" xr:uid="{00000000-0005-0000-0000-000090230000}"/>
    <cellStyle name="Normal 12 7 6" xfId="9074" xr:uid="{00000000-0005-0000-0000-000091230000}"/>
    <cellStyle name="Normal 12 8" xfId="9075" xr:uid="{00000000-0005-0000-0000-000092230000}"/>
    <cellStyle name="Normal 12 8 2" xfId="9076" xr:uid="{00000000-0005-0000-0000-000093230000}"/>
    <cellStyle name="Normal 12 8 2 2" xfId="9077" xr:uid="{00000000-0005-0000-0000-000094230000}"/>
    <cellStyle name="Normal 12 8 2 2 2" xfId="9078" xr:uid="{00000000-0005-0000-0000-000095230000}"/>
    <cellStyle name="Normal 12 8 2 2 3" xfId="9079" xr:uid="{00000000-0005-0000-0000-000096230000}"/>
    <cellStyle name="Normal 12 8 2 3" xfId="9080" xr:uid="{00000000-0005-0000-0000-000097230000}"/>
    <cellStyle name="Normal 12 8 2 4" xfId="9081" xr:uid="{00000000-0005-0000-0000-000098230000}"/>
    <cellStyle name="Normal 12 8 3" xfId="9082" xr:uid="{00000000-0005-0000-0000-000099230000}"/>
    <cellStyle name="Normal 12 8 3 2" xfId="9083" xr:uid="{00000000-0005-0000-0000-00009A230000}"/>
    <cellStyle name="Normal 12 8 3 3" xfId="9084" xr:uid="{00000000-0005-0000-0000-00009B230000}"/>
    <cellStyle name="Normal 12 8 4" xfId="9085" xr:uid="{00000000-0005-0000-0000-00009C230000}"/>
    <cellStyle name="Normal 12 8 5" xfId="9086" xr:uid="{00000000-0005-0000-0000-00009D230000}"/>
    <cellStyle name="Normal 12 9" xfId="9087" xr:uid="{00000000-0005-0000-0000-00009E230000}"/>
    <cellStyle name="Normal 12 9 2" xfId="9088" xr:uid="{00000000-0005-0000-0000-00009F230000}"/>
    <cellStyle name="Normal 12 9 2 2" xfId="9089" xr:uid="{00000000-0005-0000-0000-0000A0230000}"/>
    <cellStyle name="Normal 12 9 2 3" xfId="9090" xr:uid="{00000000-0005-0000-0000-0000A1230000}"/>
    <cellStyle name="Normal 12 9 3" xfId="9091" xr:uid="{00000000-0005-0000-0000-0000A2230000}"/>
    <cellStyle name="Normal 12 9 4" xfId="9092" xr:uid="{00000000-0005-0000-0000-0000A3230000}"/>
    <cellStyle name="Normal 13" xfId="9093" xr:uid="{00000000-0005-0000-0000-0000A4230000}"/>
    <cellStyle name="Normal 14" xfId="9094" xr:uid="{00000000-0005-0000-0000-0000A5230000}"/>
    <cellStyle name="Normal 14 2" xfId="9095" xr:uid="{00000000-0005-0000-0000-0000A6230000}"/>
    <cellStyle name="Normal 15" xfId="9096" xr:uid="{00000000-0005-0000-0000-0000A7230000}"/>
    <cellStyle name="Normal 15 10" xfId="9097" xr:uid="{00000000-0005-0000-0000-0000A8230000}"/>
    <cellStyle name="Normal 15 2" xfId="9098" xr:uid="{00000000-0005-0000-0000-0000A9230000}"/>
    <cellStyle name="Normal 15 3" xfId="9099" xr:uid="{00000000-0005-0000-0000-0000AA230000}"/>
    <cellStyle name="Normal 15 3 2" xfId="9100" xr:uid="{00000000-0005-0000-0000-0000AB230000}"/>
    <cellStyle name="Normal 15 3 2 2" xfId="9101" xr:uid="{00000000-0005-0000-0000-0000AC230000}"/>
    <cellStyle name="Normal 15 3 2 2 2" xfId="9102" xr:uid="{00000000-0005-0000-0000-0000AD230000}"/>
    <cellStyle name="Normal 15 3 2 2 2 2" xfId="9103" xr:uid="{00000000-0005-0000-0000-0000AE230000}"/>
    <cellStyle name="Normal 15 3 2 2 2 3" xfId="9104" xr:uid="{00000000-0005-0000-0000-0000AF230000}"/>
    <cellStyle name="Normal 15 3 2 2 3" xfId="9105" xr:uid="{00000000-0005-0000-0000-0000B0230000}"/>
    <cellStyle name="Normal 15 3 2 2 4" xfId="9106" xr:uid="{00000000-0005-0000-0000-0000B1230000}"/>
    <cellStyle name="Normal 15 3 2 3" xfId="9107" xr:uid="{00000000-0005-0000-0000-0000B2230000}"/>
    <cellStyle name="Normal 15 3 2 3 2" xfId="9108" xr:uid="{00000000-0005-0000-0000-0000B3230000}"/>
    <cellStyle name="Normal 15 3 2 3 3" xfId="9109" xr:uid="{00000000-0005-0000-0000-0000B4230000}"/>
    <cellStyle name="Normal 15 3 2 4" xfId="9110" xr:uid="{00000000-0005-0000-0000-0000B5230000}"/>
    <cellStyle name="Normal 15 3 2 5" xfId="9111" xr:uid="{00000000-0005-0000-0000-0000B6230000}"/>
    <cellStyle name="Normal 15 3 3" xfId="9112" xr:uid="{00000000-0005-0000-0000-0000B7230000}"/>
    <cellStyle name="Normal 15 3 3 2" xfId="9113" xr:uid="{00000000-0005-0000-0000-0000B8230000}"/>
    <cellStyle name="Normal 15 3 3 2 2" xfId="9114" xr:uid="{00000000-0005-0000-0000-0000B9230000}"/>
    <cellStyle name="Normal 15 3 3 2 3" xfId="9115" xr:uid="{00000000-0005-0000-0000-0000BA230000}"/>
    <cellStyle name="Normal 15 3 3 3" xfId="9116" xr:uid="{00000000-0005-0000-0000-0000BB230000}"/>
    <cellStyle name="Normal 15 3 3 4" xfId="9117" xr:uid="{00000000-0005-0000-0000-0000BC230000}"/>
    <cellStyle name="Normal 15 3 4" xfId="9118" xr:uid="{00000000-0005-0000-0000-0000BD230000}"/>
    <cellStyle name="Normal 15 3 4 2" xfId="9119" xr:uid="{00000000-0005-0000-0000-0000BE230000}"/>
    <cellStyle name="Normal 15 3 4 3" xfId="9120" xr:uid="{00000000-0005-0000-0000-0000BF230000}"/>
    <cellStyle name="Normal 15 3 5" xfId="9121" xr:uid="{00000000-0005-0000-0000-0000C0230000}"/>
    <cellStyle name="Normal 15 3 6" xfId="9122" xr:uid="{00000000-0005-0000-0000-0000C1230000}"/>
    <cellStyle name="Normal 15 4" xfId="9123" xr:uid="{00000000-0005-0000-0000-0000C2230000}"/>
    <cellStyle name="Normal 15 4 2" xfId="9124" xr:uid="{00000000-0005-0000-0000-0000C3230000}"/>
    <cellStyle name="Normal 15 5" xfId="9125" xr:uid="{00000000-0005-0000-0000-0000C4230000}"/>
    <cellStyle name="Normal 15 5 2" xfId="9126" xr:uid="{00000000-0005-0000-0000-0000C5230000}"/>
    <cellStyle name="Normal 15 6" xfId="9127" xr:uid="{00000000-0005-0000-0000-0000C6230000}"/>
    <cellStyle name="Normal 15 6 2" xfId="9128" xr:uid="{00000000-0005-0000-0000-0000C7230000}"/>
    <cellStyle name="Normal 15 6 2 2" xfId="9129" xr:uid="{00000000-0005-0000-0000-0000C8230000}"/>
    <cellStyle name="Normal 15 6 2 2 2" xfId="9130" xr:uid="{00000000-0005-0000-0000-0000C9230000}"/>
    <cellStyle name="Normal 15 6 2 2 3" xfId="9131" xr:uid="{00000000-0005-0000-0000-0000CA230000}"/>
    <cellStyle name="Normal 15 6 2 3" xfId="9132" xr:uid="{00000000-0005-0000-0000-0000CB230000}"/>
    <cellStyle name="Normal 15 6 2 4" xfId="9133" xr:uid="{00000000-0005-0000-0000-0000CC230000}"/>
    <cellStyle name="Normal 15 6 3" xfId="9134" xr:uid="{00000000-0005-0000-0000-0000CD230000}"/>
    <cellStyle name="Normal 15 6 3 2" xfId="9135" xr:uid="{00000000-0005-0000-0000-0000CE230000}"/>
    <cellStyle name="Normal 15 6 3 3" xfId="9136" xr:uid="{00000000-0005-0000-0000-0000CF230000}"/>
    <cellStyle name="Normal 15 6 4" xfId="9137" xr:uid="{00000000-0005-0000-0000-0000D0230000}"/>
    <cellStyle name="Normal 15 6 5" xfId="9138" xr:uid="{00000000-0005-0000-0000-0000D1230000}"/>
    <cellStyle name="Normal 15 7" xfId="9139" xr:uid="{00000000-0005-0000-0000-0000D2230000}"/>
    <cellStyle name="Normal 15 7 2" xfId="9140" xr:uid="{00000000-0005-0000-0000-0000D3230000}"/>
    <cellStyle name="Normal 15 7 2 2" xfId="9141" xr:uid="{00000000-0005-0000-0000-0000D4230000}"/>
    <cellStyle name="Normal 15 7 2 3" xfId="9142" xr:uid="{00000000-0005-0000-0000-0000D5230000}"/>
    <cellStyle name="Normal 15 7 3" xfId="9143" xr:uid="{00000000-0005-0000-0000-0000D6230000}"/>
    <cellStyle name="Normal 15 7 4" xfId="9144" xr:uid="{00000000-0005-0000-0000-0000D7230000}"/>
    <cellStyle name="Normal 15 8" xfId="9145" xr:uid="{00000000-0005-0000-0000-0000D8230000}"/>
    <cellStyle name="Normal 15 8 2" xfId="9146" xr:uid="{00000000-0005-0000-0000-0000D9230000}"/>
    <cellStyle name="Normal 15 8 3" xfId="9147" xr:uid="{00000000-0005-0000-0000-0000DA230000}"/>
    <cellStyle name="Normal 15 9" xfId="9148" xr:uid="{00000000-0005-0000-0000-0000DB230000}"/>
    <cellStyle name="Normal 16" xfId="9149" xr:uid="{00000000-0005-0000-0000-0000DC230000}"/>
    <cellStyle name="Normal 16 2" xfId="9150" xr:uid="{00000000-0005-0000-0000-0000DD230000}"/>
    <cellStyle name="Normal 16 2 2" xfId="9151" xr:uid="{00000000-0005-0000-0000-0000DE230000}"/>
    <cellStyle name="Normal 16 2 2 2" xfId="9152" xr:uid="{00000000-0005-0000-0000-0000DF230000}"/>
    <cellStyle name="Normal 16 2 2 2 2" xfId="9153" xr:uid="{00000000-0005-0000-0000-0000E0230000}"/>
    <cellStyle name="Normal 16 2 2 2 2 2" xfId="9154" xr:uid="{00000000-0005-0000-0000-0000E1230000}"/>
    <cellStyle name="Normal 16 2 2 2 2 2 2" xfId="9155" xr:uid="{00000000-0005-0000-0000-0000E2230000}"/>
    <cellStyle name="Normal 16 2 2 2 2 2 2 2" xfId="9156" xr:uid="{00000000-0005-0000-0000-0000E3230000}"/>
    <cellStyle name="Normal 16 2 2 2 2 2 2 3" xfId="9157" xr:uid="{00000000-0005-0000-0000-0000E4230000}"/>
    <cellStyle name="Normal 16 2 2 2 2 2 3" xfId="9158" xr:uid="{00000000-0005-0000-0000-0000E5230000}"/>
    <cellStyle name="Normal 16 2 2 2 2 2 4" xfId="9159" xr:uid="{00000000-0005-0000-0000-0000E6230000}"/>
    <cellStyle name="Normal 16 2 2 2 2 3" xfId="9160" xr:uid="{00000000-0005-0000-0000-0000E7230000}"/>
    <cellStyle name="Normal 16 2 2 2 2 3 2" xfId="9161" xr:uid="{00000000-0005-0000-0000-0000E8230000}"/>
    <cellStyle name="Normal 16 2 2 2 2 3 3" xfId="9162" xr:uid="{00000000-0005-0000-0000-0000E9230000}"/>
    <cellStyle name="Normal 16 2 2 2 2 4" xfId="9163" xr:uid="{00000000-0005-0000-0000-0000EA230000}"/>
    <cellStyle name="Normal 16 2 2 2 2 5" xfId="9164" xr:uid="{00000000-0005-0000-0000-0000EB230000}"/>
    <cellStyle name="Normal 16 2 2 2 3" xfId="9165" xr:uid="{00000000-0005-0000-0000-0000EC230000}"/>
    <cellStyle name="Normal 16 2 2 2 3 2" xfId="9166" xr:uid="{00000000-0005-0000-0000-0000ED230000}"/>
    <cellStyle name="Normal 16 2 2 2 3 2 2" xfId="9167" xr:uid="{00000000-0005-0000-0000-0000EE230000}"/>
    <cellStyle name="Normal 16 2 2 2 3 2 3" xfId="9168" xr:uid="{00000000-0005-0000-0000-0000EF230000}"/>
    <cellStyle name="Normal 16 2 2 2 3 3" xfId="9169" xr:uid="{00000000-0005-0000-0000-0000F0230000}"/>
    <cellStyle name="Normal 16 2 2 2 3 4" xfId="9170" xr:uid="{00000000-0005-0000-0000-0000F1230000}"/>
    <cellStyle name="Normal 16 2 2 2 4" xfId="9171" xr:uid="{00000000-0005-0000-0000-0000F2230000}"/>
    <cellStyle name="Normal 16 2 2 2 4 2" xfId="9172" xr:uid="{00000000-0005-0000-0000-0000F3230000}"/>
    <cellStyle name="Normal 16 2 2 2 4 3" xfId="9173" xr:uid="{00000000-0005-0000-0000-0000F4230000}"/>
    <cellStyle name="Normal 16 2 2 2 5" xfId="9174" xr:uid="{00000000-0005-0000-0000-0000F5230000}"/>
    <cellStyle name="Normal 16 2 2 2 6" xfId="9175" xr:uid="{00000000-0005-0000-0000-0000F6230000}"/>
    <cellStyle name="Normal 16 2 2 3" xfId="9176" xr:uid="{00000000-0005-0000-0000-0000F7230000}"/>
    <cellStyle name="Normal 16 2 2 3 2" xfId="9177" xr:uid="{00000000-0005-0000-0000-0000F8230000}"/>
    <cellStyle name="Normal 16 2 2 3 2 2" xfId="9178" xr:uid="{00000000-0005-0000-0000-0000F9230000}"/>
    <cellStyle name="Normal 16 2 2 3 2 2 2" xfId="9179" xr:uid="{00000000-0005-0000-0000-0000FA230000}"/>
    <cellStyle name="Normal 16 2 2 3 2 2 3" xfId="9180" xr:uid="{00000000-0005-0000-0000-0000FB230000}"/>
    <cellStyle name="Normal 16 2 2 3 2 3" xfId="9181" xr:uid="{00000000-0005-0000-0000-0000FC230000}"/>
    <cellStyle name="Normal 16 2 2 3 2 4" xfId="9182" xr:uid="{00000000-0005-0000-0000-0000FD230000}"/>
    <cellStyle name="Normal 16 2 2 3 3" xfId="9183" xr:uid="{00000000-0005-0000-0000-0000FE230000}"/>
    <cellStyle name="Normal 16 2 2 3 3 2" xfId="9184" xr:uid="{00000000-0005-0000-0000-0000FF230000}"/>
    <cellStyle name="Normal 16 2 2 3 3 3" xfId="9185" xr:uid="{00000000-0005-0000-0000-000000240000}"/>
    <cellStyle name="Normal 16 2 2 3 4" xfId="9186" xr:uid="{00000000-0005-0000-0000-000001240000}"/>
    <cellStyle name="Normal 16 2 2 3 5" xfId="9187" xr:uid="{00000000-0005-0000-0000-000002240000}"/>
    <cellStyle name="Normal 16 2 2 4" xfId="9188" xr:uid="{00000000-0005-0000-0000-000003240000}"/>
    <cellStyle name="Normal 16 2 2 4 2" xfId="9189" xr:uid="{00000000-0005-0000-0000-000004240000}"/>
    <cellStyle name="Normal 16 2 2 4 2 2" xfId="9190" xr:uid="{00000000-0005-0000-0000-000005240000}"/>
    <cellStyle name="Normal 16 2 2 4 2 3" xfId="9191" xr:uid="{00000000-0005-0000-0000-000006240000}"/>
    <cellStyle name="Normal 16 2 2 4 3" xfId="9192" xr:uid="{00000000-0005-0000-0000-000007240000}"/>
    <cellStyle name="Normal 16 2 2 4 4" xfId="9193" xr:uid="{00000000-0005-0000-0000-000008240000}"/>
    <cellStyle name="Normal 16 2 2 5" xfId="9194" xr:uid="{00000000-0005-0000-0000-000009240000}"/>
    <cellStyle name="Normal 16 2 2 5 2" xfId="9195" xr:uid="{00000000-0005-0000-0000-00000A240000}"/>
    <cellStyle name="Normal 16 2 2 5 3" xfId="9196" xr:uid="{00000000-0005-0000-0000-00000B240000}"/>
    <cellStyle name="Normal 16 2 2 6" xfId="9197" xr:uid="{00000000-0005-0000-0000-00000C240000}"/>
    <cellStyle name="Normal 16 2 2 7" xfId="9198" xr:uid="{00000000-0005-0000-0000-00000D240000}"/>
    <cellStyle name="Normal 16 2 3" xfId="9199" xr:uid="{00000000-0005-0000-0000-00000E240000}"/>
    <cellStyle name="Normal 16 2 3 2" xfId="9200" xr:uid="{00000000-0005-0000-0000-00000F240000}"/>
    <cellStyle name="Normal 16 2 3 2 2" xfId="9201" xr:uid="{00000000-0005-0000-0000-000010240000}"/>
    <cellStyle name="Normal 16 2 3 2 2 2" xfId="9202" xr:uid="{00000000-0005-0000-0000-000011240000}"/>
    <cellStyle name="Normal 16 2 3 2 2 2 2" xfId="9203" xr:uid="{00000000-0005-0000-0000-000012240000}"/>
    <cellStyle name="Normal 16 2 3 2 2 2 2 2" xfId="9204" xr:uid="{00000000-0005-0000-0000-000013240000}"/>
    <cellStyle name="Normal 16 2 3 2 2 2 2 3" xfId="9205" xr:uid="{00000000-0005-0000-0000-000014240000}"/>
    <cellStyle name="Normal 16 2 3 2 2 2 3" xfId="9206" xr:uid="{00000000-0005-0000-0000-000015240000}"/>
    <cellStyle name="Normal 16 2 3 2 2 2 4" xfId="9207" xr:uid="{00000000-0005-0000-0000-000016240000}"/>
    <cellStyle name="Normal 16 2 3 2 2 3" xfId="9208" xr:uid="{00000000-0005-0000-0000-000017240000}"/>
    <cellStyle name="Normal 16 2 3 2 2 3 2" xfId="9209" xr:uid="{00000000-0005-0000-0000-000018240000}"/>
    <cellStyle name="Normal 16 2 3 2 2 3 3" xfId="9210" xr:uid="{00000000-0005-0000-0000-000019240000}"/>
    <cellStyle name="Normal 16 2 3 2 2 4" xfId="9211" xr:uid="{00000000-0005-0000-0000-00001A240000}"/>
    <cellStyle name="Normal 16 2 3 2 2 5" xfId="9212" xr:uid="{00000000-0005-0000-0000-00001B240000}"/>
    <cellStyle name="Normal 16 2 3 2 3" xfId="9213" xr:uid="{00000000-0005-0000-0000-00001C240000}"/>
    <cellStyle name="Normal 16 2 3 2 3 2" xfId="9214" xr:uid="{00000000-0005-0000-0000-00001D240000}"/>
    <cellStyle name="Normal 16 2 3 2 3 2 2" xfId="9215" xr:uid="{00000000-0005-0000-0000-00001E240000}"/>
    <cellStyle name="Normal 16 2 3 2 3 2 3" xfId="9216" xr:uid="{00000000-0005-0000-0000-00001F240000}"/>
    <cellStyle name="Normal 16 2 3 2 3 3" xfId="9217" xr:uid="{00000000-0005-0000-0000-000020240000}"/>
    <cellStyle name="Normal 16 2 3 2 3 4" xfId="9218" xr:uid="{00000000-0005-0000-0000-000021240000}"/>
    <cellStyle name="Normal 16 2 3 2 4" xfId="9219" xr:uid="{00000000-0005-0000-0000-000022240000}"/>
    <cellStyle name="Normal 16 2 3 2 4 2" xfId="9220" xr:uid="{00000000-0005-0000-0000-000023240000}"/>
    <cellStyle name="Normal 16 2 3 2 4 3" xfId="9221" xr:uid="{00000000-0005-0000-0000-000024240000}"/>
    <cellStyle name="Normal 16 2 3 2 5" xfId="9222" xr:uid="{00000000-0005-0000-0000-000025240000}"/>
    <cellStyle name="Normal 16 2 3 2 6" xfId="9223" xr:uid="{00000000-0005-0000-0000-000026240000}"/>
    <cellStyle name="Normal 16 2 3 3" xfId="9224" xr:uid="{00000000-0005-0000-0000-000027240000}"/>
    <cellStyle name="Normal 16 2 3 3 2" xfId="9225" xr:uid="{00000000-0005-0000-0000-000028240000}"/>
    <cellStyle name="Normal 16 2 3 3 2 2" xfId="9226" xr:uid="{00000000-0005-0000-0000-000029240000}"/>
    <cellStyle name="Normal 16 2 3 3 2 2 2" xfId="9227" xr:uid="{00000000-0005-0000-0000-00002A240000}"/>
    <cellStyle name="Normal 16 2 3 3 2 2 3" xfId="9228" xr:uid="{00000000-0005-0000-0000-00002B240000}"/>
    <cellStyle name="Normal 16 2 3 3 2 3" xfId="9229" xr:uid="{00000000-0005-0000-0000-00002C240000}"/>
    <cellStyle name="Normal 16 2 3 3 2 4" xfId="9230" xr:uid="{00000000-0005-0000-0000-00002D240000}"/>
    <cellStyle name="Normal 16 2 3 3 3" xfId="9231" xr:uid="{00000000-0005-0000-0000-00002E240000}"/>
    <cellStyle name="Normal 16 2 3 3 3 2" xfId="9232" xr:uid="{00000000-0005-0000-0000-00002F240000}"/>
    <cellStyle name="Normal 16 2 3 3 3 3" xfId="9233" xr:uid="{00000000-0005-0000-0000-000030240000}"/>
    <cellStyle name="Normal 16 2 3 3 4" xfId="9234" xr:uid="{00000000-0005-0000-0000-000031240000}"/>
    <cellStyle name="Normal 16 2 3 3 5" xfId="9235" xr:uid="{00000000-0005-0000-0000-000032240000}"/>
    <cellStyle name="Normal 16 2 3 4" xfId="9236" xr:uid="{00000000-0005-0000-0000-000033240000}"/>
    <cellStyle name="Normal 16 2 3 4 2" xfId="9237" xr:uid="{00000000-0005-0000-0000-000034240000}"/>
    <cellStyle name="Normal 16 2 3 4 2 2" xfId="9238" xr:uid="{00000000-0005-0000-0000-000035240000}"/>
    <cellStyle name="Normal 16 2 3 4 2 3" xfId="9239" xr:uid="{00000000-0005-0000-0000-000036240000}"/>
    <cellStyle name="Normal 16 2 3 4 3" xfId="9240" xr:uid="{00000000-0005-0000-0000-000037240000}"/>
    <cellStyle name="Normal 16 2 3 4 4" xfId="9241" xr:uid="{00000000-0005-0000-0000-000038240000}"/>
    <cellStyle name="Normal 16 2 3 5" xfId="9242" xr:uid="{00000000-0005-0000-0000-000039240000}"/>
    <cellStyle name="Normal 16 2 3 5 2" xfId="9243" xr:uid="{00000000-0005-0000-0000-00003A240000}"/>
    <cellStyle name="Normal 16 2 3 5 3" xfId="9244" xr:uid="{00000000-0005-0000-0000-00003B240000}"/>
    <cellStyle name="Normal 16 2 3 6" xfId="9245" xr:uid="{00000000-0005-0000-0000-00003C240000}"/>
    <cellStyle name="Normal 16 2 3 7" xfId="9246" xr:uid="{00000000-0005-0000-0000-00003D240000}"/>
    <cellStyle name="Normal 16 2 4" xfId="9247" xr:uid="{00000000-0005-0000-0000-00003E240000}"/>
    <cellStyle name="Normal 16 2 4 2" xfId="9248" xr:uid="{00000000-0005-0000-0000-00003F240000}"/>
    <cellStyle name="Normal 16 2 4 2 2" xfId="9249" xr:uid="{00000000-0005-0000-0000-000040240000}"/>
    <cellStyle name="Normal 16 2 4 2 2 2" xfId="9250" xr:uid="{00000000-0005-0000-0000-000041240000}"/>
    <cellStyle name="Normal 16 2 4 2 2 2 2" xfId="9251" xr:uid="{00000000-0005-0000-0000-000042240000}"/>
    <cellStyle name="Normal 16 2 4 2 2 2 3" xfId="9252" xr:uid="{00000000-0005-0000-0000-000043240000}"/>
    <cellStyle name="Normal 16 2 4 2 2 3" xfId="9253" xr:uid="{00000000-0005-0000-0000-000044240000}"/>
    <cellStyle name="Normal 16 2 4 2 2 4" xfId="9254" xr:uid="{00000000-0005-0000-0000-000045240000}"/>
    <cellStyle name="Normal 16 2 4 2 3" xfId="9255" xr:uid="{00000000-0005-0000-0000-000046240000}"/>
    <cellStyle name="Normal 16 2 4 2 3 2" xfId="9256" xr:uid="{00000000-0005-0000-0000-000047240000}"/>
    <cellStyle name="Normal 16 2 4 2 3 3" xfId="9257" xr:uid="{00000000-0005-0000-0000-000048240000}"/>
    <cellStyle name="Normal 16 2 4 2 4" xfId="9258" xr:uid="{00000000-0005-0000-0000-000049240000}"/>
    <cellStyle name="Normal 16 2 4 2 5" xfId="9259" xr:uid="{00000000-0005-0000-0000-00004A240000}"/>
    <cellStyle name="Normal 16 2 4 3" xfId="9260" xr:uid="{00000000-0005-0000-0000-00004B240000}"/>
    <cellStyle name="Normal 16 2 4 3 2" xfId="9261" xr:uid="{00000000-0005-0000-0000-00004C240000}"/>
    <cellStyle name="Normal 16 2 4 3 2 2" xfId="9262" xr:uid="{00000000-0005-0000-0000-00004D240000}"/>
    <cellStyle name="Normal 16 2 4 3 2 3" xfId="9263" xr:uid="{00000000-0005-0000-0000-00004E240000}"/>
    <cellStyle name="Normal 16 2 4 3 3" xfId="9264" xr:uid="{00000000-0005-0000-0000-00004F240000}"/>
    <cellStyle name="Normal 16 2 4 3 4" xfId="9265" xr:uid="{00000000-0005-0000-0000-000050240000}"/>
    <cellStyle name="Normal 16 2 4 4" xfId="9266" xr:uid="{00000000-0005-0000-0000-000051240000}"/>
    <cellStyle name="Normal 16 2 4 4 2" xfId="9267" xr:uid="{00000000-0005-0000-0000-000052240000}"/>
    <cellStyle name="Normal 16 2 4 4 3" xfId="9268" xr:uid="{00000000-0005-0000-0000-000053240000}"/>
    <cellStyle name="Normal 16 2 4 5" xfId="9269" xr:uid="{00000000-0005-0000-0000-000054240000}"/>
    <cellStyle name="Normal 16 2 4 6" xfId="9270" xr:uid="{00000000-0005-0000-0000-000055240000}"/>
    <cellStyle name="Normal 16 2 5" xfId="9271" xr:uid="{00000000-0005-0000-0000-000056240000}"/>
    <cellStyle name="Normal 16 2 5 2" xfId="9272" xr:uid="{00000000-0005-0000-0000-000057240000}"/>
    <cellStyle name="Normal 16 2 5 2 2" xfId="9273" xr:uid="{00000000-0005-0000-0000-000058240000}"/>
    <cellStyle name="Normal 16 2 5 2 2 2" xfId="9274" xr:uid="{00000000-0005-0000-0000-000059240000}"/>
    <cellStyle name="Normal 16 2 5 2 2 3" xfId="9275" xr:uid="{00000000-0005-0000-0000-00005A240000}"/>
    <cellStyle name="Normal 16 2 5 2 3" xfId="9276" xr:uid="{00000000-0005-0000-0000-00005B240000}"/>
    <cellStyle name="Normal 16 2 5 2 4" xfId="9277" xr:uid="{00000000-0005-0000-0000-00005C240000}"/>
    <cellStyle name="Normal 16 2 5 3" xfId="9278" xr:uid="{00000000-0005-0000-0000-00005D240000}"/>
    <cellStyle name="Normal 16 2 5 3 2" xfId="9279" xr:uid="{00000000-0005-0000-0000-00005E240000}"/>
    <cellStyle name="Normal 16 2 5 3 3" xfId="9280" xr:uid="{00000000-0005-0000-0000-00005F240000}"/>
    <cellStyle name="Normal 16 2 5 4" xfId="9281" xr:uid="{00000000-0005-0000-0000-000060240000}"/>
    <cellStyle name="Normal 16 2 5 5" xfId="9282" xr:uid="{00000000-0005-0000-0000-000061240000}"/>
    <cellStyle name="Normal 16 2 6" xfId="9283" xr:uid="{00000000-0005-0000-0000-000062240000}"/>
    <cellStyle name="Normal 16 2 6 2" xfId="9284" xr:uid="{00000000-0005-0000-0000-000063240000}"/>
    <cellStyle name="Normal 16 2 6 2 2" xfId="9285" xr:uid="{00000000-0005-0000-0000-000064240000}"/>
    <cellStyle name="Normal 16 2 6 2 3" xfId="9286" xr:uid="{00000000-0005-0000-0000-000065240000}"/>
    <cellStyle name="Normal 16 2 6 3" xfId="9287" xr:uid="{00000000-0005-0000-0000-000066240000}"/>
    <cellStyle name="Normal 16 2 6 4" xfId="9288" xr:uid="{00000000-0005-0000-0000-000067240000}"/>
    <cellStyle name="Normal 16 2 7" xfId="9289" xr:uid="{00000000-0005-0000-0000-000068240000}"/>
    <cellStyle name="Normal 16 2 7 2" xfId="9290" xr:uid="{00000000-0005-0000-0000-000069240000}"/>
    <cellStyle name="Normal 16 2 7 3" xfId="9291" xr:uid="{00000000-0005-0000-0000-00006A240000}"/>
    <cellStyle name="Normal 16 2 8" xfId="9292" xr:uid="{00000000-0005-0000-0000-00006B240000}"/>
    <cellStyle name="Normal 16 2 9" xfId="9293" xr:uid="{00000000-0005-0000-0000-00006C240000}"/>
    <cellStyle name="Normal 16 3" xfId="9294" xr:uid="{00000000-0005-0000-0000-00006D240000}"/>
    <cellStyle name="Normal 16 3 2" xfId="9295" xr:uid="{00000000-0005-0000-0000-00006E240000}"/>
    <cellStyle name="Normal 16 3 2 2" xfId="9296" xr:uid="{00000000-0005-0000-0000-00006F240000}"/>
    <cellStyle name="Normal 16 3 2 2 2" xfId="9297" xr:uid="{00000000-0005-0000-0000-000070240000}"/>
    <cellStyle name="Normal 16 3 2 2 2 2" xfId="9298" xr:uid="{00000000-0005-0000-0000-000071240000}"/>
    <cellStyle name="Normal 16 3 2 2 2 2 2" xfId="9299" xr:uid="{00000000-0005-0000-0000-000072240000}"/>
    <cellStyle name="Normal 16 3 2 2 2 2 3" xfId="9300" xr:uid="{00000000-0005-0000-0000-000073240000}"/>
    <cellStyle name="Normal 16 3 2 2 2 3" xfId="9301" xr:uid="{00000000-0005-0000-0000-000074240000}"/>
    <cellStyle name="Normal 16 3 2 2 2 4" xfId="9302" xr:uid="{00000000-0005-0000-0000-000075240000}"/>
    <cellStyle name="Normal 16 3 2 2 3" xfId="9303" xr:uid="{00000000-0005-0000-0000-000076240000}"/>
    <cellStyle name="Normal 16 3 2 2 3 2" xfId="9304" xr:uid="{00000000-0005-0000-0000-000077240000}"/>
    <cellStyle name="Normal 16 3 2 2 3 3" xfId="9305" xr:uid="{00000000-0005-0000-0000-000078240000}"/>
    <cellStyle name="Normal 16 3 2 2 4" xfId="9306" xr:uid="{00000000-0005-0000-0000-000079240000}"/>
    <cellStyle name="Normal 16 3 2 2 5" xfId="9307" xr:uid="{00000000-0005-0000-0000-00007A240000}"/>
    <cellStyle name="Normal 16 3 2 3" xfId="9308" xr:uid="{00000000-0005-0000-0000-00007B240000}"/>
    <cellStyle name="Normal 16 3 2 3 2" xfId="9309" xr:uid="{00000000-0005-0000-0000-00007C240000}"/>
    <cellStyle name="Normal 16 3 2 3 2 2" xfId="9310" xr:uid="{00000000-0005-0000-0000-00007D240000}"/>
    <cellStyle name="Normal 16 3 2 3 2 3" xfId="9311" xr:uid="{00000000-0005-0000-0000-00007E240000}"/>
    <cellStyle name="Normal 16 3 2 3 3" xfId="9312" xr:uid="{00000000-0005-0000-0000-00007F240000}"/>
    <cellStyle name="Normal 16 3 2 3 4" xfId="9313" xr:uid="{00000000-0005-0000-0000-000080240000}"/>
    <cellStyle name="Normal 16 3 2 4" xfId="9314" xr:uid="{00000000-0005-0000-0000-000081240000}"/>
    <cellStyle name="Normal 16 3 2 4 2" xfId="9315" xr:uid="{00000000-0005-0000-0000-000082240000}"/>
    <cellStyle name="Normal 16 3 2 4 3" xfId="9316" xr:uid="{00000000-0005-0000-0000-000083240000}"/>
    <cellStyle name="Normal 16 3 2 5" xfId="9317" xr:uid="{00000000-0005-0000-0000-000084240000}"/>
    <cellStyle name="Normal 16 3 2 6" xfId="9318" xr:uid="{00000000-0005-0000-0000-000085240000}"/>
    <cellStyle name="Normal 16 3 3" xfId="9319" xr:uid="{00000000-0005-0000-0000-000086240000}"/>
    <cellStyle name="Normal 16 3 3 2" xfId="9320" xr:uid="{00000000-0005-0000-0000-000087240000}"/>
    <cellStyle name="Normal 16 3 3 2 2" xfId="9321" xr:uid="{00000000-0005-0000-0000-000088240000}"/>
    <cellStyle name="Normal 16 3 3 2 2 2" xfId="9322" xr:uid="{00000000-0005-0000-0000-000089240000}"/>
    <cellStyle name="Normal 16 3 3 2 2 3" xfId="9323" xr:uid="{00000000-0005-0000-0000-00008A240000}"/>
    <cellStyle name="Normal 16 3 3 2 3" xfId="9324" xr:uid="{00000000-0005-0000-0000-00008B240000}"/>
    <cellStyle name="Normal 16 3 3 2 4" xfId="9325" xr:uid="{00000000-0005-0000-0000-00008C240000}"/>
    <cellStyle name="Normal 16 3 3 3" xfId="9326" xr:uid="{00000000-0005-0000-0000-00008D240000}"/>
    <cellStyle name="Normal 16 3 3 3 2" xfId="9327" xr:uid="{00000000-0005-0000-0000-00008E240000}"/>
    <cellStyle name="Normal 16 3 3 3 3" xfId="9328" xr:uid="{00000000-0005-0000-0000-00008F240000}"/>
    <cellStyle name="Normal 16 3 3 4" xfId="9329" xr:uid="{00000000-0005-0000-0000-000090240000}"/>
    <cellStyle name="Normal 16 3 3 5" xfId="9330" xr:uid="{00000000-0005-0000-0000-000091240000}"/>
    <cellStyle name="Normal 16 3 4" xfId="9331" xr:uid="{00000000-0005-0000-0000-000092240000}"/>
    <cellStyle name="Normal 16 3 4 2" xfId="9332" xr:uid="{00000000-0005-0000-0000-000093240000}"/>
    <cellStyle name="Normal 16 3 4 2 2" xfId="9333" xr:uid="{00000000-0005-0000-0000-000094240000}"/>
    <cellStyle name="Normal 16 3 4 2 3" xfId="9334" xr:uid="{00000000-0005-0000-0000-000095240000}"/>
    <cellStyle name="Normal 16 3 4 3" xfId="9335" xr:uid="{00000000-0005-0000-0000-000096240000}"/>
    <cellStyle name="Normal 16 3 4 4" xfId="9336" xr:uid="{00000000-0005-0000-0000-000097240000}"/>
    <cellStyle name="Normal 16 3 5" xfId="9337" xr:uid="{00000000-0005-0000-0000-000098240000}"/>
    <cellStyle name="Normal 16 3 5 2" xfId="9338" xr:uid="{00000000-0005-0000-0000-000099240000}"/>
    <cellStyle name="Normal 16 3 5 3" xfId="9339" xr:uid="{00000000-0005-0000-0000-00009A240000}"/>
    <cellStyle name="Normal 16 3 6" xfId="9340" xr:uid="{00000000-0005-0000-0000-00009B240000}"/>
    <cellStyle name="Normal 16 3 7" xfId="9341" xr:uid="{00000000-0005-0000-0000-00009C240000}"/>
    <cellStyle name="Normal 16 4" xfId="9342" xr:uid="{00000000-0005-0000-0000-00009D240000}"/>
    <cellStyle name="Normal 16 4 2" xfId="9343" xr:uid="{00000000-0005-0000-0000-00009E240000}"/>
    <cellStyle name="Normal 16 4 2 2" xfId="9344" xr:uid="{00000000-0005-0000-0000-00009F240000}"/>
    <cellStyle name="Normal 16 4 2 2 2" xfId="9345" xr:uid="{00000000-0005-0000-0000-0000A0240000}"/>
    <cellStyle name="Normal 16 4 2 2 2 2" xfId="9346" xr:uid="{00000000-0005-0000-0000-0000A1240000}"/>
    <cellStyle name="Normal 16 4 2 2 2 2 2" xfId="9347" xr:uid="{00000000-0005-0000-0000-0000A2240000}"/>
    <cellStyle name="Normal 16 4 2 2 2 2 3" xfId="9348" xr:uid="{00000000-0005-0000-0000-0000A3240000}"/>
    <cellStyle name="Normal 16 4 2 2 2 3" xfId="9349" xr:uid="{00000000-0005-0000-0000-0000A4240000}"/>
    <cellStyle name="Normal 16 4 2 2 2 4" xfId="9350" xr:uid="{00000000-0005-0000-0000-0000A5240000}"/>
    <cellStyle name="Normal 16 4 2 2 3" xfId="9351" xr:uid="{00000000-0005-0000-0000-0000A6240000}"/>
    <cellStyle name="Normal 16 4 2 2 3 2" xfId="9352" xr:uid="{00000000-0005-0000-0000-0000A7240000}"/>
    <cellStyle name="Normal 16 4 2 2 3 3" xfId="9353" xr:uid="{00000000-0005-0000-0000-0000A8240000}"/>
    <cellStyle name="Normal 16 4 2 2 4" xfId="9354" xr:uid="{00000000-0005-0000-0000-0000A9240000}"/>
    <cellStyle name="Normal 16 4 2 2 5" xfId="9355" xr:uid="{00000000-0005-0000-0000-0000AA240000}"/>
    <cellStyle name="Normal 16 4 2 3" xfId="9356" xr:uid="{00000000-0005-0000-0000-0000AB240000}"/>
    <cellStyle name="Normal 16 4 2 3 2" xfId="9357" xr:uid="{00000000-0005-0000-0000-0000AC240000}"/>
    <cellStyle name="Normal 16 4 2 3 2 2" xfId="9358" xr:uid="{00000000-0005-0000-0000-0000AD240000}"/>
    <cellStyle name="Normal 16 4 2 3 2 3" xfId="9359" xr:uid="{00000000-0005-0000-0000-0000AE240000}"/>
    <cellStyle name="Normal 16 4 2 3 3" xfId="9360" xr:uid="{00000000-0005-0000-0000-0000AF240000}"/>
    <cellStyle name="Normal 16 4 2 3 4" xfId="9361" xr:uid="{00000000-0005-0000-0000-0000B0240000}"/>
    <cellStyle name="Normal 16 4 2 4" xfId="9362" xr:uid="{00000000-0005-0000-0000-0000B1240000}"/>
    <cellStyle name="Normal 16 4 2 4 2" xfId="9363" xr:uid="{00000000-0005-0000-0000-0000B2240000}"/>
    <cellStyle name="Normal 16 4 2 4 3" xfId="9364" xr:uid="{00000000-0005-0000-0000-0000B3240000}"/>
    <cellStyle name="Normal 16 4 2 5" xfId="9365" xr:uid="{00000000-0005-0000-0000-0000B4240000}"/>
    <cellStyle name="Normal 16 4 2 6" xfId="9366" xr:uid="{00000000-0005-0000-0000-0000B5240000}"/>
    <cellStyle name="Normal 16 4 3" xfId="9367" xr:uid="{00000000-0005-0000-0000-0000B6240000}"/>
    <cellStyle name="Normal 16 4 3 2" xfId="9368" xr:uid="{00000000-0005-0000-0000-0000B7240000}"/>
    <cellStyle name="Normal 16 4 3 2 2" xfId="9369" xr:uid="{00000000-0005-0000-0000-0000B8240000}"/>
    <cellStyle name="Normal 16 4 3 2 2 2" xfId="9370" xr:uid="{00000000-0005-0000-0000-0000B9240000}"/>
    <cellStyle name="Normal 16 4 3 2 2 3" xfId="9371" xr:uid="{00000000-0005-0000-0000-0000BA240000}"/>
    <cellStyle name="Normal 16 4 3 2 3" xfId="9372" xr:uid="{00000000-0005-0000-0000-0000BB240000}"/>
    <cellStyle name="Normal 16 4 3 2 4" xfId="9373" xr:uid="{00000000-0005-0000-0000-0000BC240000}"/>
    <cellStyle name="Normal 16 4 3 3" xfId="9374" xr:uid="{00000000-0005-0000-0000-0000BD240000}"/>
    <cellStyle name="Normal 16 4 3 3 2" xfId="9375" xr:uid="{00000000-0005-0000-0000-0000BE240000}"/>
    <cellStyle name="Normal 16 4 3 3 3" xfId="9376" xr:uid="{00000000-0005-0000-0000-0000BF240000}"/>
    <cellStyle name="Normal 16 4 3 4" xfId="9377" xr:uid="{00000000-0005-0000-0000-0000C0240000}"/>
    <cellStyle name="Normal 16 4 3 5" xfId="9378" xr:uid="{00000000-0005-0000-0000-0000C1240000}"/>
    <cellStyle name="Normal 16 4 4" xfId="9379" xr:uid="{00000000-0005-0000-0000-0000C2240000}"/>
    <cellStyle name="Normal 16 4 4 2" xfId="9380" xr:uid="{00000000-0005-0000-0000-0000C3240000}"/>
    <cellStyle name="Normal 16 4 4 2 2" xfId="9381" xr:uid="{00000000-0005-0000-0000-0000C4240000}"/>
    <cellStyle name="Normal 16 4 4 2 3" xfId="9382" xr:uid="{00000000-0005-0000-0000-0000C5240000}"/>
    <cellStyle name="Normal 16 4 4 3" xfId="9383" xr:uid="{00000000-0005-0000-0000-0000C6240000}"/>
    <cellStyle name="Normal 16 4 4 4" xfId="9384" xr:uid="{00000000-0005-0000-0000-0000C7240000}"/>
    <cellStyle name="Normal 16 4 5" xfId="9385" xr:uid="{00000000-0005-0000-0000-0000C8240000}"/>
    <cellStyle name="Normal 16 4 5 2" xfId="9386" xr:uid="{00000000-0005-0000-0000-0000C9240000}"/>
    <cellStyle name="Normal 16 4 5 3" xfId="9387" xr:uid="{00000000-0005-0000-0000-0000CA240000}"/>
    <cellStyle name="Normal 16 4 6" xfId="9388" xr:uid="{00000000-0005-0000-0000-0000CB240000}"/>
    <cellStyle name="Normal 16 4 7" xfId="9389" xr:uid="{00000000-0005-0000-0000-0000CC240000}"/>
    <cellStyle name="Normal 16 5" xfId="9390" xr:uid="{00000000-0005-0000-0000-0000CD240000}"/>
    <cellStyle name="Normal 16 5 2" xfId="9391" xr:uid="{00000000-0005-0000-0000-0000CE240000}"/>
    <cellStyle name="Normal 16 5 2 2" xfId="9392" xr:uid="{00000000-0005-0000-0000-0000CF240000}"/>
    <cellStyle name="Normal 16 5 2 2 2" xfId="9393" xr:uid="{00000000-0005-0000-0000-0000D0240000}"/>
    <cellStyle name="Normal 16 5 2 2 2 2" xfId="9394" xr:uid="{00000000-0005-0000-0000-0000D1240000}"/>
    <cellStyle name="Normal 16 5 2 2 2 2 2" xfId="9395" xr:uid="{00000000-0005-0000-0000-0000D2240000}"/>
    <cellStyle name="Normal 16 5 2 2 2 2 3" xfId="9396" xr:uid="{00000000-0005-0000-0000-0000D3240000}"/>
    <cellStyle name="Normal 16 5 2 2 2 3" xfId="9397" xr:uid="{00000000-0005-0000-0000-0000D4240000}"/>
    <cellStyle name="Normal 16 5 2 2 2 4" xfId="9398" xr:uid="{00000000-0005-0000-0000-0000D5240000}"/>
    <cellStyle name="Normal 16 5 2 2 3" xfId="9399" xr:uid="{00000000-0005-0000-0000-0000D6240000}"/>
    <cellStyle name="Normal 16 5 2 2 3 2" xfId="9400" xr:uid="{00000000-0005-0000-0000-0000D7240000}"/>
    <cellStyle name="Normal 16 5 2 2 3 3" xfId="9401" xr:uid="{00000000-0005-0000-0000-0000D8240000}"/>
    <cellStyle name="Normal 16 5 2 2 4" xfId="9402" xr:uid="{00000000-0005-0000-0000-0000D9240000}"/>
    <cellStyle name="Normal 16 5 2 2 5" xfId="9403" xr:uid="{00000000-0005-0000-0000-0000DA240000}"/>
    <cellStyle name="Normal 16 5 2 3" xfId="9404" xr:uid="{00000000-0005-0000-0000-0000DB240000}"/>
    <cellStyle name="Normal 16 5 2 3 2" xfId="9405" xr:uid="{00000000-0005-0000-0000-0000DC240000}"/>
    <cellStyle name="Normal 16 5 2 3 2 2" xfId="9406" xr:uid="{00000000-0005-0000-0000-0000DD240000}"/>
    <cellStyle name="Normal 16 5 2 3 2 3" xfId="9407" xr:uid="{00000000-0005-0000-0000-0000DE240000}"/>
    <cellStyle name="Normal 16 5 2 3 3" xfId="9408" xr:uid="{00000000-0005-0000-0000-0000DF240000}"/>
    <cellStyle name="Normal 16 5 2 3 4" xfId="9409" xr:uid="{00000000-0005-0000-0000-0000E0240000}"/>
    <cellStyle name="Normal 16 5 2 4" xfId="9410" xr:uid="{00000000-0005-0000-0000-0000E1240000}"/>
    <cellStyle name="Normal 16 5 2 4 2" xfId="9411" xr:uid="{00000000-0005-0000-0000-0000E2240000}"/>
    <cellStyle name="Normal 16 5 2 4 3" xfId="9412" xr:uid="{00000000-0005-0000-0000-0000E3240000}"/>
    <cellStyle name="Normal 16 5 2 5" xfId="9413" xr:uid="{00000000-0005-0000-0000-0000E4240000}"/>
    <cellStyle name="Normal 16 5 2 6" xfId="9414" xr:uid="{00000000-0005-0000-0000-0000E5240000}"/>
    <cellStyle name="Normal 16 6" xfId="9415" xr:uid="{00000000-0005-0000-0000-0000E6240000}"/>
    <cellStyle name="Normal 16 6 2" xfId="9416" xr:uid="{00000000-0005-0000-0000-0000E7240000}"/>
    <cellStyle name="Normal 16 6 2 2" xfId="9417" xr:uid="{00000000-0005-0000-0000-0000E8240000}"/>
    <cellStyle name="Normal 16 6 2 2 2" xfId="9418" xr:uid="{00000000-0005-0000-0000-0000E9240000}"/>
    <cellStyle name="Normal 16 6 2 2 2 2" xfId="9419" xr:uid="{00000000-0005-0000-0000-0000EA240000}"/>
    <cellStyle name="Normal 16 6 2 2 2 3" xfId="9420" xr:uid="{00000000-0005-0000-0000-0000EB240000}"/>
    <cellStyle name="Normal 16 6 2 2 3" xfId="9421" xr:uid="{00000000-0005-0000-0000-0000EC240000}"/>
    <cellStyle name="Normal 16 6 2 2 4" xfId="9422" xr:uid="{00000000-0005-0000-0000-0000ED240000}"/>
    <cellStyle name="Normal 16 6 2 3" xfId="9423" xr:uid="{00000000-0005-0000-0000-0000EE240000}"/>
    <cellStyle name="Normal 16 6 2 3 2" xfId="9424" xr:uid="{00000000-0005-0000-0000-0000EF240000}"/>
    <cellStyle name="Normal 16 6 2 3 3" xfId="9425" xr:uid="{00000000-0005-0000-0000-0000F0240000}"/>
    <cellStyle name="Normal 16 6 2 4" xfId="9426" xr:uid="{00000000-0005-0000-0000-0000F1240000}"/>
    <cellStyle name="Normal 16 6 2 5" xfId="9427" xr:uid="{00000000-0005-0000-0000-0000F2240000}"/>
    <cellStyle name="Normal 16 6 3" xfId="9428" xr:uid="{00000000-0005-0000-0000-0000F3240000}"/>
    <cellStyle name="Normal 16 6 3 2" xfId="9429" xr:uid="{00000000-0005-0000-0000-0000F4240000}"/>
    <cellStyle name="Normal 16 6 3 2 2" xfId="9430" xr:uid="{00000000-0005-0000-0000-0000F5240000}"/>
    <cellStyle name="Normal 16 6 3 2 3" xfId="9431" xr:uid="{00000000-0005-0000-0000-0000F6240000}"/>
    <cellStyle name="Normal 16 6 3 3" xfId="9432" xr:uid="{00000000-0005-0000-0000-0000F7240000}"/>
    <cellStyle name="Normal 16 6 3 4" xfId="9433" xr:uid="{00000000-0005-0000-0000-0000F8240000}"/>
    <cellStyle name="Normal 16 6 4" xfId="9434" xr:uid="{00000000-0005-0000-0000-0000F9240000}"/>
    <cellStyle name="Normal 16 6 4 2" xfId="9435" xr:uid="{00000000-0005-0000-0000-0000FA240000}"/>
    <cellStyle name="Normal 16 6 4 3" xfId="9436" xr:uid="{00000000-0005-0000-0000-0000FB240000}"/>
    <cellStyle name="Normal 16 6 5" xfId="9437" xr:uid="{00000000-0005-0000-0000-0000FC240000}"/>
    <cellStyle name="Normal 16 6 6" xfId="9438" xr:uid="{00000000-0005-0000-0000-0000FD240000}"/>
    <cellStyle name="Normal 16 7" xfId="9439" xr:uid="{00000000-0005-0000-0000-0000FE240000}"/>
    <cellStyle name="Normal 17" xfId="9440" xr:uid="{00000000-0005-0000-0000-0000FF240000}"/>
    <cellStyle name="Normal 17 2" xfId="9441" xr:uid="{00000000-0005-0000-0000-000000250000}"/>
    <cellStyle name="Normal 17 2 2" xfId="9442" xr:uid="{00000000-0005-0000-0000-000001250000}"/>
    <cellStyle name="Normal 17 2 2 2" xfId="9443" xr:uid="{00000000-0005-0000-0000-000002250000}"/>
    <cellStyle name="Normal 17 2 2 2 2" xfId="9444" xr:uid="{00000000-0005-0000-0000-000003250000}"/>
    <cellStyle name="Normal 17 2 2 2 2 2" xfId="9445" xr:uid="{00000000-0005-0000-0000-000004250000}"/>
    <cellStyle name="Normal 17 2 2 2 2 2 2" xfId="9446" xr:uid="{00000000-0005-0000-0000-000005250000}"/>
    <cellStyle name="Normal 17 2 2 2 2 2 2 2" xfId="9447" xr:uid="{00000000-0005-0000-0000-000006250000}"/>
    <cellStyle name="Normal 17 2 2 2 2 2 2 3" xfId="9448" xr:uid="{00000000-0005-0000-0000-000007250000}"/>
    <cellStyle name="Normal 17 2 2 2 2 2 3" xfId="9449" xr:uid="{00000000-0005-0000-0000-000008250000}"/>
    <cellStyle name="Normal 17 2 2 2 2 2 4" xfId="9450" xr:uid="{00000000-0005-0000-0000-000009250000}"/>
    <cellStyle name="Normal 17 2 2 2 2 3" xfId="9451" xr:uid="{00000000-0005-0000-0000-00000A250000}"/>
    <cellStyle name="Normal 17 2 2 2 2 3 2" xfId="9452" xr:uid="{00000000-0005-0000-0000-00000B250000}"/>
    <cellStyle name="Normal 17 2 2 2 2 3 3" xfId="9453" xr:uid="{00000000-0005-0000-0000-00000C250000}"/>
    <cellStyle name="Normal 17 2 2 2 2 4" xfId="9454" xr:uid="{00000000-0005-0000-0000-00000D250000}"/>
    <cellStyle name="Normal 17 2 2 2 2 5" xfId="9455" xr:uid="{00000000-0005-0000-0000-00000E250000}"/>
    <cellStyle name="Normal 17 2 2 2 3" xfId="9456" xr:uid="{00000000-0005-0000-0000-00000F250000}"/>
    <cellStyle name="Normal 17 2 2 2 3 2" xfId="9457" xr:uid="{00000000-0005-0000-0000-000010250000}"/>
    <cellStyle name="Normal 17 2 2 2 3 2 2" xfId="9458" xr:uid="{00000000-0005-0000-0000-000011250000}"/>
    <cellStyle name="Normal 17 2 2 2 3 2 3" xfId="9459" xr:uid="{00000000-0005-0000-0000-000012250000}"/>
    <cellStyle name="Normal 17 2 2 2 3 3" xfId="9460" xr:uid="{00000000-0005-0000-0000-000013250000}"/>
    <cellStyle name="Normal 17 2 2 2 3 4" xfId="9461" xr:uid="{00000000-0005-0000-0000-000014250000}"/>
    <cellStyle name="Normal 17 2 2 2 4" xfId="9462" xr:uid="{00000000-0005-0000-0000-000015250000}"/>
    <cellStyle name="Normal 17 2 2 2 4 2" xfId="9463" xr:uid="{00000000-0005-0000-0000-000016250000}"/>
    <cellStyle name="Normal 17 2 2 2 4 3" xfId="9464" xr:uid="{00000000-0005-0000-0000-000017250000}"/>
    <cellStyle name="Normal 17 2 2 2 5" xfId="9465" xr:uid="{00000000-0005-0000-0000-000018250000}"/>
    <cellStyle name="Normal 17 2 2 2 6" xfId="9466" xr:uid="{00000000-0005-0000-0000-000019250000}"/>
    <cellStyle name="Normal 17 2 2 3" xfId="9467" xr:uid="{00000000-0005-0000-0000-00001A250000}"/>
    <cellStyle name="Normal 17 2 2 3 2" xfId="9468" xr:uid="{00000000-0005-0000-0000-00001B250000}"/>
    <cellStyle name="Normal 17 2 2 3 2 2" xfId="9469" xr:uid="{00000000-0005-0000-0000-00001C250000}"/>
    <cellStyle name="Normal 17 2 2 3 2 2 2" xfId="9470" xr:uid="{00000000-0005-0000-0000-00001D250000}"/>
    <cellStyle name="Normal 17 2 2 3 2 2 3" xfId="9471" xr:uid="{00000000-0005-0000-0000-00001E250000}"/>
    <cellStyle name="Normal 17 2 2 3 2 3" xfId="9472" xr:uid="{00000000-0005-0000-0000-00001F250000}"/>
    <cellStyle name="Normal 17 2 2 3 2 4" xfId="9473" xr:uid="{00000000-0005-0000-0000-000020250000}"/>
    <cellStyle name="Normal 17 2 2 3 3" xfId="9474" xr:uid="{00000000-0005-0000-0000-000021250000}"/>
    <cellStyle name="Normal 17 2 2 3 3 2" xfId="9475" xr:uid="{00000000-0005-0000-0000-000022250000}"/>
    <cellStyle name="Normal 17 2 2 3 3 3" xfId="9476" xr:uid="{00000000-0005-0000-0000-000023250000}"/>
    <cellStyle name="Normal 17 2 2 3 4" xfId="9477" xr:uid="{00000000-0005-0000-0000-000024250000}"/>
    <cellStyle name="Normal 17 2 2 3 5" xfId="9478" xr:uid="{00000000-0005-0000-0000-000025250000}"/>
    <cellStyle name="Normal 17 2 2 4" xfId="9479" xr:uid="{00000000-0005-0000-0000-000026250000}"/>
    <cellStyle name="Normal 17 2 2 4 2" xfId="9480" xr:uid="{00000000-0005-0000-0000-000027250000}"/>
    <cellStyle name="Normal 17 2 2 4 2 2" xfId="9481" xr:uid="{00000000-0005-0000-0000-000028250000}"/>
    <cellStyle name="Normal 17 2 2 4 2 3" xfId="9482" xr:uid="{00000000-0005-0000-0000-000029250000}"/>
    <cellStyle name="Normal 17 2 2 4 3" xfId="9483" xr:uid="{00000000-0005-0000-0000-00002A250000}"/>
    <cellStyle name="Normal 17 2 2 4 4" xfId="9484" xr:uid="{00000000-0005-0000-0000-00002B250000}"/>
    <cellStyle name="Normal 17 2 2 5" xfId="9485" xr:uid="{00000000-0005-0000-0000-00002C250000}"/>
    <cellStyle name="Normal 17 2 2 5 2" xfId="9486" xr:uid="{00000000-0005-0000-0000-00002D250000}"/>
    <cellStyle name="Normal 17 2 2 5 3" xfId="9487" xr:uid="{00000000-0005-0000-0000-00002E250000}"/>
    <cellStyle name="Normal 17 2 2 6" xfId="9488" xr:uid="{00000000-0005-0000-0000-00002F250000}"/>
    <cellStyle name="Normal 17 2 2 7" xfId="9489" xr:uid="{00000000-0005-0000-0000-000030250000}"/>
    <cellStyle name="Normal 17 2 3" xfId="9490" xr:uid="{00000000-0005-0000-0000-000031250000}"/>
    <cellStyle name="Normal 17 2 3 2" xfId="9491" xr:uid="{00000000-0005-0000-0000-000032250000}"/>
    <cellStyle name="Normal 17 2 3 2 2" xfId="9492" xr:uid="{00000000-0005-0000-0000-000033250000}"/>
    <cellStyle name="Normal 17 2 3 2 2 2" xfId="9493" xr:uid="{00000000-0005-0000-0000-000034250000}"/>
    <cellStyle name="Normal 17 2 3 2 2 2 2" xfId="9494" xr:uid="{00000000-0005-0000-0000-000035250000}"/>
    <cellStyle name="Normal 17 2 3 2 2 2 2 2" xfId="9495" xr:uid="{00000000-0005-0000-0000-000036250000}"/>
    <cellStyle name="Normal 17 2 3 2 2 2 2 3" xfId="9496" xr:uid="{00000000-0005-0000-0000-000037250000}"/>
    <cellStyle name="Normal 17 2 3 2 2 2 3" xfId="9497" xr:uid="{00000000-0005-0000-0000-000038250000}"/>
    <cellStyle name="Normal 17 2 3 2 2 2 4" xfId="9498" xr:uid="{00000000-0005-0000-0000-000039250000}"/>
    <cellStyle name="Normal 17 2 3 2 2 3" xfId="9499" xr:uid="{00000000-0005-0000-0000-00003A250000}"/>
    <cellStyle name="Normal 17 2 3 2 2 3 2" xfId="9500" xr:uid="{00000000-0005-0000-0000-00003B250000}"/>
    <cellStyle name="Normal 17 2 3 2 2 3 3" xfId="9501" xr:uid="{00000000-0005-0000-0000-00003C250000}"/>
    <cellStyle name="Normal 17 2 3 2 2 4" xfId="9502" xr:uid="{00000000-0005-0000-0000-00003D250000}"/>
    <cellStyle name="Normal 17 2 3 2 2 5" xfId="9503" xr:uid="{00000000-0005-0000-0000-00003E250000}"/>
    <cellStyle name="Normal 17 2 3 2 3" xfId="9504" xr:uid="{00000000-0005-0000-0000-00003F250000}"/>
    <cellStyle name="Normal 17 2 3 2 3 2" xfId="9505" xr:uid="{00000000-0005-0000-0000-000040250000}"/>
    <cellStyle name="Normal 17 2 3 2 3 2 2" xfId="9506" xr:uid="{00000000-0005-0000-0000-000041250000}"/>
    <cellStyle name="Normal 17 2 3 2 3 2 3" xfId="9507" xr:uid="{00000000-0005-0000-0000-000042250000}"/>
    <cellStyle name="Normal 17 2 3 2 3 3" xfId="9508" xr:uid="{00000000-0005-0000-0000-000043250000}"/>
    <cellStyle name="Normal 17 2 3 2 3 4" xfId="9509" xr:uid="{00000000-0005-0000-0000-000044250000}"/>
    <cellStyle name="Normal 17 2 3 2 4" xfId="9510" xr:uid="{00000000-0005-0000-0000-000045250000}"/>
    <cellStyle name="Normal 17 2 3 2 4 2" xfId="9511" xr:uid="{00000000-0005-0000-0000-000046250000}"/>
    <cellStyle name="Normal 17 2 3 2 4 3" xfId="9512" xr:uid="{00000000-0005-0000-0000-000047250000}"/>
    <cellStyle name="Normal 17 2 3 2 5" xfId="9513" xr:uid="{00000000-0005-0000-0000-000048250000}"/>
    <cellStyle name="Normal 17 2 3 2 6" xfId="9514" xr:uid="{00000000-0005-0000-0000-000049250000}"/>
    <cellStyle name="Normal 17 2 3 3" xfId="9515" xr:uid="{00000000-0005-0000-0000-00004A250000}"/>
    <cellStyle name="Normal 17 2 3 3 2" xfId="9516" xr:uid="{00000000-0005-0000-0000-00004B250000}"/>
    <cellStyle name="Normal 17 2 3 3 2 2" xfId="9517" xr:uid="{00000000-0005-0000-0000-00004C250000}"/>
    <cellStyle name="Normal 17 2 3 3 2 2 2" xfId="9518" xr:uid="{00000000-0005-0000-0000-00004D250000}"/>
    <cellStyle name="Normal 17 2 3 3 2 2 3" xfId="9519" xr:uid="{00000000-0005-0000-0000-00004E250000}"/>
    <cellStyle name="Normal 17 2 3 3 2 3" xfId="9520" xr:uid="{00000000-0005-0000-0000-00004F250000}"/>
    <cellStyle name="Normal 17 2 3 3 2 4" xfId="9521" xr:uid="{00000000-0005-0000-0000-000050250000}"/>
    <cellStyle name="Normal 17 2 3 3 3" xfId="9522" xr:uid="{00000000-0005-0000-0000-000051250000}"/>
    <cellStyle name="Normal 17 2 3 3 3 2" xfId="9523" xr:uid="{00000000-0005-0000-0000-000052250000}"/>
    <cellStyle name="Normal 17 2 3 3 3 3" xfId="9524" xr:uid="{00000000-0005-0000-0000-000053250000}"/>
    <cellStyle name="Normal 17 2 3 3 4" xfId="9525" xr:uid="{00000000-0005-0000-0000-000054250000}"/>
    <cellStyle name="Normal 17 2 3 3 5" xfId="9526" xr:uid="{00000000-0005-0000-0000-000055250000}"/>
    <cellStyle name="Normal 17 2 3 4" xfId="9527" xr:uid="{00000000-0005-0000-0000-000056250000}"/>
    <cellStyle name="Normal 17 2 3 4 2" xfId="9528" xr:uid="{00000000-0005-0000-0000-000057250000}"/>
    <cellStyle name="Normal 17 2 3 4 2 2" xfId="9529" xr:uid="{00000000-0005-0000-0000-000058250000}"/>
    <cellStyle name="Normal 17 2 3 4 2 3" xfId="9530" xr:uid="{00000000-0005-0000-0000-000059250000}"/>
    <cellStyle name="Normal 17 2 3 4 3" xfId="9531" xr:uid="{00000000-0005-0000-0000-00005A250000}"/>
    <cellStyle name="Normal 17 2 3 4 4" xfId="9532" xr:uid="{00000000-0005-0000-0000-00005B250000}"/>
    <cellStyle name="Normal 17 2 3 5" xfId="9533" xr:uid="{00000000-0005-0000-0000-00005C250000}"/>
    <cellStyle name="Normal 17 2 3 5 2" xfId="9534" xr:uid="{00000000-0005-0000-0000-00005D250000}"/>
    <cellStyle name="Normal 17 2 3 5 3" xfId="9535" xr:uid="{00000000-0005-0000-0000-00005E250000}"/>
    <cellStyle name="Normal 17 2 3 6" xfId="9536" xr:uid="{00000000-0005-0000-0000-00005F250000}"/>
    <cellStyle name="Normal 17 2 3 7" xfId="9537" xr:uid="{00000000-0005-0000-0000-000060250000}"/>
    <cellStyle name="Normal 17 2 4" xfId="9538" xr:uid="{00000000-0005-0000-0000-000061250000}"/>
    <cellStyle name="Normal 17 2 4 2" xfId="9539" xr:uid="{00000000-0005-0000-0000-000062250000}"/>
    <cellStyle name="Normal 17 2 4 2 2" xfId="9540" xr:uid="{00000000-0005-0000-0000-000063250000}"/>
    <cellStyle name="Normal 17 2 4 2 2 2" xfId="9541" xr:uid="{00000000-0005-0000-0000-000064250000}"/>
    <cellStyle name="Normal 17 2 4 2 2 2 2" xfId="9542" xr:uid="{00000000-0005-0000-0000-000065250000}"/>
    <cellStyle name="Normal 17 2 4 2 2 2 3" xfId="9543" xr:uid="{00000000-0005-0000-0000-000066250000}"/>
    <cellStyle name="Normal 17 2 4 2 2 3" xfId="9544" xr:uid="{00000000-0005-0000-0000-000067250000}"/>
    <cellStyle name="Normal 17 2 4 2 2 4" xfId="9545" xr:uid="{00000000-0005-0000-0000-000068250000}"/>
    <cellStyle name="Normal 17 2 4 2 3" xfId="9546" xr:uid="{00000000-0005-0000-0000-000069250000}"/>
    <cellStyle name="Normal 17 2 4 2 3 2" xfId="9547" xr:uid="{00000000-0005-0000-0000-00006A250000}"/>
    <cellStyle name="Normal 17 2 4 2 3 3" xfId="9548" xr:uid="{00000000-0005-0000-0000-00006B250000}"/>
    <cellStyle name="Normal 17 2 4 2 4" xfId="9549" xr:uid="{00000000-0005-0000-0000-00006C250000}"/>
    <cellStyle name="Normal 17 2 4 2 5" xfId="9550" xr:uid="{00000000-0005-0000-0000-00006D250000}"/>
    <cellStyle name="Normal 17 2 4 3" xfId="9551" xr:uid="{00000000-0005-0000-0000-00006E250000}"/>
    <cellStyle name="Normal 17 2 4 3 2" xfId="9552" xr:uid="{00000000-0005-0000-0000-00006F250000}"/>
    <cellStyle name="Normal 17 2 4 3 2 2" xfId="9553" xr:uid="{00000000-0005-0000-0000-000070250000}"/>
    <cellStyle name="Normal 17 2 4 3 2 3" xfId="9554" xr:uid="{00000000-0005-0000-0000-000071250000}"/>
    <cellStyle name="Normal 17 2 4 3 3" xfId="9555" xr:uid="{00000000-0005-0000-0000-000072250000}"/>
    <cellStyle name="Normal 17 2 4 3 4" xfId="9556" xr:uid="{00000000-0005-0000-0000-000073250000}"/>
    <cellStyle name="Normal 17 2 4 4" xfId="9557" xr:uid="{00000000-0005-0000-0000-000074250000}"/>
    <cellStyle name="Normal 17 2 4 4 2" xfId="9558" xr:uid="{00000000-0005-0000-0000-000075250000}"/>
    <cellStyle name="Normal 17 2 4 4 3" xfId="9559" xr:uid="{00000000-0005-0000-0000-000076250000}"/>
    <cellStyle name="Normal 17 2 4 5" xfId="9560" xr:uid="{00000000-0005-0000-0000-000077250000}"/>
    <cellStyle name="Normal 17 2 4 6" xfId="9561" xr:uid="{00000000-0005-0000-0000-000078250000}"/>
    <cellStyle name="Normal 17 2 5" xfId="9562" xr:uid="{00000000-0005-0000-0000-000079250000}"/>
    <cellStyle name="Normal 17 2 5 2" xfId="9563" xr:uid="{00000000-0005-0000-0000-00007A250000}"/>
    <cellStyle name="Normal 17 2 5 2 2" xfId="9564" xr:uid="{00000000-0005-0000-0000-00007B250000}"/>
    <cellStyle name="Normal 17 2 5 2 2 2" xfId="9565" xr:uid="{00000000-0005-0000-0000-00007C250000}"/>
    <cellStyle name="Normal 17 2 5 2 2 3" xfId="9566" xr:uid="{00000000-0005-0000-0000-00007D250000}"/>
    <cellStyle name="Normal 17 2 5 2 3" xfId="9567" xr:uid="{00000000-0005-0000-0000-00007E250000}"/>
    <cellStyle name="Normal 17 2 5 2 4" xfId="9568" xr:uid="{00000000-0005-0000-0000-00007F250000}"/>
    <cellStyle name="Normal 17 2 5 3" xfId="9569" xr:uid="{00000000-0005-0000-0000-000080250000}"/>
    <cellStyle name="Normal 17 2 5 3 2" xfId="9570" xr:uid="{00000000-0005-0000-0000-000081250000}"/>
    <cellStyle name="Normal 17 2 5 3 3" xfId="9571" xr:uid="{00000000-0005-0000-0000-000082250000}"/>
    <cellStyle name="Normal 17 2 5 4" xfId="9572" xr:uid="{00000000-0005-0000-0000-000083250000}"/>
    <cellStyle name="Normal 17 2 5 5" xfId="9573" xr:uid="{00000000-0005-0000-0000-000084250000}"/>
    <cellStyle name="Normal 17 2 6" xfId="9574" xr:uid="{00000000-0005-0000-0000-000085250000}"/>
    <cellStyle name="Normal 17 2 6 2" xfId="9575" xr:uid="{00000000-0005-0000-0000-000086250000}"/>
    <cellStyle name="Normal 17 2 6 2 2" xfId="9576" xr:uid="{00000000-0005-0000-0000-000087250000}"/>
    <cellStyle name="Normal 17 2 6 2 3" xfId="9577" xr:uid="{00000000-0005-0000-0000-000088250000}"/>
    <cellStyle name="Normal 17 2 6 3" xfId="9578" xr:uid="{00000000-0005-0000-0000-000089250000}"/>
    <cellStyle name="Normal 17 2 6 4" xfId="9579" xr:uid="{00000000-0005-0000-0000-00008A250000}"/>
    <cellStyle name="Normal 17 2 7" xfId="9580" xr:uid="{00000000-0005-0000-0000-00008B250000}"/>
    <cellStyle name="Normal 17 2 7 2" xfId="9581" xr:uid="{00000000-0005-0000-0000-00008C250000}"/>
    <cellStyle name="Normal 17 2 7 3" xfId="9582" xr:uid="{00000000-0005-0000-0000-00008D250000}"/>
    <cellStyle name="Normal 17 2 8" xfId="9583" xr:uid="{00000000-0005-0000-0000-00008E250000}"/>
    <cellStyle name="Normal 17 2 9" xfId="9584" xr:uid="{00000000-0005-0000-0000-00008F250000}"/>
    <cellStyle name="Normal 17 3" xfId="9585" xr:uid="{00000000-0005-0000-0000-000090250000}"/>
    <cellStyle name="Normal 17 3 2" xfId="9586" xr:uid="{00000000-0005-0000-0000-000091250000}"/>
    <cellStyle name="Normal 17 3 2 2" xfId="9587" xr:uid="{00000000-0005-0000-0000-000092250000}"/>
    <cellStyle name="Normal 17 3 2 2 2" xfId="9588" xr:uid="{00000000-0005-0000-0000-000093250000}"/>
    <cellStyle name="Normal 17 3 2 2 2 2" xfId="9589" xr:uid="{00000000-0005-0000-0000-000094250000}"/>
    <cellStyle name="Normal 17 3 2 2 2 2 2" xfId="9590" xr:uid="{00000000-0005-0000-0000-000095250000}"/>
    <cellStyle name="Normal 17 3 2 2 2 2 3" xfId="9591" xr:uid="{00000000-0005-0000-0000-000096250000}"/>
    <cellStyle name="Normal 17 3 2 2 2 3" xfId="9592" xr:uid="{00000000-0005-0000-0000-000097250000}"/>
    <cellStyle name="Normal 17 3 2 2 2 4" xfId="9593" xr:uid="{00000000-0005-0000-0000-000098250000}"/>
    <cellStyle name="Normal 17 3 2 2 3" xfId="9594" xr:uid="{00000000-0005-0000-0000-000099250000}"/>
    <cellStyle name="Normal 17 3 2 2 3 2" xfId="9595" xr:uid="{00000000-0005-0000-0000-00009A250000}"/>
    <cellStyle name="Normal 17 3 2 2 3 3" xfId="9596" xr:uid="{00000000-0005-0000-0000-00009B250000}"/>
    <cellStyle name="Normal 17 3 2 2 4" xfId="9597" xr:uid="{00000000-0005-0000-0000-00009C250000}"/>
    <cellStyle name="Normal 17 3 2 2 5" xfId="9598" xr:uid="{00000000-0005-0000-0000-00009D250000}"/>
    <cellStyle name="Normal 17 3 2 3" xfId="9599" xr:uid="{00000000-0005-0000-0000-00009E250000}"/>
    <cellStyle name="Normal 17 3 2 3 2" xfId="9600" xr:uid="{00000000-0005-0000-0000-00009F250000}"/>
    <cellStyle name="Normal 17 3 2 3 2 2" xfId="9601" xr:uid="{00000000-0005-0000-0000-0000A0250000}"/>
    <cellStyle name="Normal 17 3 2 3 2 3" xfId="9602" xr:uid="{00000000-0005-0000-0000-0000A1250000}"/>
    <cellStyle name="Normal 17 3 2 3 3" xfId="9603" xr:uid="{00000000-0005-0000-0000-0000A2250000}"/>
    <cellStyle name="Normal 17 3 2 3 4" xfId="9604" xr:uid="{00000000-0005-0000-0000-0000A3250000}"/>
    <cellStyle name="Normal 17 3 2 4" xfId="9605" xr:uid="{00000000-0005-0000-0000-0000A4250000}"/>
    <cellStyle name="Normal 17 3 2 4 2" xfId="9606" xr:uid="{00000000-0005-0000-0000-0000A5250000}"/>
    <cellStyle name="Normal 17 3 2 4 3" xfId="9607" xr:uid="{00000000-0005-0000-0000-0000A6250000}"/>
    <cellStyle name="Normal 17 3 2 5" xfId="9608" xr:uid="{00000000-0005-0000-0000-0000A7250000}"/>
    <cellStyle name="Normal 17 3 2 6" xfId="9609" xr:uid="{00000000-0005-0000-0000-0000A8250000}"/>
    <cellStyle name="Normal 17 3 3" xfId="9610" xr:uid="{00000000-0005-0000-0000-0000A9250000}"/>
    <cellStyle name="Normal 17 3 3 2" xfId="9611" xr:uid="{00000000-0005-0000-0000-0000AA250000}"/>
    <cellStyle name="Normal 17 3 3 2 2" xfId="9612" xr:uid="{00000000-0005-0000-0000-0000AB250000}"/>
    <cellStyle name="Normal 17 3 3 2 2 2" xfId="9613" xr:uid="{00000000-0005-0000-0000-0000AC250000}"/>
    <cellStyle name="Normal 17 3 3 2 2 3" xfId="9614" xr:uid="{00000000-0005-0000-0000-0000AD250000}"/>
    <cellStyle name="Normal 17 3 3 2 3" xfId="9615" xr:uid="{00000000-0005-0000-0000-0000AE250000}"/>
    <cellStyle name="Normal 17 3 3 2 4" xfId="9616" xr:uid="{00000000-0005-0000-0000-0000AF250000}"/>
    <cellStyle name="Normal 17 3 3 3" xfId="9617" xr:uid="{00000000-0005-0000-0000-0000B0250000}"/>
    <cellStyle name="Normal 17 3 3 3 2" xfId="9618" xr:uid="{00000000-0005-0000-0000-0000B1250000}"/>
    <cellStyle name="Normal 17 3 3 3 3" xfId="9619" xr:uid="{00000000-0005-0000-0000-0000B2250000}"/>
    <cellStyle name="Normal 17 3 3 4" xfId="9620" xr:uid="{00000000-0005-0000-0000-0000B3250000}"/>
    <cellStyle name="Normal 17 3 3 5" xfId="9621" xr:uid="{00000000-0005-0000-0000-0000B4250000}"/>
    <cellStyle name="Normal 17 3 4" xfId="9622" xr:uid="{00000000-0005-0000-0000-0000B5250000}"/>
    <cellStyle name="Normal 17 3 4 2" xfId="9623" xr:uid="{00000000-0005-0000-0000-0000B6250000}"/>
    <cellStyle name="Normal 17 3 4 2 2" xfId="9624" xr:uid="{00000000-0005-0000-0000-0000B7250000}"/>
    <cellStyle name="Normal 17 3 4 2 3" xfId="9625" xr:uid="{00000000-0005-0000-0000-0000B8250000}"/>
    <cellStyle name="Normal 17 3 4 3" xfId="9626" xr:uid="{00000000-0005-0000-0000-0000B9250000}"/>
    <cellStyle name="Normal 17 3 4 4" xfId="9627" xr:uid="{00000000-0005-0000-0000-0000BA250000}"/>
    <cellStyle name="Normal 17 3 5" xfId="9628" xr:uid="{00000000-0005-0000-0000-0000BB250000}"/>
    <cellStyle name="Normal 17 3 5 2" xfId="9629" xr:uid="{00000000-0005-0000-0000-0000BC250000}"/>
    <cellStyle name="Normal 17 3 5 3" xfId="9630" xr:uid="{00000000-0005-0000-0000-0000BD250000}"/>
    <cellStyle name="Normal 17 3 6" xfId="9631" xr:uid="{00000000-0005-0000-0000-0000BE250000}"/>
    <cellStyle name="Normal 17 3 7" xfId="9632" xr:uid="{00000000-0005-0000-0000-0000BF250000}"/>
    <cellStyle name="Normal 17 4" xfId="9633" xr:uid="{00000000-0005-0000-0000-0000C0250000}"/>
    <cellStyle name="Normal 17 4 2" xfId="9634" xr:uid="{00000000-0005-0000-0000-0000C1250000}"/>
    <cellStyle name="Normal 17 4 2 2" xfId="9635" xr:uid="{00000000-0005-0000-0000-0000C2250000}"/>
    <cellStyle name="Normal 17 4 2 2 2" xfId="9636" xr:uid="{00000000-0005-0000-0000-0000C3250000}"/>
    <cellStyle name="Normal 17 4 2 2 2 2" xfId="9637" xr:uid="{00000000-0005-0000-0000-0000C4250000}"/>
    <cellStyle name="Normal 17 4 2 2 2 2 2" xfId="9638" xr:uid="{00000000-0005-0000-0000-0000C5250000}"/>
    <cellStyle name="Normal 17 4 2 2 2 2 3" xfId="9639" xr:uid="{00000000-0005-0000-0000-0000C6250000}"/>
    <cellStyle name="Normal 17 4 2 2 2 3" xfId="9640" xr:uid="{00000000-0005-0000-0000-0000C7250000}"/>
    <cellStyle name="Normal 17 4 2 2 2 4" xfId="9641" xr:uid="{00000000-0005-0000-0000-0000C8250000}"/>
    <cellStyle name="Normal 17 4 2 2 3" xfId="9642" xr:uid="{00000000-0005-0000-0000-0000C9250000}"/>
    <cellStyle name="Normal 17 4 2 2 3 2" xfId="9643" xr:uid="{00000000-0005-0000-0000-0000CA250000}"/>
    <cellStyle name="Normal 17 4 2 2 3 3" xfId="9644" xr:uid="{00000000-0005-0000-0000-0000CB250000}"/>
    <cellStyle name="Normal 17 4 2 2 4" xfId="9645" xr:uid="{00000000-0005-0000-0000-0000CC250000}"/>
    <cellStyle name="Normal 17 4 2 2 5" xfId="9646" xr:uid="{00000000-0005-0000-0000-0000CD250000}"/>
    <cellStyle name="Normal 17 4 2 3" xfId="9647" xr:uid="{00000000-0005-0000-0000-0000CE250000}"/>
    <cellStyle name="Normal 17 4 2 3 2" xfId="9648" xr:uid="{00000000-0005-0000-0000-0000CF250000}"/>
    <cellStyle name="Normal 17 4 2 3 2 2" xfId="9649" xr:uid="{00000000-0005-0000-0000-0000D0250000}"/>
    <cellStyle name="Normal 17 4 2 3 2 3" xfId="9650" xr:uid="{00000000-0005-0000-0000-0000D1250000}"/>
    <cellStyle name="Normal 17 4 2 3 3" xfId="9651" xr:uid="{00000000-0005-0000-0000-0000D2250000}"/>
    <cellStyle name="Normal 17 4 2 3 4" xfId="9652" xr:uid="{00000000-0005-0000-0000-0000D3250000}"/>
    <cellStyle name="Normal 17 4 2 4" xfId="9653" xr:uid="{00000000-0005-0000-0000-0000D4250000}"/>
    <cellStyle name="Normal 17 4 2 4 2" xfId="9654" xr:uid="{00000000-0005-0000-0000-0000D5250000}"/>
    <cellStyle name="Normal 17 4 2 4 3" xfId="9655" xr:uid="{00000000-0005-0000-0000-0000D6250000}"/>
    <cellStyle name="Normal 17 4 2 5" xfId="9656" xr:uid="{00000000-0005-0000-0000-0000D7250000}"/>
    <cellStyle name="Normal 17 4 2 6" xfId="9657" xr:uid="{00000000-0005-0000-0000-0000D8250000}"/>
    <cellStyle name="Normal 17 4 3" xfId="9658" xr:uid="{00000000-0005-0000-0000-0000D9250000}"/>
    <cellStyle name="Normal 17 4 3 2" xfId="9659" xr:uid="{00000000-0005-0000-0000-0000DA250000}"/>
    <cellStyle name="Normal 17 4 3 2 2" xfId="9660" xr:uid="{00000000-0005-0000-0000-0000DB250000}"/>
    <cellStyle name="Normal 17 4 3 2 2 2" xfId="9661" xr:uid="{00000000-0005-0000-0000-0000DC250000}"/>
    <cellStyle name="Normal 17 4 3 2 2 3" xfId="9662" xr:uid="{00000000-0005-0000-0000-0000DD250000}"/>
    <cellStyle name="Normal 17 4 3 2 3" xfId="9663" xr:uid="{00000000-0005-0000-0000-0000DE250000}"/>
    <cellStyle name="Normal 17 4 3 2 4" xfId="9664" xr:uid="{00000000-0005-0000-0000-0000DF250000}"/>
    <cellStyle name="Normal 17 4 3 3" xfId="9665" xr:uid="{00000000-0005-0000-0000-0000E0250000}"/>
    <cellStyle name="Normal 17 4 3 3 2" xfId="9666" xr:uid="{00000000-0005-0000-0000-0000E1250000}"/>
    <cellStyle name="Normal 17 4 3 3 3" xfId="9667" xr:uid="{00000000-0005-0000-0000-0000E2250000}"/>
    <cellStyle name="Normal 17 4 3 4" xfId="9668" xr:uid="{00000000-0005-0000-0000-0000E3250000}"/>
    <cellStyle name="Normal 17 4 3 5" xfId="9669" xr:uid="{00000000-0005-0000-0000-0000E4250000}"/>
    <cellStyle name="Normal 17 4 4" xfId="9670" xr:uid="{00000000-0005-0000-0000-0000E5250000}"/>
    <cellStyle name="Normal 17 4 4 2" xfId="9671" xr:uid="{00000000-0005-0000-0000-0000E6250000}"/>
    <cellStyle name="Normal 17 4 4 2 2" xfId="9672" xr:uid="{00000000-0005-0000-0000-0000E7250000}"/>
    <cellStyle name="Normal 17 4 4 2 3" xfId="9673" xr:uid="{00000000-0005-0000-0000-0000E8250000}"/>
    <cellStyle name="Normal 17 4 4 3" xfId="9674" xr:uid="{00000000-0005-0000-0000-0000E9250000}"/>
    <cellStyle name="Normal 17 4 4 4" xfId="9675" xr:uid="{00000000-0005-0000-0000-0000EA250000}"/>
    <cellStyle name="Normal 17 4 5" xfId="9676" xr:uid="{00000000-0005-0000-0000-0000EB250000}"/>
    <cellStyle name="Normal 17 4 5 2" xfId="9677" xr:uid="{00000000-0005-0000-0000-0000EC250000}"/>
    <cellStyle name="Normal 17 4 5 3" xfId="9678" xr:uid="{00000000-0005-0000-0000-0000ED250000}"/>
    <cellStyle name="Normal 17 4 6" xfId="9679" xr:uid="{00000000-0005-0000-0000-0000EE250000}"/>
    <cellStyle name="Normal 17 4 7" xfId="9680" xr:uid="{00000000-0005-0000-0000-0000EF250000}"/>
    <cellStyle name="Normal 17 5" xfId="9681" xr:uid="{00000000-0005-0000-0000-0000F0250000}"/>
    <cellStyle name="Normal 17 5 2" xfId="9682" xr:uid="{00000000-0005-0000-0000-0000F1250000}"/>
    <cellStyle name="Normal 17 5 2 2" xfId="9683" xr:uid="{00000000-0005-0000-0000-0000F2250000}"/>
    <cellStyle name="Normal 17 5 2 2 2" xfId="9684" xr:uid="{00000000-0005-0000-0000-0000F3250000}"/>
    <cellStyle name="Normal 17 5 2 2 2 2" xfId="9685" xr:uid="{00000000-0005-0000-0000-0000F4250000}"/>
    <cellStyle name="Normal 17 5 2 2 2 2 2" xfId="9686" xr:uid="{00000000-0005-0000-0000-0000F5250000}"/>
    <cellStyle name="Normal 17 5 2 2 2 2 3" xfId="9687" xr:uid="{00000000-0005-0000-0000-0000F6250000}"/>
    <cellStyle name="Normal 17 5 2 2 2 3" xfId="9688" xr:uid="{00000000-0005-0000-0000-0000F7250000}"/>
    <cellStyle name="Normal 17 5 2 2 2 4" xfId="9689" xr:uid="{00000000-0005-0000-0000-0000F8250000}"/>
    <cellStyle name="Normal 17 5 2 2 3" xfId="9690" xr:uid="{00000000-0005-0000-0000-0000F9250000}"/>
    <cellStyle name="Normal 17 5 2 2 3 2" xfId="9691" xr:uid="{00000000-0005-0000-0000-0000FA250000}"/>
    <cellStyle name="Normal 17 5 2 2 3 3" xfId="9692" xr:uid="{00000000-0005-0000-0000-0000FB250000}"/>
    <cellStyle name="Normal 17 5 2 2 4" xfId="9693" xr:uid="{00000000-0005-0000-0000-0000FC250000}"/>
    <cellStyle name="Normal 17 5 2 2 5" xfId="9694" xr:uid="{00000000-0005-0000-0000-0000FD250000}"/>
    <cellStyle name="Normal 17 5 2 3" xfId="9695" xr:uid="{00000000-0005-0000-0000-0000FE250000}"/>
    <cellStyle name="Normal 17 5 2 3 2" xfId="9696" xr:uid="{00000000-0005-0000-0000-0000FF250000}"/>
    <cellStyle name="Normal 17 5 2 3 2 2" xfId="9697" xr:uid="{00000000-0005-0000-0000-000000260000}"/>
    <cellStyle name="Normal 17 5 2 3 2 3" xfId="9698" xr:uid="{00000000-0005-0000-0000-000001260000}"/>
    <cellStyle name="Normal 17 5 2 3 3" xfId="9699" xr:uid="{00000000-0005-0000-0000-000002260000}"/>
    <cellStyle name="Normal 17 5 2 3 4" xfId="9700" xr:uid="{00000000-0005-0000-0000-000003260000}"/>
    <cellStyle name="Normal 17 5 2 4" xfId="9701" xr:uid="{00000000-0005-0000-0000-000004260000}"/>
    <cellStyle name="Normal 17 5 2 4 2" xfId="9702" xr:uid="{00000000-0005-0000-0000-000005260000}"/>
    <cellStyle name="Normal 17 5 2 4 3" xfId="9703" xr:uid="{00000000-0005-0000-0000-000006260000}"/>
    <cellStyle name="Normal 17 5 2 5" xfId="9704" xr:uid="{00000000-0005-0000-0000-000007260000}"/>
    <cellStyle name="Normal 17 5 2 6" xfId="9705" xr:uid="{00000000-0005-0000-0000-000008260000}"/>
    <cellStyle name="Normal 17 6" xfId="9706" xr:uid="{00000000-0005-0000-0000-000009260000}"/>
    <cellStyle name="Normal 17 6 2" xfId="9707" xr:uid="{00000000-0005-0000-0000-00000A260000}"/>
    <cellStyle name="Normal 17 6 2 2" xfId="9708" xr:uid="{00000000-0005-0000-0000-00000B260000}"/>
    <cellStyle name="Normal 17 6 2 2 2" xfId="9709" xr:uid="{00000000-0005-0000-0000-00000C260000}"/>
    <cellStyle name="Normal 17 6 2 2 2 2" xfId="9710" xr:uid="{00000000-0005-0000-0000-00000D260000}"/>
    <cellStyle name="Normal 17 6 2 2 2 3" xfId="9711" xr:uid="{00000000-0005-0000-0000-00000E260000}"/>
    <cellStyle name="Normal 17 6 2 2 3" xfId="9712" xr:uid="{00000000-0005-0000-0000-00000F260000}"/>
    <cellStyle name="Normal 17 6 2 2 4" xfId="9713" xr:uid="{00000000-0005-0000-0000-000010260000}"/>
    <cellStyle name="Normal 17 6 2 3" xfId="9714" xr:uid="{00000000-0005-0000-0000-000011260000}"/>
    <cellStyle name="Normal 17 6 2 3 2" xfId="9715" xr:uid="{00000000-0005-0000-0000-000012260000}"/>
    <cellStyle name="Normal 17 6 2 3 3" xfId="9716" xr:uid="{00000000-0005-0000-0000-000013260000}"/>
    <cellStyle name="Normal 17 6 2 4" xfId="9717" xr:uid="{00000000-0005-0000-0000-000014260000}"/>
    <cellStyle name="Normal 17 6 2 5" xfId="9718" xr:uid="{00000000-0005-0000-0000-000015260000}"/>
    <cellStyle name="Normal 17 6 3" xfId="9719" xr:uid="{00000000-0005-0000-0000-000016260000}"/>
    <cellStyle name="Normal 17 6 3 2" xfId="9720" xr:uid="{00000000-0005-0000-0000-000017260000}"/>
    <cellStyle name="Normal 17 6 3 2 2" xfId="9721" xr:uid="{00000000-0005-0000-0000-000018260000}"/>
    <cellStyle name="Normal 17 6 3 2 3" xfId="9722" xr:uid="{00000000-0005-0000-0000-000019260000}"/>
    <cellStyle name="Normal 17 6 3 3" xfId="9723" xr:uid="{00000000-0005-0000-0000-00001A260000}"/>
    <cellStyle name="Normal 17 6 3 4" xfId="9724" xr:uid="{00000000-0005-0000-0000-00001B260000}"/>
    <cellStyle name="Normal 17 6 4" xfId="9725" xr:uid="{00000000-0005-0000-0000-00001C260000}"/>
    <cellStyle name="Normal 17 6 4 2" xfId="9726" xr:uid="{00000000-0005-0000-0000-00001D260000}"/>
    <cellStyle name="Normal 17 6 4 3" xfId="9727" xr:uid="{00000000-0005-0000-0000-00001E260000}"/>
    <cellStyle name="Normal 17 6 5" xfId="9728" xr:uid="{00000000-0005-0000-0000-00001F260000}"/>
    <cellStyle name="Normal 17 6 6" xfId="9729" xr:uid="{00000000-0005-0000-0000-000020260000}"/>
    <cellStyle name="Normal 18" xfId="9730" xr:uid="{00000000-0005-0000-0000-000021260000}"/>
    <cellStyle name="Normal 18 2" xfId="9731" xr:uid="{00000000-0005-0000-0000-000022260000}"/>
    <cellStyle name="Normal 19" xfId="9732" xr:uid="{00000000-0005-0000-0000-000023260000}"/>
    <cellStyle name="Normal 19 2" xfId="9733" xr:uid="{00000000-0005-0000-0000-000024260000}"/>
    <cellStyle name="Normal 19 2 2" xfId="9734" xr:uid="{00000000-0005-0000-0000-000025260000}"/>
    <cellStyle name="Normal 19 2 2 2" xfId="9735" xr:uid="{00000000-0005-0000-0000-000026260000}"/>
    <cellStyle name="Normal 19 2 3" xfId="9736" xr:uid="{00000000-0005-0000-0000-000027260000}"/>
    <cellStyle name="Normal 19 3" xfId="9737" xr:uid="{00000000-0005-0000-0000-000028260000}"/>
    <cellStyle name="Normal 2" xfId="12" xr:uid="{00000000-0005-0000-0000-000029260000}"/>
    <cellStyle name="Normal 2 10" xfId="9738" xr:uid="{00000000-0005-0000-0000-00002A260000}"/>
    <cellStyle name="Normal 2 10 2" xfId="9739" xr:uid="{00000000-0005-0000-0000-00002B260000}"/>
    <cellStyle name="Normal 2 10 3" xfId="9740" xr:uid="{00000000-0005-0000-0000-00002C260000}"/>
    <cellStyle name="Normal 2 10 3 2" xfId="9741" xr:uid="{00000000-0005-0000-0000-00002D260000}"/>
    <cellStyle name="Normal 2 10 3 2 2" xfId="9742" xr:uid="{00000000-0005-0000-0000-00002E260000}"/>
    <cellStyle name="Normal 2 10 3 2 2 2" xfId="9743" xr:uid="{00000000-0005-0000-0000-00002F260000}"/>
    <cellStyle name="Normal 2 10 3 2 2 2 2" xfId="9744" xr:uid="{00000000-0005-0000-0000-000030260000}"/>
    <cellStyle name="Normal 2 10 3 2 2 2 3" xfId="9745" xr:uid="{00000000-0005-0000-0000-000031260000}"/>
    <cellStyle name="Normal 2 10 3 2 2 3" xfId="9746" xr:uid="{00000000-0005-0000-0000-000032260000}"/>
    <cellStyle name="Normal 2 10 3 2 2 4" xfId="9747" xr:uid="{00000000-0005-0000-0000-000033260000}"/>
    <cellStyle name="Normal 2 10 3 2 3" xfId="9748" xr:uid="{00000000-0005-0000-0000-000034260000}"/>
    <cellStyle name="Normal 2 10 3 2 3 2" xfId="9749" xr:uid="{00000000-0005-0000-0000-000035260000}"/>
    <cellStyle name="Normal 2 10 3 2 3 3" xfId="9750" xr:uid="{00000000-0005-0000-0000-000036260000}"/>
    <cellStyle name="Normal 2 10 3 2 4" xfId="9751" xr:uid="{00000000-0005-0000-0000-000037260000}"/>
    <cellStyle name="Normal 2 10 3 2 5" xfId="9752" xr:uid="{00000000-0005-0000-0000-000038260000}"/>
    <cellStyle name="Normal 2 10 3 3" xfId="9753" xr:uid="{00000000-0005-0000-0000-000039260000}"/>
    <cellStyle name="Normal 2 10 3 3 2" xfId="9754" xr:uid="{00000000-0005-0000-0000-00003A260000}"/>
    <cellStyle name="Normal 2 10 3 3 2 2" xfId="9755" xr:uid="{00000000-0005-0000-0000-00003B260000}"/>
    <cellStyle name="Normal 2 10 3 3 2 3" xfId="9756" xr:uid="{00000000-0005-0000-0000-00003C260000}"/>
    <cellStyle name="Normal 2 10 3 3 3" xfId="9757" xr:uid="{00000000-0005-0000-0000-00003D260000}"/>
    <cellStyle name="Normal 2 10 3 3 4" xfId="9758" xr:uid="{00000000-0005-0000-0000-00003E260000}"/>
    <cellStyle name="Normal 2 10 3 4" xfId="9759" xr:uid="{00000000-0005-0000-0000-00003F260000}"/>
    <cellStyle name="Normal 2 10 3 4 2" xfId="9760" xr:uid="{00000000-0005-0000-0000-000040260000}"/>
    <cellStyle name="Normal 2 10 3 4 3" xfId="9761" xr:uid="{00000000-0005-0000-0000-000041260000}"/>
    <cellStyle name="Normal 2 10 3 5" xfId="9762" xr:uid="{00000000-0005-0000-0000-000042260000}"/>
    <cellStyle name="Normal 2 10 3 6" xfId="9763" xr:uid="{00000000-0005-0000-0000-000043260000}"/>
    <cellStyle name="Normal 2 11" xfId="9764" xr:uid="{00000000-0005-0000-0000-000044260000}"/>
    <cellStyle name="Normal 2 11 2" xfId="9765" xr:uid="{00000000-0005-0000-0000-000045260000}"/>
    <cellStyle name="Normal 2 11 3" xfId="9766" xr:uid="{00000000-0005-0000-0000-000046260000}"/>
    <cellStyle name="Normal 2 11 3 2" xfId="9767" xr:uid="{00000000-0005-0000-0000-000047260000}"/>
    <cellStyle name="Normal 2 11 3 2 2" xfId="9768" xr:uid="{00000000-0005-0000-0000-000048260000}"/>
    <cellStyle name="Normal 2 11 3 2 2 2" xfId="9769" xr:uid="{00000000-0005-0000-0000-000049260000}"/>
    <cellStyle name="Normal 2 11 3 2 2 2 2" xfId="9770" xr:uid="{00000000-0005-0000-0000-00004A260000}"/>
    <cellStyle name="Normal 2 11 3 2 2 2 3" xfId="9771" xr:uid="{00000000-0005-0000-0000-00004B260000}"/>
    <cellStyle name="Normal 2 11 3 2 2 3" xfId="9772" xr:uid="{00000000-0005-0000-0000-00004C260000}"/>
    <cellStyle name="Normal 2 11 3 2 2 4" xfId="9773" xr:uid="{00000000-0005-0000-0000-00004D260000}"/>
    <cellStyle name="Normal 2 11 3 2 3" xfId="9774" xr:uid="{00000000-0005-0000-0000-00004E260000}"/>
    <cellStyle name="Normal 2 11 3 2 3 2" xfId="9775" xr:uid="{00000000-0005-0000-0000-00004F260000}"/>
    <cellStyle name="Normal 2 11 3 2 3 3" xfId="9776" xr:uid="{00000000-0005-0000-0000-000050260000}"/>
    <cellStyle name="Normal 2 11 3 2 4" xfId="9777" xr:uid="{00000000-0005-0000-0000-000051260000}"/>
    <cellStyle name="Normal 2 11 3 2 5" xfId="9778" xr:uid="{00000000-0005-0000-0000-000052260000}"/>
    <cellStyle name="Normal 2 11 3 3" xfId="9779" xr:uid="{00000000-0005-0000-0000-000053260000}"/>
    <cellStyle name="Normal 2 11 3 3 2" xfId="9780" xr:uid="{00000000-0005-0000-0000-000054260000}"/>
    <cellStyle name="Normal 2 11 3 3 2 2" xfId="9781" xr:uid="{00000000-0005-0000-0000-000055260000}"/>
    <cellStyle name="Normal 2 11 3 3 2 3" xfId="9782" xr:uid="{00000000-0005-0000-0000-000056260000}"/>
    <cellStyle name="Normal 2 11 3 3 3" xfId="9783" xr:uid="{00000000-0005-0000-0000-000057260000}"/>
    <cellStyle name="Normal 2 11 3 3 4" xfId="9784" xr:uid="{00000000-0005-0000-0000-000058260000}"/>
    <cellStyle name="Normal 2 11 3 4" xfId="9785" xr:uid="{00000000-0005-0000-0000-000059260000}"/>
    <cellStyle name="Normal 2 11 3 4 2" xfId="9786" xr:uid="{00000000-0005-0000-0000-00005A260000}"/>
    <cellStyle name="Normal 2 11 3 4 3" xfId="9787" xr:uid="{00000000-0005-0000-0000-00005B260000}"/>
    <cellStyle name="Normal 2 11 3 5" xfId="9788" xr:uid="{00000000-0005-0000-0000-00005C260000}"/>
    <cellStyle name="Normal 2 11 3 6" xfId="9789" xr:uid="{00000000-0005-0000-0000-00005D260000}"/>
    <cellStyle name="Normal 2 12" xfId="9790" xr:uid="{00000000-0005-0000-0000-00005E260000}"/>
    <cellStyle name="Normal 2 12 2" xfId="9791" xr:uid="{00000000-0005-0000-0000-00005F260000}"/>
    <cellStyle name="Normal 2 12 3" xfId="9792" xr:uid="{00000000-0005-0000-0000-000060260000}"/>
    <cellStyle name="Normal 2 12 3 2" xfId="9793" xr:uid="{00000000-0005-0000-0000-000061260000}"/>
    <cellStyle name="Normal 2 12 3 2 2" xfId="9794" xr:uid="{00000000-0005-0000-0000-000062260000}"/>
    <cellStyle name="Normal 2 12 3 2 2 2" xfId="9795" xr:uid="{00000000-0005-0000-0000-000063260000}"/>
    <cellStyle name="Normal 2 12 3 2 2 2 2" xfId="9796" xr:uid="{00000000-0005-0000-0000-000064260000}"/>
    <cellStyle name="Normal 2 12 3 2 2 2 3" xfId="9797" xr:uid="{00000000-0005-0000-0000-000065260000}"/>
    <cellStyle name="Normal 2 12 3 2 2 3" xfId="9798" xr:uid="{00000000-0005-0000-0000-000066260000}"/>
    <cellStyle name="Normal 2 12 3 2 2 4" xfId="9799" xr:uid="{00000000-0005-0000-0000-000067260000}"/>
    <cellStyle name="Normal 2 12 3 2 3" xfId="9800" xr:uid="{00000000-0005-0000-0000-000068260000}"/>
    <cellStyle name="Normal 2 12 3 2 3 2" xfId="9801" xr:uid="{00000000-0005-0000-0000-000069260000}"/>
    <cellStyle name="Normal 2 12 3 2 3 3" xfId="9802" xr:uid="{00000000-0005-0000-0000-00006A260000}"/>
    <cellStyle name="Normal 2 12 3 2 4" xfId="9803" xr:uid="{00000000-0005-0000-0000-00006B260000}"/>
    <cellStyle name="Normal 2 12 3 2 5" xfId="9804" xr:uid="{00000000-0005-0000-0000-00006C260000}"/>
    <cellStyle name="Normal 2 12 3 3" xfId="9805" xr:uid="{00000000-0005-0000-0000-00006D260000}"/>
    <cellStyle name="Normal 2 12 3 3 2" xfId="9806" xr:uid="{00000000-0005-0000-0000-00006E260000}"/>
    <cellStyle name="Normal 2 12 3 3 2 2" xfId="9807" xr:uid="{00000000-0005-0000-0000-00006F260000}"/>
    <cellStyle name="Normal 2 12 3 3 2 3" xfId="9808" xr:uid="{00000000-0005-0000-0000-000070260000}"/>
    <cellStyle name="Normal 2 12 3 3 3" xfId="9809" xr:uid="{00000000-0005-0000-0000-000071260000}"/>
    <cellStyle name="Normal 2 12 3 3 4" xfId="9810" xr:uid="{00000000-0005-0000-0000-000072260000}"/>
    <cellStyle name="Normal 2 12 3 4" xfId="9811" xr:uid="{00000000-0005-0000-0000-000073260000}"/>
    <cellStyle name="Normal 2 12 3 4 2" xfId="9812" xr:uid="{00000000-0005-0000-0000-000074260000}"/>
    <cellStyle name="Normal 2 12 3 4 3" xfId="9813" xr:uid="{00000000-0005-0000-0000-000075260000}"/>
    <cellStyle name="Normal 2 12 3 5" xfId="9814" xr:uid="{00000000-0005-0000-0000-000076260000}"/>
    <cellStyle name="Normal 2 12 3 6" xfId="9815" xr:uid="{00000000-0005-0000-0000-000077260000}"/>
    <cellStyle name="Normal 2 13" xfId="9816" xr:uid="{00000000-0005-0000-0000-000078260000}"/>
    <cellStyle name="Normal 2 13 2" xfId="9817" xr:uid="{00000000-0005-0000-0000-000079260000}"/>
    <cellStyle name="Normal 2 13 3" xfId="9818" xr:uid="{00000000-0005-0000-0000-00007A260000}"/>
    <cellStyle name="Normal 2 13 3 2" xfId="9819" xr:uid="{00000000-0005-0000-0000-00007B260000}"/>
    <cellStyle name="Normal 2 13 3 2 2" xfId="9820" xr:uid="{00000000-0005-0000-0000-00007C260000}"/>
    <cellStyle name="Normal 2 13 3 2 2 2" xfId="9821" xr:uid="{00000000-0005-0000-0000-00007D260000}"/>
    <cellStyle name="Normal 2 13 3 2 2 2 2" xfId="9822" xr:uid="{00000000-0005-0000-0000-00007E260000}"/>
    <cellStyle name="Normal 2 13 3 2 2 2 3" xfId="9823" xr:uid="{00000000-0005-0000-0000-00007F260000}"/>
    <cellStyle name="Normal 2 13 3 2 2 3" xfId="9824" xr:uid="{00000000-0005-0000-0000-000080260000}"/>
    <cellStyle name="Normal 2 13 3 2 2 4" xfId="9825" xr:uid="{00000000-0005-0000-0000-000081260000}"/>
    <cellStyle name="Normal 2 13 3 2 3" xfId="9826" xr:uid="{00000000-0005-0000-0000-000082260000}"/>
    <cellStyle name="Normal 2 13 3 2 3 2" xfId="9827" xr:uid="{00000000-0005-0000-0000-000083260000}"/>
    <cellStyle name="Normal 2 13 3 2 3 3" xfId="9828" xr:uid="{00000000-0005-0000-0000-000084260000}"/>
    <cellStyle name="Normal 2 13 3 2 4" xfId="9829" xr:uid="{00000000-0005-0000-0000-000085260000}"/>
    <cellStyle name="Normal 2 13 3 2 5" xfId="9830" xr:uid="{00000000-0005-0000-0000-000086260000}"/>
    <cellStyle name="Normal 2 13 3 3" xfId="9831" xr:uid="{00000000-0005-0000-0000-000087260000}"/>
    <cellStyle name="Normal 2 13 3 3 2" xfId="9832" xr:uid="{00000000-0005-0000-0000-000088260000}"/>
    <cellStyle name="Normal 2 13 3 3 2 2" xfId="9833" xr:uid="{00000000-0005-0000-0000-000089260000}"/>
    <cellStyle name="Normal 2 13 3 3 2 3" xfId="9834" xr:uid="{00000000-0005-0000-0000-00008A260000}"/>
    <cellStyle name="Normal 2 13 3 3 3" xfId="9835" xr:uid="{00000000-0005-0000-0000-00008B260000}"/>
    <cellStyle name="Normal 2 13 3 3 4" xfId="9836" xr:uid="{00000000-0005-0000-0000-00008C260000}"/>
    <cellStyle name="Normal 2 13 3 4" xfId="9837" xr:uid="{00000000-0005-0000-0000-00008D260000}"/>
    <cellStyle name="Normal 2 13 3 4 2" xfId="9838" xr:uid="{00000000-0005-0000-0000-00008E260000}"/>
    <cellStyle name="Normal 2 13 3 4 3" xfId="9839" xr:uid="{00000000-0005-0000-0000-00008F260000}"/>
    <cellStyle name="Normal 2 13 3 5" xfId="9840" xr:uid="{00000000-0005-0000-0000-000090260000}"/>
    <cellStyle name="Normal 2 13 3 6" xfId="9841" xr:uid="{00000000-0005-0000-0000-000091260000}"/>
    <cellStyle name="Normal 2 14" xfId="9842" xr:uid="{00000000-0005-0000-0000-000092260000}"/>
    <cellStyle name="Normal 2 14 2" xfId="9843" xr:uid="{00000000-0005-0000-0000-000093260000}"/>
    <cellStyle name="Normal 2 14 3" xfId="9844" xr:uid="{00000000-0005-0000-0000-000094260000}"/>
    <cellStyle name="Normal 2 14 3 2" xfId="9845" xr:uid="{00000000-0005-0000-0000-000095260000}"/>
    <cellStyle name="Normal 2 14 3 2 2" xfId="9846" xr:uid="{00000000-0005-0000-0000-000096260000}"/>
    <cellStyle name="Normal 2 14 3 2 2 2" xfId="9847" xr:uid="{00000000-0005-0000-0000-000097260000}"/>
    <cellStyle name="Normal 2 14 3 2 2 2 2" xfId="9848" xr:uid="{00000000-0005-0000-0000-000098260000}"/>
    <cellStyle name="Normal 2 14 3 2 2 2 3" xfId="9849" xr:uid="{00000000-0005-0000-0000-000099260000}"/>
    <cellStyle name="Normal 2 14 3 2 2 3" xfId="9850" xr:uid="{00000000-0005-0000-0000-00009A260000}"/>
    <cellStyle name="Normal 2 14 3 2 2 4" xfId="9851" xr:uid="{00000000-0005-0000-0000-00009B260000}"/>
    <cellStyle name="Normal 2 14 3 2 3" xfId="9852" xr:uid="{00000000-0005-0000-0000-00009C260000}"/>
    <cellStyle name="Normal 2 14 3 2 3 2" xfId="9853" xr:uid="{00000000-0005-0000-0000-00009D260000}"/>
    <cellStyle name="Normal 2 14 3 2 3 3" xfId="9854" xr:uid="{00000000-0005-0000-0000-00009E260000}"/>
    <cellStyle name="Normal 2 14 3 2 4" xfId="9855" xr:uid="{00000000-0005-0000-0000-00009F260000}"/>
    <cellStyle name="Normal 2 14 3 2 5" xfId="9856" xr:uid="{00000000-0005-0000-0000-0000A0260000}"/>
    <cellStyle name="Normal 2 14 3 3" xfId="9857" xr:uid="{00000000-0005-0000-0000-0000A1260000}"/>
    <cellStyle name="Normal 2 14 3 3 2" xfId="9858" xr:uid="{00000000-0005-0000-0000-0000A2260000}"/>
    <cellStyle name="Normal 2 14 3 3 2 2" xfId="9859" xr:uid="{00000000-0005-0000-0000-0000A3260000}"/>
    <cellStyle name="Normal 2 14 3 3 2 3" xfId="9860" xr:uid="{00000000-0005-0000-0000-0000A4260000}"/>
    <cellStyle name="Normal 2 14 3 3 3" xfId="9861" xr:uid="{00000000-0005-0000-0000-0000A5260000}"/>
    <cellStyle name="Normal 2 14 3 3 4" xfId="9862" xr:uid="{00000000-0005-0000-0000-0000A6260000}"/>
    <cellStyle name="Normal 2 14 3 4" xfId="9863" xr:uid="{00000000-0005-0000-0000-0000A7260000}"/>
    <cellStyle name="Normal 2 14 3 4 2" xfId="9864" xr:uid="{00000000-0005-0000-0000-0000A8260000}"/>
    <cellStyle name="Normal 2 14 3 4 3" xfId="9865" xr:uid="{00000000-0005-0000-0000-0000A9260000}"/>
    <cellStyle name="Normal 2 14 3 5" xfId="9866" xr:uid="{00000000-0005-0000-0000-0000AA260000}"/>
    <cellStyle name="Normal 2 14 3 6" xfId="9867" xr:uid="{00000000-0005-0000-0000-0000AB260000}"/>
    <cellStyle name="Normal 2 15" xfId="9868" xr:uid="{00000000-0005-0000-0000-0000AC260000}"/>
    <cellStyle name="Normal 2 15 2" xfId="9869" xr:uid="{00000000-0005-0000-0000-0000AD260000}"/>
    <cellStyle name="Normal 2 15 3" xfId="9870" xr:uid="{00000000-0005-0000-0000-0000AE260000}"/>
    <cellStyle name="Normal 2 15 3 2" xfId="9871" xr:uid="{00000000-0005-0000-0000-0000AF260000}"/>
    <cellStyle name="Normal 2 15 3 2 2" xfId="9872" xr:uid="{00000000-0005-0000-0000-0000B0260000}"/>
    <cellStyle name="Normal 2 15 3 2 2 2" xfId="9873" xr:uid="{00000000-0005-0000-0000-0000B1260000}"/>
    <cellStyle name="Normal 2 15 3 2 2 2 2" xfId="9874" xr:uid="{00000000-0005-0000-0000-0000B2260000}"/>
    <cellStyle name="Normal 2 15 3 2 2 2 3" xfId="9875" xr:uid="{00000000-0005-0000-0000-0000B3260000}"/>
    <cellStyle name="Normal 2 15 3 2 2 3" xfId="9876" xr:uid="{00000000-0005-0000-0000-0000B4260000}"/>
    <cellStyle name="Normal 2 15 3 2 2 4" xfId="9877" xr:uid="{00000000-0005-0000-0000-0000B5260000}"/>
    <cellStyle name="Normal 2 15 3 2 3" xfId="9878" xr:uid="{00000000-0005-0000-0000-0000B6260000}"/>
    <cellStyle name="Normal 2 15 3 2 3 2" xfId="9879" xr:uid="{00000000-0005-0000-0000-0000B7260000}"/>
    <cellStyle name="Normal 2 15 3 2 3 3" xfId="9880" xr:uid="{00000000-0005-0000-0000-0000B8260000}"/>
    <cellStyle name="Normal 2 15 3 2 4" xfId="9881" xr:uid="{00000000-0005-0000-0000-0000B9260000}"/>
    <cellStyle name="Normal 2 15 3 2 5" xfId="9882" xr:uid="{00000000-0005-0000-0000-0000BA260000}"/>
    <cellStyle name="Normal 2 15 3 3" xfId="9883" xr:uid="{00000000-0005-0000-0000-0000BB260000}"/>
    <cellStyle name="Normal 2 15 3 3 2" xfId="9884" xr:uid="{00000000-0005-0000-0000-0000BC260000}"/>
    <cellStyle name="Normal 2 15 3 3 2 2" xfId="9885" xr:uid="{00000000-0005-0000-0000-0000BD260000}"/>
    <cellStyle name="Normal 2 15 3 3 2 3" xfId="9886" xr:uid="{00000000-0005-0000-0000-0000BE260000}"/>
    <cellStyle name="Normal 2 15 3 3 3" xfId="9887" xr:uid="{00000000-0005-0000-0000-0000BF260000}"/>
    <cellStyle name="Normal 2 15 3 3 4" xfId="9888" xr:uid="{00000000-0005-0000-0000-0000C0260000}"/>
    <cellStyle name="Normal 2 15 3 4" xfId="9889" xr:uid="{00000000-0005-0000-0000-0000C1260000}"/>
    <cellStyle name="Normal 2 15 3 4 2" xfId="9890" xr:uid="{00000000-0005-0000-0000-0000C2260000}"/>
    <cellStyle name="Normal 2 15 3 4 3" xfId="9891" xr:uid="{00000000-0005-0000-0000-0000C3260000}"/>
    <cellStyle name="Normal 2 15 3 5" xfId="9892" xr:uid="{00000000-0005-0000-0000-0000C4260000}"/>
    <cellStyle name="Normal 2 15 3 6" xfId="9893" xr:uid="{00000000-0005-0000-0000-0000C5260000}"/>
    <cellStyle name="Normal 2 16" xfId="9894" xr:uid="{00000000-0005-0000-0000-0000C6260000}"/>
    <cellStyle name="Normal 2 16 2" xfId="9895" xr:uid="{00000000-0005-0000-0000-0000C7260000}"/>
    <cellStyle name="Normal 2 16 3" xfId="9896" xr:uid="{00000000-0005-0000-0000-0000C8260000}"/>
    <cellStyle name="Normal 2 16 3 2" xfId="9897" xr:uid="{00000000-0005-0000-0000-0000C9260000}"/>
    <cellStyle name="Normal 2 16 3 2 2" xfId="9898" xr:uid="{00000000-0005-0000-0000-0000CA260000}"/>
    <cellStyle name="Normal 2 16 3 2 2 2" xfId="9899" xr:uid="{00000000-0005-0000-0000-0000CB260000}"/>
    <cellStyle name="Normal 2 16 3 2 2 2 2" xfId="9900" xr:uid="{00000000-0005-0000-0000-0000CC260000}"/>
    <cellStyle name="Normal 2 16 3 2 2 2 3" xfId="9901" xr:uid="{00000000-0005-0000-0000-0000CD260000}"/>
    <cellStyle name="Normal 2 16 3 2 2 3" xfId="9902" xr:uid="{00000000-0005-0000-0000-0000CE260000}"/>
    <cellStyle name="Normal 2 16 3 2 2 4" xfId="9903" xr:uid="{00000000-0005-0000-0000-0000CF260000}"/>
    <cellStyle name="Normal 2 16 3 2 3" xfId="9904" xr:uid="{00000000-0005-0000-0000-0000D0260000}"/>
    <cellStyle name="Normal 2 16 3 2 3 2" xfId="9905" xr:uid="{00000000-0005-0000-0000-0000D1260000}"/>
    <cellStyle name="Normal 2 16 3 2 3 3" xfId="9906" xr:uid="{00000000-0005-0000-0000-0000D2260000}"/>
    <cellStyle name="Normal 2 16 3 2 4" xfId="9907" xr:uid="{00000000-0005-0000-0000-0000D3260000}"/>
    <cellStyle name="Normal 2 16 3 2 5" xfId="9908" xr:uid="{00000000-0005-0000-0000-0000D4260000}"/>
    <cellStyle name="Normal 2 16 3 3" xfId="9909" xr:uid="{00000000-0005-0000-0000-0000D5260000}"/>
    <cellStyle name="Normal 2 16 3 3 2" xfId="9910" xr:uid="{00000000-0005-0000-0000-0000D6260000}"/>
    <cellStyle name="Normal 2 16 3 3 2 2" xfId="9911" xr:uid="{00000000-0005-0000-0000-0000D7260000}"/>
    <cellStyle name="Normal 2 16 3 3 2 3" xfId="9912" xr:uid="{00000000-0005-0000-0000-0000D8260000}"/>
    <cellStyle name="Normal 2 16 3 3 3" xfId="9913" xr:uid="{00000000-0005-0000-0000-0000D9260000}"/>
    <cellStyle name="Normal 2 16 3 3 4" xfId="9914" xr:uid="{00000000-0005-0000-0000-0000DA260000}"/>
    <cellStyle name="Normal 2 16 3 4" xfId="9915" xr:uid="{00000000-0005-0000-0000-0000DB260000}"/>
    <cellStyle name="Normal 2 16 3 4 2" xfId="9916" xr:uid="{00000000-0005-0000-0000-0000DC260000}"/>
    <cellStyle name="Normal 2 16 3 4 3" xfId="9917" xr:uid="{00000000-0005-0000-0000-0000DD260000}"/>
    <cellStyle name="Normal 2 16 3 5" xfId="9918" xr:uid="{00000000-0005-0000-0000-0000DE260000}"/>
    <cellStyle name="Normal 2 16 3 6" xfId="9919" xr:uid="{00000000-0005-0000-0000-0000DF260000}"/>
    <cellStyle name="Normal 2 17" xfId="9920" xr:uid="{00000000-0005-0000-0000-0000E0260000}"/>
    <cellStyle name="Normal 2 17 2" xfId="9921" xr:uid="{00000000-0005-0000-0000-0000E1260000}"/>
    <cellStyle name="Normal 2 17 3" xfId="9922" xr:uid="{00000000-0005-0000-0000-0000E2260000}"/>
    <cellStyle name="Normal 2 17 3 2" xfId="9923" xr:uid="{00000000-0005-0000-0000-0000E3260000}"/>
    <cellStyle name="Normal 2 17 3 2 2" xfId="9924" xr:uid="{00000000-0005-0000-0000-0000E4260000}"/>
    <cellStyle name="Normal 2 17 3 2 2 2" xfId="9925" xr:uid="{00000000-0005-0000-0000-0000E5260000}"/>
    <cellStyle name="Normal 2 17 3 2 2 2 2" xfId="9926" xr:uid="{00000000-0005-0000-0000-0000E6260000}"/>
    <cellStyle name="Normal 2 17 3 2 2 2 3" xfId="9927" xr:uid="{00000000-0005-0000-0000-0000E7260000}"/>
    <cellStyle name="Normal 2 17 3 2 2 3" xfId="9928" xr:uid="{00000000-0005-0000-0000-0000E8260000}"/>
    <cellStyle name="Normal 2 17 3 2 2 4" xfId="9929" xr:uid="{00000000-0005-0000-0000-0000E9260000}"/>
    <cellStyle name="Normal 2 17 3 2 3" xfId="9930" xr:uid="{00000000-0005-0000-0000-0000EA260000}"/>
    <cellStyle name="Normal 2 17 3 2 3 2" xfId="9931" xr:uid="{00000000-0005-0000-0000-0000EB260000}"/>
    <cellStyle name="Normal 2 17 3 2 3 3" xfId="9932" xr:uid="{00000000-0005-0000-0000-0000EC260000}"/>
    <cellStyle name="Normal 2 17 3 2 4" xfId="9933" xr:uid="{00000000-0005-0000-0000-0000ED260000}"/>
    <cellStyle name="Normal 2 17 3 2 5" xfId="9934" xr:uid="{00000000-0005-0000-0000-0000EE260000}"/>
    <cellStyle name="Normal 2 17 3 3" xfId="9935" xr:uid="{00000000-0005-0000-0000-0000EF260000}"/>
    <cellStyle name="Normal 2 17 3 3 2" xfId="9936" xr:uid="{00000000-0005-0000-0000-0000F0260000}"/>
    <cellStyle name="Normal 2 17 3 3 2 2" xfId="9937" xr:uid="{00000000-0005-0000-0000-0000F1260000}"/>
    <cellStyle name="Normal 2 17 3 3 2 3" xfId="9938" xr:uid="{00000000-0005-0000-0000-0000F2260000}"/>
    <cellStyle name="Normal 2 17 3 3 3" xfId="9939" xr:uid="{00000000-0005-0000-0000-0000F3260000}"/>
    <cellStyle name="Normal 2 17 3 3 4" xfId="9940" xr:uid="{00000000-0005-0000-0000-0000F4260000}"/>
    <cellStyle name="Normal 2 17 3 4" xfId="9941" xr:uid="{00000000-0005-0000-0000-0000F5260000}"/>
    <cellStyle name="Normal 2 17 3 4 2" xfId="9942" xr:uid="{00000000-0005-0000-0000-0000F6260000}"/>
    <cellStyle name="Normal 2 17 3 4 3" xfId="9943" xr:uid="{00000000-0005-0000-0000-0000F7260000}"/>
    <cellStyle name="Normal 2 17 3 5" xfId="9944" xr:uid="{00000000-0005-0000-0000-0000F8260000}"/>
    <cellStyle name="Normal 2 17 3 6" xfId="9945" xr:uid="{00000000-0005-0000-0000-0000F9260000}"/>
    <cellStyle name="Normal 2 18" xfId="9946" xr:uid="{00000000-0005-0000-0000-0000FA260000}"/>
    <cellStyle name="Normal 2 18 2" xfId="9947" xr:uid="{00000000-0005-0000-0000-0000FB260000}"/>
    <cellStyle name="Normal 2 18 3" xfId="9948" xr:uid="{00000000-0005-0000-0000-0000FC260000}"/>
    <cellStyle name="Normal 2 18 3 2" xfId="9949" xr:uid="{00000000-0005-0000-0000-0000FD260000}"/>
    <cellStyle name="Normal 2 18 3 2 2" xfId="9950" xr:uid="{00000000-0005-0000-0000-0000FE260000}"/>
    <cellStyle name="Normal 2 18 3 2 2 2" xfId="9951" xr:uid="{00000000-0005-0000-0000-0000FF260000}"/>
    <cellStyle name="Normal 2 18 3 2 2 2 2" xfId="9952" xr:uid="{00000000-0005-0000-0000-000000270000}"/>
    <cellStyle name="Normal 2 18 3 2 2 2 3" xfId="9953" xr:uid="{00000000-0005-0000-0000-000001270000}"/>
    <cellStyle name="Normal 2 18 3 2 2 3" xfId="9954" xr:uid="{00000000-0005-0000-0000-000002270000}"/>
    <cellStyle name="Normal 2 18 3 2 2 4" xfId="9955" xr:uid="{00000000-0005-0000-0000-000003270000}"/>
    <cellStyle name="Normal 2 18 3 2 3" xfId="9956" xr:uid="{00000000-0005-0000-0000-000004270000}"/>
    <cellStyle name="Normal 2 18 3 2 3 2" xfId="9957" xr:uid="{00000000-0005-0000-0000-000005270000}"/>
    <cellStyle name="Normal 2 18 3 2 3 3" xfId="9958" xr:uid="{00000000-0005-0000-0000-000006270000}"/>
    <cellStyle name="Normal 2 18 3 2 4" xfId="9959" xr:uid="{00000000-0005-0000-0000-000007270000}"/>
    <cellStyle name="Normal 2 18 3 2 5" xfId="9960" xr:uid="{00000000-0005-0000-0000-000008270000}"/>
    <cellStyle name="Normal 2 18 3 3" xfId="9961" xr:uid="{00000000-0005-0000-0000-000009270000}"/>
    <cellStyle name="Normal 2 18 3 3 2" xfId="9962" xr:uid="{00000000-0005-0000-0000-00000A270000}"/>
    <cellStyle name="Normal 2 18 3 3 2 2" xfId="9963" xr:uid="{00000000-0005-0000-0000-00000B270000}"/>
    <cellStyle name="Normal 2 18 3 3 2 3" xfId="9964" xr:uid="{00000000-0005-0000-0000-00000C270000}"/>
    <cellStyle name="Normal 2 18 3 3 3" xfId="9965" xr:uid="{00000000-0005-0000-0000-00000D270000}"/>
    <cellStyle name="Normal 2 18 3 3 4" xfId="9966" xr:uid="{00000000-0005-0000-0000-00000E270000}"/>
    <cellStyle name="Normal 2 18 3 4" xfId="9967" xr:uid="{00000000-0005-0000-0000-00000F270000}"/>
    <cellStyle name="Normal 2 18 3 4 2" xfId="9968" xr:uid="{00000000-0005-0000-0000-000010270000}"/>
    <cellStyle name="Normal 2 18 3 4 3" xfId="9969" xr:uid="{00000000-0005-0000-0000-000011270000}"/>
    <cellStyle name="Normal 2 18 3 5" xfId="9970" xr:uid="{00000000-0005-0000-0000-000012270000}"/>
    <cellStyle name="Normal 2 18 3 6" xfId="9971" xr:uid="{00000000-0005-0000-0000-000013270000}"/>
    <cellStyle name="Normal 2 19" xfId="9972" xr:uid="{00000000-0005-0000-0000-000014270000}"/>
    <cellStyle name="Normal 2 19 2" xfId="9973" xr:uid="{00000000-0005-0000-0000-000015270000}"/>
    <cellStyle name="Normal 2 19 3" xfId="9974" xr:uid="{00000000-0005-0000-0000-000016270000}"/>
    <cellStyle name="Normal 2 19 3 2" xfId="9975" xr:uid="{00000000-0005-0000-0000-000017270000}"/>
    <cellStyle name="Normal 2 19 3 2 2" xfId="9976" xr:uid="{00000000-0005-0000-0000-000018270000}"/>
    <cellStyle name="Normal 2 19 3 2 2 2" xfId="9977" xr:uid="{00000000-0005-0000-0000-000019270000}"/>
    <cellStyle name="Normal 2 19 3 2 2 2 2" xfId="9978" xr:uid="{00000000-0005-0000-0000-00001A270000}"/>
    <cellStyle name="Normal 2 19 3 2 2 2 3" xfId="9979" xr:uid="{00000000-0005-0000-0000-00001B270000}"/>
    <cellStyle name="Normal 2 19 3 2 2 3" xfId="9980" xr:uid="{00000000-0005-0000-0000-00001C270000}"/>
    <cellStyle name="Normal 2 19 3 2 2 4" xfId="9981" xr:uid="{00000000-0005-0000-0000-00001D270000}"/>
    <cellStyle name="Normal 2 19 3 2 3" xfId="9982" xr:uid="{00000000-0005-0000-0000-00001E270000}"/>
    <cellStyle name="Normal 2 19 3 2 3 2" xfId="9983" xr:uid="{00000000-0005-0000-0000-00001F270000}"/>
    <cellStyle name="Normal 2 19 3 2 3 3" xfId="9984" xr:uid="{00000000-0005-0000-0000-000020270000}"/>
    <cellStyle name="Normal 2 19 3 2 4" xfId="9985" xr:uid="{00000000-0005-0000-0000-000021270000}"/>
    <cellStyle name="Normal 2 19 3 2 5" xfId="9986" xr:uid="{00000000-0005-0000-0000-000022270000}"/>
    <cellStyle name="Normal 2 19 3 3" xfId="9987" xr:uid="{00000000-0005-0000-0000-000023270000}"/>
    <cellStyle name="Normal 2 19 3 3 2" xfId="9988" xr:uid="{00000000-0005-0000-0000-000024270000}"/>
    <cellStyle name="Normal 2 19 3 3 2 2" xfId="9989" xr:uid="{00000000-0005-0000-0000-000025270000}"/>
    <cellStyle name="Normal 2 19 3 3 2 3" xfId="9990" xr:uid="{00000000-0005-0000-0000-000026270000}"/>
    <cellStyle name="Normal 2 19 3 3 3" xfId="9991" xr:uid="{00000000-0005-0000-0000-000027270000}"/>
    <cellStyle name="Normal 2 19 3 3 4" xfId="9992" xr:uid="{00000000-0005-0000-0000-000028270000}"/>
    <cellStyle name="Normal 2 19 3 4" xfId="9993" xr:uid="{00000000-0005-0000-0000-000029270000}"/>
    <cellStyle name="Normal 2 19 3 4 2" xfId="9994" xr:uid="{00000000-0005-0000-0000-00002A270000}"/>
    <cellStyle name="Normal 2 19 3 4 3" xfId="9995" xr:uid="{00000000-0005-0000-0000-00002B270000}"/>
    <cellStyle name="Normal 2 19 3 5" xfId="9996" xr:uid="{00000000-0005-0000-0000-00002C270000}"/>
    <cellStyle name="Normal 2 19 3 6" xfId="9997" xr:uid="{00000000-0005-0000-0000-00002D270000}"/>
    <cellStyle name="Normal 2 2" xfId="26" xr:uid="{00000000-0005-0000-0000-00002E270000}"/>
    <cellStyle name="Normal 2 2 10" xfId="9998" xr:uid="{00000000-0005-0000-0000-00002F270000}"/>
    <cellStyle name="Normal 2 2 10 2" xfId="9999" xr:uid="{00000000-0005-0000-0000-000030270000}"/>
    <cellStyle name="Normal 2 2 10 2 2" xfId="10000" xr:uid="{00000000-0005-0000-0000-000031270000}"/>
    <cellStyle name="Normal 2 2 10 2 2 2" xfId="10001" xr:uid="{00000000-0005-0000-0000-000032270000}"/>
    <cellStyle name="Normal 2 2 10 2 2 2 2" xfId="10002" xr:uid="{00000000-0005-0000-0000-000033270000}"/>
    <cellStyle name="Normal 2 2 10 2 2 2 3" xfId="10003" xr:uid="{00000000-0005-0000-0000-000034270000}"/>
    <cellStyle name="Normal 2 2 10 2 2 3" xfId="10004" xr:uid="{00000000-0005-0000-0000-000035270000}"/>
    <cellStyle name="Normal 2 2 10 2 2 4" xfId="10005" xr:uid="{00000000-0005-0000-0000-000036270000}"/>
    <cellStyle name="Normal 2 2 10 2 3" xfId="10006" xr:uid="{00000000-0005-0000-0000-000037270000}"/>
    <cellStyle name="Normal 2 2 10 2 3 2" xfId="10007" xr:uid="{00000000-0005-0000-0000-000038270000}"/>
    <cellStyle name="Normal 2 2 10 2 3 3" xfId="10008" xr:uid="{00000000-0005-0000-0000-000039270000}"/>
    <cellStyle name="Normal 2 2 10 2 4" xfId="10009" xr:uid="{00000000-0005-0000-0000-00003A270000}"/>
    <cellStyle name="Normal 2 2 10 2 5" xfId="10010" xr:uid="{00000000-0005-0000-0000-00003B270000}"/>
    <cellStyle name="Normal 2 2 10 3" xfId="10011" xr:uid="{00000000-0005-0000-0000-00003C270000}"/>
    <cellStyle name="Normal 2 2 10 3 2" xfId="10012" xr:uid="{00000000-0005-0000-0000-00003D270000}"/>
    <cellStyle name="Normal 2 2 10 3 2 2" xfId="10013" xr:uid="{00000000-0005-0000-0000-00003E270000}"/>
    <cellStyle name="Normal 2 2 10 3 2 3" xfId="10014" xr:uid="{00000000-0005-0000-0000-00003F270000}"/>
    <cellStyle name="Normal 2 2 10 3 3" xfId="10015" xr:uid="{00000000-0005-0000-0000-000040270000}"/>
    <cellStyle name="Normal 2 2 10 3 4" xfId="10016" xr:uid="{00000000-0005-0000-0000-000041270000}"/>
    <cellStyle name="Normal 2 2 10 4" xfId="10017" xr:uid="{00000000-0005-0000-0000-000042270000}"/>
    <cellStyle name="Normal 2 2 10 4 2" xfId="10018" xr:uid="{00000000-0005-0000-0000-000043270000}"/>
    <cellStyle name="Normal 2 2 10 4 3" xfId="10019" xr:uid="{00000000-0005-0000-0000-000044270000}"/>
    <cellStyle name="Normal 2 2 10 5" xfId="10020" xr:uid="{00000000-0005-0000-0000-000045270000}"/>
    <cellStyle name="Normal 2 2 10 6" xfId="10021" xr:uid="{00000000-0005-0000-0000-000046270000}"/>
    <cellStyle name="Normal 2 2 11" xfId="10022" xr:uid="{00000000-0005-0000-0000-000047270000}"/>
    <cellStyle name="Normal 2 2 11 2" xfId="10023" xr:uid="{00000000-0005-0000-0000-000048270000}"/>
    <cellStyle name="Normal 2 2 11 2 2" xfId="10024" xr:uid="{00000000-0005-0000-0000-000049270000}"/>
    <cellStyle name="Normal 2 2 11 2 2 2" xfId="10025" xr:uid="{00000000-0005-0000-0000-00004A270000}"/>
    <cellStyle name="Normal 2 2 11 2 2 2 2" xfId="10026" xr:uid="{00000000-0005-0000-0000-00004B270000}"/>
    <cellStyle name="Normal 2 2 11 2 2 2 3" xfId="10027" xr:uid="{00000000-0005-0000-0000-00004C270000}"/>
    <cellStyle name="Normal 2 2 11 2 2 3" xfId="10028" xr:uid="{00000000-0005-0000-0000-00004D270000}"/>
    <cellStyle name="Normal 2 2 11 2 2 4" xfId="10029" xr:uid="{00000000-0005-0000-0000-00004E270000}"/>
    <cellStyle name="Normal 2 2 11 2 3" xfId="10030" xr:uid="{00000000-0005-0000-0000-00004F270000}"/>
    <cellStyle name="Normal 2 2 11 2 3 2" xfId="10031" xr:uid="{00000000-0005-0000-0000-000050270000}"/>
    <cellStyle name="Normal 2 2 11 2 3 3" xfId="10032" xr:uid="{00000000-0005-0000-0000-000051270000}"/>
    <cellStyle name="Normal 2 2 11 2 4" xfId="10033" xr:uid="{00000000-0005-0000-0000-000052270000}"/>
    <cellStyle name="Normal 2 2 11 2 5" xfId="10034" xr:uid="{00000000-0005-0000-0000-000053270000}"/>
    <cellStyle name="Normal 2 2 11 3" xfId="10035" xr:uid="{00000000-0005-0000-0000-000054270000}"/>
    <cellStyle name="Normal 2 2 11 3 2" xfId="10036" xr:uid="{00000000-0005-0000-0000-000055270000}"/>
    <cellStyle name="Normal 2 2 11 3 2 2" xfId="10037" xr:uid="{00000000-0005-0000-0000-000056270000}"/>
    <cellStyle name="Normal 2 2 11 3 2 3" xfId="10038" xr:uid="{00000000-0005-0000-0000-000057270000}"/>
    <cellStyle name="Normal 2 2 11 3 3" xfId="10039" xr:uid="{00000000-0005-0000-0000-000058270000}"/>
    <cellStyle name="Normal 2 2 11 3 4" xfId="10040" xr:uid="{00000000-0005-0000-0000-000059270000}"/>
    <cellStyle name="Normal 2 2 11 4" xfId="10041" xr:uid="{00000000-0005-0000-0000-00005A270000}"/>
    <cellStyle name="Normal 2 2 11 4 2" xfId="10042" xr:uid="{00000000-0005-0000-0000-00005B270000}"/>
    <cellStyle name="Normal 2 2 11 4 3" xfId="10043" xr:uid="{00000000-0005-0000-0000-00005C270000}"/>
    <cellStyle name="Normal 2 2 11 5" xfId="10044" xr:uid="{00000000-0005-0000-0000-00005D270000}"/>
    <cellStyle name="Normal 2 2 11 6" xfId="10045" xr:uid="{00000000-0005-0000-0000-00005E270000}"/>
    <cellStyle name="Normal 2 2 12" xfId="10046" xr:uid="{00000000-0005-0000-0000-00005F270000}"/>
    <cellStyle name="Normal 2 2 12 2" xfId="10047" xr:uid="{00000000-0005-0000-0000-000060270000}"/>
    <cellStyle name="Normal 2 2 12 2 2" xfId="10048" xr:uid="{00000000-0005-0000-0000-000061270000}"/>
    <cellStyle name="Normal 2 2 12 2 2 2" xfId="10049" xr:uid="{00000000-0005-0000-0000-000062270000}"/>
    <cellStyle name="Normal 2 2 12 2 2 2 2" xfId="10050" xr:uid="{00000000-0005-0000-0000-000063270000}"/>
    <cellStyle name="Normal 2 2 12 2 2 2 3" xfId="10051" xr:uid="{00000000-0005-0000-0000-000064270000}"/>
    <cellStyle name="Normal 2 2 12 2 2 3" xfId="10052" xr:uid="{00000000-0005-0000-0000-000065270000}"/>
    <cellStyle name="Normal 2 2 12 2 2 4" xfId="10053" xr:uid="{00000000-0005-0000-0000-000066270000}"/>
    <cellStyle name="Normal 2 2 12 2 3" xfId="10054" xr:uid="{00000000-0005-0000-0000-000067270000}"/>
    <cellStyle name="Normal 2 2 12 2 3 2" xfId="10055" xr:uid="{00000000-0005-0000-0000-000068270000}"/>
    <cellStyle name="Normal 2 2 12 2 3 3" xfId="10056" xr:uid="{00000000-0005-0000-0000-000069270000}"/>
    <cellStyle name="Normal 2 2 12 2 4" xfId="10057" xr:uid="{00000000-0005-0000-0000-00006A270000}"/>
    <cellStyle name="Normal 2 2 12 2 5" xfId="10058" xr:uid="{00000000-0005-0000-0000-00006B270000}"/>
    <cellStyle name="Normal 2 2 12 3" xfId="10059" xr:uid="{00000000-0005-0000-0000-00006C270000}"/>
    <cellStyle name="Normal 2 2 12 3 2" xfId="10060" xr:uid="{00000000-0005-0000-0000-00006D270000}"/>
    <cellStyle name="Normal 2 2 12 3 2 2" xfId="10061" xr:uid="{00000000-0005-0000-0000-00006E270000}"/>
    <cellStyle name="Normal 2 2 12 3 2 3" xfId="10062" xr:uid="{00000000-0005-0000-0000-00006F270000}"/>
    <cellStyle name="Normal 2 2 12 3 3" xfId="10063" xr:uid="{00000000-0005-0000-0000-000070270000}"/>
    <cellStyle name="Normal 2 2 12 3 4" xfId="10064" xr:uid="{00000000-0005-0000-0000-000071270000}"/>
    <cellStyle name="Normal 2 2 12 4" xfId="10065" xr:uid="{00000000-0005-0000-0000-000072270000}"/>
    <cellStyle name="Normal 2 2 12 4 2" xfId="10066" xr:uid="{00000000-0005-0000-0000-000073270000}"/>
    <cellStyle name="Normal 2 2 12 4 3" xfId="10067" xr:uid="{00000000-0005-0000-0000-000074270000}"/>
    <cellStyle name="Normal 2 2 12 5" xfId="10068" xr:uid="{00000000-0005-0000-0000-000075270000}"/>
    <cellStyle name="Normal 2 2 12 6" xfId="10069" xr:uid="{00000000-0005-0000-0000-000076270000}"/>
    <cellStyle name="Normal 2 2 13" xfId="10070" xr:uid="{00000000-0005-0000-0000-000077270000}"/>
    <cellStyle name="Normal 2 2 13 2" xfId="10071" xr:uid="{00000000-0005-0000-0000-000078270000}"/>
    <cellStyle name="Normal 2 2 13 2 2" xfId="10072" xr:uid="{00000000-0005-0000-0000-000079270000}"/>
    <cellStyle name="Normal 2 2 13 2 2 2" xfId="10073" xr:uid="{00000000-0005-0000-0000-00007A270000}"/>
    <cellStyle name="Normal 2 2 13 2 2 2 2" xfId="10074" xr:uid="{00000000-0005-0000-0000-00007B270000}"/>
    <cellStyle name="Normal 2 2 13 2 2 2 3" xfId="10075" xr:uid="{00000000-0005-0000-0000-00007C270000}"/>
    <cellStyle name="Normal 2 2 13 2 2 3" xfId="10076" xr:uid="{00000000-0005-0000-0000-00007D270000}"/>
    <cellStyle name="Normal 2 2 13 2 2 4" xfId="10077" xr:uid="{00000000-0005-0000-0000-00007E270000}"/>
    <cellStyle name="Normal 2 2 13 2 3" xfId="10078" xr:uid="{00000000-0005-0000-0000-00007F270000}"/>
    <cellStyle name="Normal 2 2 13 2 3 2" xfId="10079" xr:uid="{00000000-0005-0000-0000-000080270000}"/>
    <cellStyle name="Normal 2 2 13 2 3 3" xfId="10080" xr:uid="{00000000-0005-0000-0000-000081270000}"/>
    <cellStyle name="Normal 2 2 13 2 4" xfId="10081" xr:uid="{00000000-0005-0000-0000-000082270000}"/>
    <cellStyle name="Normal 2 2 13 2 5" xfId="10082" xr:uid="{00000000-0005-0000-0000-000083270000}"/>
    <cellStyle name="Normal 2 2 13 3" xfId="10083" xr:uid="{00000000-0005-0000-0000-000084270000}"/>
    <cellStyle name="Normal 2 2 13 3 2" xfId="10084" xr:uid="{00000000-0005-0000-0000-000085270000}"/>
    <cellStyle name="Normal 2 2 13 3 2 2" xfId="10085" xr:uid="{00000000-0005-0000-0000-000086270000}"/>
    <cellStyle name="Normal 2 2 13 3 2 3" xfId="10086" xr:uid="{00000000-0005-0000-0000-000087270000}"/>
    <cellStyle name="Normal 2 2 13 3 3" xfId="10087" xr:uid="{00000000-0005-0000-0000-000088270000}"/>
    <cellStyle name="Normal 2 2 13 3 4" xfId="10088" xr:uid="{00000000-0005-0000-0000-000089270000}"/>
    <cellStyle name="Normal 2 2 13 4" xfId="10089" xr:uid="{00000000-0005-0000-0000-00008A270000}"/>
    <cellStyle name="Normal 2 2 13 4 2" xfId="10090" xr:uid="{00000000-0005-0000-0000-00008B270000}"/>
    <cellStyle name="Normal 2 2 13 4 3" xfId="10091" xr:uid="{00000000-0005-0000-0000-00008C270000}"/>
    <cellStyle name="Normal 2 2 13 5" xfId="10092" xr:uid="{00000000-0005-0000-0000-00008D270000}"/>
    <cellStyle name="Normal 2 2 13 6" xfId="10093" xr:uid="{00000000-0005-0000-0000-00008E270000}"/>
    <cellStyle name="Normal 2 2 14" xfId="10094" xr:uid="{00000000-0005-0000-0000-00008F270000}"/>
    <cellStyle name="Normal 2 2 14 2" xfId="10095" xr:uid="{00000000-0005-0000-0000-000090270000}"/>
    <cellStyle name="Normal 2 2 14 2 2" xfId="10096" xr:uid="{00000000-0005-0000-0000-000091270000}"/>
    <cellStyle name="Normal 2 2 14 2 2 2" xfId="10097" xr:uid="{00000000-0005-0000-0000-000092270000}"/>
    <cellStyle name="Normal 2 2 14 2 2 2 2" xfId="10098" xr:uid="{00000000-0005-0000-0000-000093270000}"/>
    <cellStyle name="Normal 2 2 14 2 2 2 3" xfId="10099" xr:uid="{00000000-0005-0000-0000-000094270000}"/>
    <cellStyle name="Normal 2 2 14 2 2 3" xfId="10100" xr:uid="{00000000-0005-0000-0000-000095270000}"/>
    <cellStyle name="Normal 2 2 14 2 2 4" xfId="10101" xr:uid="{00000000-0005-0000-0000-000096270000}"/>
    <cellStyle name="Normal 2 2 14 2 3" xfId="10102" xr:uid="{00000000-0005-0000-0000-000097270000}"/>
    <cellStyle name="Normal 2 2 14 2 3 2" xfId="10103" xr:uid="{00000000-0005-0000-0000-000098270000}"/>
    <cellStyle name="Normal 2 2 14 2 3 3" xfId="10104" xr:uid="{00000000-0005-0000-0000-000099270000}"/>
    <cellStyle name="Normal 2 2 14 2 4" xfId="10105" xr:uid="{00000000-0005-0000-0000-00009A270000}"/>
    <cellStyle name="Normal 2 2 14 2 5" xfId="10106" xr:uid="{00000000-0005-0000-0000-00009B270000}"/>
    <cellStyle name="Normal 2 2 14 3" xfId="10107" xr:uid="{00000000-0005-0000-0000-00009C270000}"/>
    <cellStyle name="Normal 2 2 14 3 2" xfId="10108" xr:uid="{00000000-0005-0000-0000-00009D270000}"/>
    <cellStyle name="Normal 2 2 14 3 2 2" xfId="10109" xr:uid="{00000000-0005-0000-0000-00009E270000}"/>
    <cellStyle name="Normal 2 2 14 3 2 3" xfId="10110" xr:uid="{00000000-0005-0000-0000-00009F270000}"/>
    <cellStyle name="Normal 2 2 14 3 3" xfId="10111" xr:uid="{00000000-0005-0000-0000-0000A0270000}"/>
    <cellStyle name="Normal 2 2 14 3 4" xfId="10112" xr:uid="{00000000-0005-0000-0000-0000A1270000}"/>
    <cellStyle name="Normal 2 2 14 4" xfId="10113" xr:uid="{00000000-0005-0000-0000-0000A2270000}"/>
    <cellStyle name="Normal 2 2 14 4 2" xfId="10114" xr:uid="{00000000-0005-0000-0000-0000A3270000}"/>
    <cellStyle name="Normal 2 2 14 4 3" xfId="10115" xr:uid="{00000000-0005-0000-0000-0000A4270000}"/>
    <cellStyle name="Normal 2 2 14 5" xfId="10116" xr:uid="{00000000-0005-0000-0000-0000A5270000}"/>
    <cellStyle name="Normal 2 2 14 6" xfId="10117" xr:uid="{00000000-0005-0000-0000-0000A6270000}"/>
    <cellStyle name="Normal 2 2 15" xfId="10118" xr:uid="{00000000-0005-0000-0000-0000A7270000}"/>
    <cellStyle name="Normal 2 2 15 2" xfId="10119" xr:uid="{00000000-0005-0000-0000-0000A8270000}"/>
    <cellStyle name="Normal 2 2 15 2 2" xfId="10120" xr:uid="{00000000-0005-0000-0000-0000A9270000}"/>
    <cellStyle name="Normal 2 2 15 2 2 2" xfId="10121" xr:uid="{00000000-0005-0000-0000-0000AA270000}"/>
    <cellStyle name="Normal 2 2 15 2 2 2 2" xfId="10122" xr:uid="{00000000-0005-0000-0000-0000AB270000}"/>
    <cellStyle name="Normal 2 2 15 2 2 2 3" xfId="10123" xr:uid="{00000000-0005-0000-0000-0000AC270000}"/>
    <cellStyle name="Normal 2 2 15 2 2 3" xfId="10124" xr:uid="{00000000-0005-0000-0000-0000AD270000}"/>
    <cellStyle name="Normal 2 2 15 2 2 4" xfId="10125" xr:uid="{00000000-0005-0000-0000-0000AE270000}"/>
    <cellStyle name="Normal 2 2 15 2 3" xfId="10126" xr:uid="{00000000-0005-0000-0000-0000AF270000}"/>
    <cellStyle name="Normal 2 2 15 2 3 2" xfId="10127" xr:uid="{00000000-0005-0000-0000-0000B0270000}"/>
    <cellStyle name="Normal 2 2 15 2 3 3" xfId="10128" xr:uid="{00000000-0005-0000-0000-0000B1270000}"/>
    <cellStyle name="Normal 2 2 15 2 4" xfId="10129" xr:uid="{00000000-0005-0000-0000-0000B2270000}"/>
    <cellStyle name="Normal 2 2 15 2 5" xfId="10130" xr:uid="{00000000-0005-0000-0000-0000B3270000}"/>
    <cellStyle name="Normal 2 2 15 3" xfId="10131" xr:uid="{00000000-0005-0000-0000-0000B4270000}"/>
    <cellStyle name="Normal 2 2 15 3 2" xfId="10132" xr:uid="{00000000-0005-0000-0000-0000B5270000}"/>
    <cellStyle name="Normal 2 2 15 3 2 2" xfId="10133" xr:uid="{00000000-0005-0000-0000-0000B6270000}"/>
    <cellStyle name="Normal 2 2 15 3 2 3" xfId="10134" xr:uid="{00000000-0005-0000-0000-0000B7270000}"/>
    <cellStyle name="Normal 2 2 15 3 3" xfId="10135" xr:uid="{00000000-0005-0000-0000-0000B8270000}"/>
    <cellStyle name="Normal 2 2 15 3 4" xfId="10136" xr:uid="{00000000-0005-0000-0000-0000B9270000}"/>
    <cellStyle name="Normal 2 2 15 4" xfId="10137" xr:uid="{00000000-0005-0000-0000-0000BA270000}"/>
    <cellStyle name="Normal 2 2 15 4 2" xfId="10138" xr:uid="{00000000-0005-0000-0000-0000BB270000}"/>
    <cellStyle name="Normal 2 2 15 4 3" xfId="10139" xr:uid="{00000000-0005-0000-0000-0000BC270000}"/>
    <cellStyle name="Normal 2 2 15 5" xfId="10140" xr:uid="{00000000-0005-0000-0000-0000BD270000}"/>
    <cellStyle name="Normal 2 2 15 6" xfId="10141" xr:uid="{00000000-0005-0000-0000-0000BE270000}"/>
    <cellStyle name="Normal 2 2 16" xfId="10142" xr:uid="{00000000-0005-0000-0000-0000BF270000}"/>
    <cellStyle name="Normal 2 2 16 2" xfId="10143" xr:uid="{00000000-0005-0000-0000-0000C0270000}"/>
    <cellStyle name="Normal 2 2 16 2 2" xfId="10144" xr:uid="{00000000-0005-0000-0000-0000C1270000}"/>
    <cellStyle name="Normal 2 2 16 2 2 2" xfId="10145" xr:uid="{00000000-0005-0000-0000-0000C2270000}"/>
    <cellStyle name="Normal 2 2 16 2 2 2 2" xfId="10146" xr:uid="{00000000-0005-0000-0000-0000C3270000}"/>
    <cellStyle name="Normal 2 2 16 2 2 2 3" xfId="10147" xr:uid="{00000000-0005-0000-0000-0000C4270000}"/>
    <cellStyle name="Normal 2 2 16 2 2 3" xfId="10148" xr:uid="{00000000-0005-0000-0000-0000C5270000}"/>
    <cellStyle name="Normal 2 2 16 2 2 4" xfId="10149" xr:uid="{00000000-0005-0000-0000-0000C6270000}"/>
    <cellStyle name="Normal 2 2 16 2 3" xfId="10150" xr:uid="{00000000-0005-0000-0000-0000C7270000}"/>
    <cellStyle name="Normal 2 2 16 2 3 2" xfId="10151" xr:uid="{00000000-0005-0000-0000-0000C8270000}"/>
    <cellStyle name="Normal 2 2 16 2 3 3" xfId="10152" xr:uid="{00000000-0005-0000-0000-0000C9270000}"/>
    <cellStyle name="Normal 2 2 16 2 4" xfId="10153" xr:uid="{00000000-0005-0000-0000-0000CA270000}"/>
    <cellStyle name="Normal 2 2 16 2 5" xfId="10154" xr:uid="{00000000-0005-0000-0000-0000CB270000}"/>
    <cellStyle name="Normal 2 2 16 3" xfId="10155" xr:uid="{00000000-0005-0000-0000-0000CC270000}"/>
    <cellStyle name="Normal 2 2 16 3 2" xfId="10156" xr:uid="{00000000-0005-0000-0000-0000CD270000}"/>
    <cellStyle name="Normal 2 2 16 3 2 2" xfId="10157" xr:uid="{00000000-0005-0000-0000-0000CE270000}"/>
    <cellStyle name="Normal 2 2 16 3 2 3" xfId="10158" xr:uid="{00000000-0005-0000-0000-0000CF270000}"/>
    <cellStyle name="Normal 2 2 16 3 3" xfId="10159" xr:uid="{00000000-0005-0000-0000-0000D0270000}"/>
    <cellStyle name="Normal 2 2 16 3 4" xfId="10160" xr:uid="{00000000-0005-0000-0000-0000D1270000}"/>
    <cellStyle name="Normal 2 2 16 4" xfId="10161" xr:uid="{00000000-0005-0000-0000-0000D2270000}"/>
    <cellStyle name="Normal 2 2 16 4 2" xfId="10162" xr:uid="{00000000-0005-0000-0000-0000D3270000}"/>
    <cellStyle name="Normal 2 2 16 4 3" xfId="10163" xr:uid="{00000000-0005-0000-0000-0000D4270000}"/>
    <cellStyle name="Normal 2 2 16 5" xfId="10164" xr:uid="{00000000-0005-0000-0000-0000D5270000}"/>
    <cellStyle name="Normal 2 2 16 6" xfId="10165" xr:uid="{00000000-0005-0000-0000-0000D6270000}"/>
    <cellStyle name="Normal 2 2 17" xfId="10166" xr:uid="{00000000-0005-0000-0000-0000D7270000}"/>
    <cellStyle name="Normal 2 2 17 2" xfId="10167" xr:uid="{00000000-0005-0000-0000-0000D8270000}"/>
    <cellStyle name="Normal 2 2 17 2 2" xfId="10168" xr:uid="{00000000-0005-0000-0000-0000D9270000}"/>
    <cellStyle name="Normal 2 2 17 2 2 2" xfId="10169" xr:uid="{00000000-0005-0000-0000-0000DA270000}"/>
    <cellStyle name="Normal 2 2 17 2 2 2 2" xfId="10170" xr:uid="{00000000-0005-0000-0000-0000DB270000}"/>
    <cellStyle name="Normal 2 2 17 2 2 2 3" xfId="10171" xr:uid="{00000000-0005-0000-0000-0000DC270000}"/>
    <cellStyle name="Normal 2 2 17 2 2 3" xfId="10172" xr:uid="{00000000-0005-0000-0000-0000DD270000}"/>
    <cellStyle name="Normal 2 2 17 2 2 4" xfId="10173" xr:uid="{00000000-0005-0000-0000-0000DE270000}"/>
    <cellStyle name="Normal 2 2 17 2 3" xfId="10174" xr:uid="{00000000-0005-0000-0000-0000DF270000}"/>
    <cellStyle name="Normal 2 2 17 2 3 2" xfId="10175" xr:uid="{00000000-0005-0000-0000-0000E0270000}"/>
    <cellStyle name="Normal 2 2 17 2 3 3" xfId="10176" xr:uid="{00000000-0005-0000-0000-0000E1270000}"/>
    <cellStyle name="Normal 2 2 17 2 4" xfId="10177" xr:uid="{00000000-0005-0000-0000-0000E2270000}"/>
    <cellStyle name="Normal 2 2 17 2 5" xfId="10178" xr:uid="{00000000-0005-0000-0000-0000E3270000}"/>
    <cellStyle name="Normal 2 2 17 3" xfId="10179" xr:uid="{00000000-0005-0000-0000-0000E4270000}"/>
    <cellStyle name="Normal 2 2 17 3 2" xfId="10180" xr:uid="{00000000-0005-0000-0000-0000E5270000}"/>
    <cellStyle name="Normal 2 2 17 3 2 2" xfId="10181" xr:uid="{00000000-0005-0000-0000-0000E6270000}"/>
    <cellStyle name="Normal 2 2 17 3 2 3" xfId="10182" xr:uid="{00000000-0005-0000-0000-0000E7270000}"/>
    <cellStyle name="Normal 2 2 17 3 3" xfId="10183" xr:uid="{00000000-0005-0000-0000-0000E8270000}"/>
    <cellStyle name="Normal 2 2 17 3 4" xfId="10184" xr:uid="{00000000-0005-0000-0000-0000E9270000}"/>
    <cellStyle name="Normal 2 2 17 4" xfId="10185" xr:uid="{00000000-0005-0000-0000-0000EA270000}"/>
    <cellStyle name="Normal 2 2 17 4 2" xfId="10186" xr:uid="{00000000-0005-0000-0000-0000EB270000}"/>
    <cellStyle name="Normal 2 2 17 4 3" xfId="10187" xr:uid="{00000000-0005-0000-0000-0000EC270000}"/>
    <cellStyle name="Normal 2 2 17 5" xfId="10188" xr:uid="{00000000-0005-0000-0000-0000ED270000}"/>
    <cellStyle name="Normal 2 2 17 6" xfId="10189" xr:uid="{00000000-0005-0000-0000-0000EE270000}"/>
    <cellStyle name="Normal 2 2 18" xfId="10190" xr:uid="{00000000-0005-0000-0000-0000EF270000}"/>
    <cellStyle name="Normal 2 2 18 2" xfId="10191" xr:uid="{00000000-0005-0000-0000-0000F0270000}"/>
    <cellStyle name="Normal 2 2 18 2 2" xfId="10192" xr:uid="{00000000-0005-0000-0000-0000F1270000}"/>
    <cellStyle name="Normal 2 2 18 2 2 2" xfId="10193" xr:uid="{00000000-0005-0000-0000-0000F2270000}"/>
    <cellStyle name="Normal 2 2 18 2 2 2 2" xfId="10194" xr:uid="{00000000-0005-0000-0000-0000F3270000}"/>
    <cellStyle name="Normal 2 2 18 2 2 2 3" xfId="10195" xr:uid="{00000000-0005-0000-0000-0000F4270000}"/>
    <cellStyle name="Normal 2 2 18 2 2 3" xfId="10196" xr:uid="{00000000-0005-0000-0000-0000F5270000}"/>
    <cellStyle name="Normal 2 2 18 2 2 4" xfId="10197" xr:uid="{00000000-0005-0000-0000-0000F6270000}"/>
    <cellStyle name="Normal 2 2 18 2 3" xfId="10198" xr:uid="{00000000-0005-0000-0000-0000F7270000}"/>
    <cellStyle name="Normal 2 2 18 2 3 2" xfId="10199" xr:uid="{00000000-0005-0000-0000-0000F8270000}"/>
    <cellStyle name="Normal 2 2 18 2 3 3" xfId="10200" xr:uid="{00000000-0005-0000-0000-0000F9270000}"/>
    <cellStyle name="Normal 2 2 18 2 4" xfId="10201" xr:uid="{00000000-0005-0000-0000-0000FA270000}"/>
    <cellStyle name="Normal 2 2 18 2 5" xfId="10202" xr:uid="{00000000-0005-0000-0000-0000FB270000}"/>
    <cellStyle name="Normal 2 2 18 3" xfId="10203" xr:uid="{00000000-0005-0000-0000-0000FC270000}"/>
    <cellStyle name="Normal 2 2 18 3 2" xfId="10204" xr:uid="{00000000-0005-0000-0000-0000FD270000}"/>
    <cellStyle name="Normal 2 2 18 3 2 2" xfId="10205" xr:uid="{00000000-0005-0000-0000-0000FE270000}"/>
    <cellStyle name="Normal 2 2 18 3 2 3" xfId="10206" xr:uid="{00000000-0005-0000-0000-0000FF270000}"/>
    <cellStyle name="Normal 2 2 18 3 3" xfId="10207" xr:uid="{00000000-0005-0000-0000-000000280000}"/>
    <cellStyle name="Normal 2 2 18 3 4" xfId="10208" xr:uid="{00000000-0005-0000-0000-000001280000}"/>
    <cellStyle name="Normal 2 2 18 4" xfId="10209" xr:uid="{00000000-0005-0000-0000-000002280000}"/>
    <cellStyle name="Normal 2 2 18 4 2" xfId="10210" xr:uid="{00000000-0005-0000-0000-000003280000}"/>
    <cellStyle name="Normal 2 2 18 4 3" xfId="10211" xr:uid="{00000000-0005-0000-0000-000004280000}"/>
    <cellStyle name="Normal 2 2 18 5" xfId="10212" xr:uid="{00000000-0005-0000-0000-000005280000}"/>
    <cellStyle name="Normal 2 2 18 6" xfId="10213" xr:uid="{00000000-0005-0000-0000-000006280000}"/>
    <cellStyle name="Normal 2 2 19" xfId="10214" xr:uid="{00000000-0005-0000-0000-000007280000}"/>
    <cellStyle name="Normal 2 2 19 2" xfId="10215" xr:uid="{00000000-0005-0000-0000-000008280000}"/>
    <cellStyle name="Normal 2 2 19 2 2" xfId="10216" xr:uid="{00000000-0005-0000-0000-000009280000}"/>
    <cellStyle name="Normal 2 2 19 2 2 2" xfId="10217" xr:uid="{00000000-0005-0000-0000-00000A280000}"/>
    <cellStyle name="Normal 2 2 19 2 2 2 2" xfId="10218" xr:uid="{00000000-0005-0000-0000-00000B280000}"/>
    <cellStyle name="Normal 2 2 19 2 2 2 3" xfId="10219" xr:uid="{00000000-0005-0000-0000-00000C280000}"/>
    <cellStyle name="Normal 2 2 19 2 2 3" xfId="10220" xr:uid="{00000000-0005-0000-0000-00000D280000}"/>
    <cellStyle name="Normal 2 2 19 2 2 4" xfId="10221" xr:uid="{00000000-0005-0000-0000-00000E280000}"/>
    <cellStyle name="Normal 2 2 19 2 3" xfId="10222" xr:uid="{00000000-0005-0000-0000-00000F280000}"/>
    <cellStyle name="Normal 2 2 19 2 3 2" xfId="10223" xr:uid="{00000000-0005-0000-0000-000010280000}"/>
    <cellStyle name="Normal 2 2 19 2 3 3" xfId="10224" xr:uid="{00000000-0005-0000-0000-000011280000}"/>
    <cellStyle name="Normal 2 2 19 2 4" xfId="10225" xr:uid="{00000000-0005-0000-0000-000012280000}"/>
    <cellStyle name="Normal 2 2 19 2 5" xfId="10226" xr:uid="{00000000-0005-0000-0000-000013280000}"/>
    <cellStyle name="Normal 2 2 19 3" xfId="10227" xr:uid="{00000000-0005-0000-0000-000014280000}"/>
    <cellStyle name="Normal 2 2 19 3 2" xfId="10228" xr:uid="{00000000-0005-0000-0000-000015280000}"/>
    <cellStyle name="Normal 2 2 19 3 2 2" xfId="10229" xr:uid="{00000000-0005-0000-0000-000016280000}"/>
    <cellStyle name="Normal 2 2 19 3 2 3" xfId="10230" xr:uid="{00000000-0005-0000-0000-000017280000}"/>
    <cellStyle name="Normal 2 2 19 3 3" xfId="10231" xr:uid="{00000000-0005-0000-0000-000018280000}"/>
    <cellStyle name="Normal 2 2 19 3 4" xfId="10232" xr:uid="{00000000-0005-0000-0000-000019280000}"/>
    <cellStyle name="Normal 2 2 19 4" xfId="10233" xr:uid="{00000000-0005-0000-0000-00001A280000}"/>
    <cellStyle name="Normal 2 2 19 4 2" xfId="10234" xr:uid="{00000000-0005-0000-0000-00001B280000}"/>
    <cellStyle name="Normal 2 2 19 4 3" xfId="10235" xr:uid="{00000000-0005-0000-0000-00001C280000}"/>
    <cellStyle name="Normal 2 2 19 5" xfId="10236" xr:uid="{00000000-0005-0000-0000-00001D280000}"/>
    <cellStyle name="Normal 2 2 19 6" xfId="10237" xr:uid="{00000000-0005-0000-0000-00001E280000}"/>
    <cellStyle name="Normal 2 2 2" xfId="10238" xr:uid="{00000000-0005-0000-0000-00001F280000}"/>
    <cellStyle name="Normal 2 2 2 2" xfId="10239" xr:uid="{00000000-0005-0000-0000-000020280000}"/>
    <cellStyle name="Normal 2 2 2 2 10" xfId="10240" xr:uid="{00000000-0005-0000-0000-000021280000}"/>
    <cellStyle name="Normal 2 2 2 2 2" xfId="10241" xr:uid="{00000000-0005-0000-0000-000022280000}"/>
    <cellStyle name="Normal 2 2 2 2 2 2" xfId="10242" xr:uid="{00000000-0005-0000-0000-000023280000}"/>
    <cellStyle name="Normal 2 2 2 2 2 2 2" xfId="10243" xr:uid="{00000000-0005-0000-0000-000024280000}"/>
    <cellStyle name="Normal 2 2 2 2 2 2 2 2" xfId="10244" xr:uid="{00000000-0005-0000-0000-000025280000}"/>
    <cellStyle name="Normal 2 2 2 2 2 2 2 2 2" xfId="10245" xr:uid="{00000000-0005-0000-0000-000026280000}"/>
    <cellStyle name="Normal 2 2 2 2 2 2 2 2 2 2" xfId="10246" xr:uid="{00000000-0005-0000-0000-000027280000}"/>
    <cellStyle name="Normal 2 2 2 2 2 2 2 2 2 3" xfId="10247" xr:uid="{00000000-0005-0000-0000-000028280000}"/>
    <cellStyle name="Normal 2 2 2 2 2 2 2 2 3" xfId="10248" xr:uid="{00000000-0005-0000-0000-000029280000}"/>
    <cellStyle name="Normal 2 2 2 2 2 2 2 2 4" xfId="10249" xr:uid="{00000000-0005-0000-0000-00002A280000}"/>
    <cellStyle name="Normal 2 2 2 2 2 2 2 3" xfId="10250" xr:uid="{00000000-0005-0000-0000-00002B280000}"/>
    <cellStyle name="Normal 2 2 2 2 2 2 2 3 2" xfId="10251" xr:uid="{00000000-0005-0000-0000-00002C280000}"/>
    <cellStyle name="Normal 2 2 2 2 2 2 2 3 3" xfId="10252" xr:uid="{00000000-0005-0000-0000-00002D280000}"/>
    <cellStyle name="Normal 2 2 2 2 2 2 2 4" xfId="10253" xr:uid="{00000000-0005-0000-0000-00002E280000}"/>
    <cellStyle name="Normal 2 2 2 2 2 2 2 5" xfId="10254" xr:uid="{00000000-0005-0000-0000-00002F280000}"/>
    <cellStyle name="Normal 2 2 2 2 2 2 3" xfId="10255" xr:uid="{00000000-0005-0000-0000-000030280000}"/>
    <cellStyle name="Normal 2 2 2 2 2 2 3 2" xfId="10256" xr:uid="{00000000-0005-0000-0000-000031280000}"/>
    <cellStyle name="Normal 2 2 2 2 2 2 3 2 2" xfId="10257" xr:uid="{00000000-0005-0000-0000-000032280000}"/>
    <cellStyle name="Normal 2 2 2 2 2 2 3 2 3" xfId="10258" xr:uid="{00000000-0005-0000-0000-000033280000}"/>
    <cellStyle name="Normal 2 2 2 2 2 2 3 3" xfId="10259" xr:uid="{00000000-0005-0000-0000-000034280000}"/>
    <cellStyle name="Normal 2 2 2 2 2 2 3 4" xfId="10260" xr:uid="{00000000-0005-0000-0000-000035280000}"/>
    <cellStyle name="Normal 2 2 2 2 2 2 4" xfId="10261" xr:uid="{00000000-0005-0000-0000-000036280000}"/>
    <cellStyle name="Normal 2 2 2 2 2 2 4 2" xfId="10262" xr:uid="{00000000-0005-0000-0000-000037280000}"/>
    <cellStyle name="Normal 2 2 2 2 2 2 4 3" xfId="10263" xr:uid="{00000000-0005-0000-0000-000038280000}"/>
    <cellStyle name="Normal 2 2 2 2 2 2 5" xfId="10264" xr:uid="{00000000-0005-0000-0000-000039280000}"/>
    <cellStyle name="Normal 2 2 2 2 2 2 6" xfId="10265" xr:uid="{00000000-0005-0000-0000-00003A280000}"/>
    <cellStyle name="Normal 2 2 2 2 2 3" xfId="10266" xr:uid="{00000000-0005-0000-0000-00003B280000}"/>
    <cellStyle name="Normal 2 2 2 2 2 3 2" xfId="10267" xr:uid="{00000000-0005-0000-0000-00003C280000}"/>
    <cellStyle name="Normal 2 2 2 2 2 3 2 2" xfId="10268" xr:uid="{00000000-0005-0000-0000-00003D280000}"/>
    <cellStyle name="Normal 2 2 2 2 2 3 2 2 2" xfId="10269" xr:uid="{00000000-0005-0000-0000-00003E280000}"/>
    <cellStyle name="Normal 2 2 2 2 2 3 2 2 3" xfId="10270" xr:uid="{00000000-0005-0000-0000-00003F280000}"/>
    <cellStyle name="Normal 2 2 2 2 2 3 2 3" xfId="10271" xr:uid="{00000000-0005-0000-0000-000040280000}"/>
    <cellStyle name="Normal 2 2 2 2 2 3 2 4" xfId="10272" xr:uid="{00000000-0005-0000-0000-000041280000}"/>
    <cellStyle name="Normal 2 2 2 2 2 3 3" xfId="10273" xr:uid="{00000000-0005-0000-0000-000042280000}"/>
    <cellStyle name="Normal 2 2 2 2 2 3 3 2" xfId="10274" xr:uid="{00000000-0005-0000-0000-000043280000}"/>
    <cellStyle name="Normal 2 2 2 2 2 3 3 3" xfId="10275" xr:uid="{00000000-0005-0000-0000-000044280000}"/>
    <cellStyle name="Normal 2 2 2 2 2 3 4" xfId="10276" xr:uid="{00000000-0005-0000-0000-000045280000}"/>
    <cellStyle name="Normal 2 2 2 2 2 3 5" xfId="10277" xr:uid="{00000000-0005-0000-0000-000046280000}"/>
    <cellStyle name="Normal 2 2 2 2 2 4" xfId="10278" xr:uid="{00000000-0005-0000-0000-000047280000}"/>
    <cellStyle name="Normal 2 2 2 2 2 4 2" xfId="10279" xr:uid="{00000000-0005-0000-0000-000048280000}"/>
    <cellStyle name="Normal 2 2 2 2 2 4 2 2" xfId="10280" xr:uid="{00000000-0005-0000-0000-000049280000}"/>
    <cellStyle name="Normal 2 2 2 2 2 4 2 3" xfId="10281" xr:uid="{00000000-0005-0000-0000-00004A280000}"/>
    <cellStyle name="Normal 2 2 2 2 2 4 3" xfId="10282" xr:uid="{00000000-0005-0000-0000-00004B280000}"/>
    <cellStyle name="Normal 2 2 2 2 2 4 4" xfId="10283" xr:uid="{00000000-0005-0000-0000-00004C280000}"/>
    <cellStyle name="Normal 2 2 2 2 2 5" xfId="10284" xr:uid="{00000000-0005-0000-0000-00004D280000}"/>
    <cellStyle name="Normal 2 2 2 2 2 5 2" xfId="10285" xr:uid="{00000000-0005-0000-0000-00004E280000}"/>
    <cellStyle name="Normal 2 2 2 2 2 5 3" xfId="10286" xr:uid="{00000000-0005-0000-0000-00004F280000}"/>
    <cellStyle name="Normal 2 2 2 2 2 6" xfId="10287" xr:uid="{00000000-0005-0000-0000-000050280000}"/>
    <cellStyle name="Normal 2 2 2 2 2 7" xfId="10288" xr:uid="{00000000-0005-0000-0000-000051280000}"/>
    <cellStyle name="Normal 2 2 2 2 3" xfId="10289" xr:uid="{00000000-0005-0000-0000-000052280000}"/>
    <cellStyle name="Normal 2 2 2 2 3 2" xfId="10290" xr:uid="{00000000-0005-0000-0000-000053280000}"/>
    <cellStyle name="Normal 2 2 2 2 3 2 2" xfId="10291" xr:uid="{00000000-0005-0000-0000-000054280000}"/>
    <cellStyle name="Normal 2 2 2 2 3 2 2 2" xfId="10292" xr:uid="{00000000-0005-0000-0000-000055280000}"/>
    <cellStyle name="Normal 2 2 2 2 3 2 2 2 2" xfId="10293" xr:uid="{00000000-0005-0000-0000-000056280000}"/>
    <cellStyle name="Normal 2 2 2 2 3 2 2 2 3" xfId="10294" xr:uid="{00000000-0005-0000-0000-000057280000}"/>
    <cellStyle name="Normal 2 2 2 2 3 2 2 3" xfId="10295" xr:uid="{00000000-0005-0000-0000-000058280000}"/>
    <cellStyle name="Normal 2 2 2 2 3 2 2 4" xfId="10296" xr:uid="{00000000-0005-0000-0000-000059280000}"/>
    <cellStyle name="Normal 2 2 2 2 3 2 3" xfId="10297" xr:uid="{00000000-0005-0000-0000-00005A280000}"/>
    <cellStyle name="Normal 2 2 2 2 3 2 3 2" xfId="10298" xr:uid="{00000000-0005-0000-0000-00005B280000}"/>
    <cellStyle name="Normal 2 2 2 2 3 2 3 3" xfId="10299" xr:uid="{00000000-0005-0000-0000-00005C280000}"/>
    <cellStyle name="Normal 2 2 2 2 3 2 4" xfId="10300" xr:uid="{00000000-0005-0000-0000-00005D280000}"/>
    <cellStyle name="Normal 2 2 2 2 3 2 5" xfId="10301" xr:uid="{00000000-0005-0000-0000-00005E280000}"/>
    <cellStyle name="Normal 2 2 2 2 3 3" xfId="10302" xr:uid="{00000000-0005-0000-0000-00005F280000}"/>
    <cellStyle name="Normal 2 2 2 2 3 3 2" xfId="10303" xr:uid="{00000000-0005-0000-0000-000060280000}"/>
    <cellStyle name="Normal 2 2 2 2 3 3 2 2" xfId="10304" xr:uid="{00000000-0005-0000-0000-000061280000}"/>
    <cellStyle name="Normal 2 2 2 2 3 3 2 3" xfId="10305" xr:uid="{00000000-0005-0000-0000-000062280000}"/>
    <cellStyle name="Normal 2 2 2 2 3 3 3" xfId="10306" xr:uid="{00000000-0005-0000-0000-000063280000}"/>
    <cellStyle name="Normal 2 2 2 2 3 3 4" xfId="10307" xr:uid="{00000000-0005-0000-0000-000064280000}"/>
    <cellStyle name="Normal 2 2 2 2 3 4" xfId="10308" xr:uid="{00000000-0005-0000-0000-000065280000}"/>
    <cellStyle name="Normal 2 2 2 2 3 4 2" xfId="10309" xr:uid="{00000000-0005-0000-0000-000066280000}"/>
    <cellStyle name="Normal 2 2 2 2 3 4 3" xfId="10310" xr:uid="{00000000-0005-0000-0000-000067280000}"/>
    <cellStyle name="Normal 2 2 2 2 3 5" xfId="10311" xr:uid="{00000000-0005-0000-0000-000068280000}"/>
    <cellStyle name="Normal 2 2 2 2 3 6" xfId="10312" xr:uid="{00000000-0005-0000-0000-000069280000}"/>
    <cellStyle name="Normal 2 2 2 2 4" xfId="10313" xr:uid="{00000000-0005-0000-0000-00006A280000}"/>
    <cellStyle name="Normal 2 2 2 2 4 2" xfId="10314" xr:uid="{00000000-0005-0000-0000-00006B280000}"/>
    <cellStyle name="Normal 2 2 2 2 4 2 2" xfId="10315" xr:uid="{00000000-0005-0000-0000-00006C280000}"/>
    <cellStyle name="Normal 2 2 2 2 4 2 2 2" xfId="10316" xr:uid="{00000000-0005-0000-0000-00006D280000}"/>
    <cellStyle name="Normal 2 2 2 2 4 2 2 2 2" xfId="10317" xr:uid="{00000000-0005-0000-0000-00006E280000}"/>
    <cellStyle name="Normal 2 2 2 2 4 2 2 2 3" xfId="10318" xr:uid="{00000000-0005-0000-0000-00006F280000}"/>
    <cellStyle name="Normal 2 2 2 2 4 2 2 3" xfId="10319" xr:uid="{00000000-0005-0000-0000-000070280000}"/>
    <cellStyle name="Normal 2 2 2 2 4 2 2 4" xfId="10320" xr:uid="{00000000-0005-0000-0000-000071280000}"/>
    <cellStyle name="Normal 2 2 2 2 4 2 3" xfId="10321" xr:uid="{00000000-0005-0000-0000-000072280000}"/>
    <cellStyle name="Normal 2 2 2 2 4 2 3 2" xfId="10322" xr:uid="{00000000-0005-0000-0000-000073280000}"/>
    <cellStyle name="Normal 2 2 2 2 4 2 3 3" xfId="10323" xr:uid="{00000000-0005-0000-0000-000074280000}"/>
    <cellStyle name="Normal 2 2 2 2 4 2 4" xfId="10324" xr:uid="{00000000-0005-0000-0000-000075280000}"/>
    <cellStyle name="Normal 2 2 2 2 4 2 5" xfId="10325" xr:uid="{00000000-0005-0000-0000-000076280000}"/>
    <cellStyle name="Normal 2 2 2 2 4 3" xfId="10326" xr:uid="{00000000-0005-0000-0000-000077280000}"/>
    <cellStyle name="Normal 2 2 2 2 4 3 2" xfId="10327" xr:uid="{00000000-0005-0000-0000-000078280000}"/>
    <cellStyle name="Normal 2 2 2 2 4 3 2 2" xfId="10328" xr:uid="{00000000-0005-0000-0000-000079280000}"/>
    <cellStyle name="Normal 2 2 2 2 4 3 2 3" xfId="10329" xr:uid="{00000000-0005-0000-0000-00007A280000}"/>
    <cellStyle name="Normal 2 2 2 2 4 3 3" xfId="10330" xr:uid="{00000000-0005-0000-0000-00007B280000}"/>
    <cellStyle name="Normal 2 2 2 2 4 3 4" xfId="10331" xr:uid="{00000000-0005-0000-0000-00007C280000}"/>
    <cellStyle name="Normal 2 2 2 2 4 4" xfId="10332" xr:uid="{00000000-0005-0000-0000-00007D280000}"/>
    <cellStyle name="Normal 2 2 2 2 4 4 2" xfId="10333" xr:uid="{00000000-0005-0000-0000-00007E280000}"/>
    <cellStyle name="Normal 2 2 2 2 4 4 3" xfId="10334" xr:uid="{00000000-0005-0000-0000-00007F280000}"/>
    <cellStyle name="Normal 2 2 2 2 4 5" xfId="10335" xr:uid="{00000000-0005-0000-0000-000080280000}"/>
    <cellStyle name="Normal 2 2 2 2 4 6" xfId="10336" xr:uid="{00000000-0005-0000-0000-000081280000}"/>
    <cellStyle name="Normal 2 2 2 2 5" xfId="10337" xr:uid="{00000000-0005-0000-0000-000082280000}"/>
    <cellStyle name="Normal 2 2 2 2 5 2" xfId="10338" xr:uid="{00000000-0005-0000-0000-000083280000}"/>
    <cellStyle name="Normal 2 2 2 2 5 2 2" xfId="10339" xr:uid="{00000000-0005-0000-0000-000084280000}"/>
    <cellStyle name="Normal 2 2 2 2 5 2 2 2" xfId="10340" xr:uid="{00000000-0005-0000-0000-000085280000}"/>
    <cellStyle name="Normal 2 2 2 2 5 2 2 2 2" xfId="10341" xr:uid="{00000000-0005-0000-0000-000086280000}"/>
    <cellStyle name="Normal 2 2 2 2 5 2 2 2 3" xfId="10342" xr:uid="{00000000-0005-0000-0000-000087280000}"/>
    <cellStyle name="Normal 2 2 2 2 5 2 2 3" xfId="10343" xr:uid="{00000000-0005-0000-0000-000088280000}"/>
    <cellStyle name="Normal 2 2 2 2 5 2 2 4" xfId="10344" xr:uid="{00000000-0005-0000-0000-000089280000}"/>
    <cellStyle name="Normal 2 2 2 2 5 2 3" xfId="10345" xr:uid="{00000000-0005-0000-0000-00008A280000}"/>
    <cellStyle name="Normal 2 2 2 2 5 2 3 2" xfId="10346" xr:uid="{00000000-0005-0000-0000-00008B280000}"/>
    <cellStyle name="Normal 2 2 2 2 5 2 3 3" xfId="10347" xr:uid="{00000000-0005-0000-0000-00008C280000}"/>
    <cellStyle name="Normal 2 2 2 2 5 2 4" xfId="10348" xr:uid="{00000000-0005-0000-0000-00008D280000}"/>
    <cellStyle name="Normal 2 2 2 2 5 2 5" xfId="10349" xr:uid="{00000000-0005-0000-0000-00008E280000}"/>
    <cellStyle name="Normal 2 2 2 2 5 3" xfId="10350" xr:uid="{00000000-0005-0000-0000-00008F280000}"/>
    <cellStyle name="Normal 2 2 2 2 5 3 2" xfId="10351" xr:uid="{00000000-0005-0000-0000-000090280000}"/>
    <cellStyle name="Normal 2 2 2 2 5 3 2 2" xfId="10352" xr:uid="{00000000-0005-0000-0000-000091280000}"/>
    <cellStyle name="Normal 2 2 2 2 5 3 2 3" xfId="10353" xr:uid="{00000000-0005-0000-0000-000092280000}"/>
    <cellStyle name="Normal 2 2 2 2 5 3 3" xfId="10354" xr:uid="{00000000-0005-0000-0000-000093280000}"/>
    <cellStyle name="Normal 2 2 2 2 5 3 4" xfId="10355" xr:uid="{00000000-0005-0000-0000-000094280000}"/>
    <cellStyle name="Normal 2 2 2 2 5 4" xfId="10356" xr:uid="{00000000-0005-0000-0000-000095280000}"/>
    <cellStyle name="Normal 2 2 2 2 5 4 2" xfId="10357" xr:uid="{00000000-0005-0000-0000-000096280000}"/>
    <cellStyle name="Normal 2 2 2 2 5 4 3" xfId="10358" xr:uid="{00000000-0005-0000-0000-000097280000}"/>
    <cellStyle name="Normal 2 2 2 2 5 5" xfId="10359" xr:uid="{00000000-0005-0000-0000-000098280000}"/>
    <cellStyle name="Normal 2 2 2 2 5 6" xfId="10360" xr:uid="{00000000-0005-0000-0000-000099280000}"/>
    <cellStyle name="Normal 2 2 2 2 6" xfId="10361" xr:uid="{00000000-0005-0000-0000-00009A280000}"/>
    <cellStyle name="Normal 2 2 2 2 6 2" xfId="10362" xr:uid="{00000000-0005-0000-0000-00009B280000}"/>
    <cellStyle name="Normal 2 2 2 2 6 2 2" xfId="10363" xr:uid="{00000000-0005-0000-0000-00009C280000}"/>
    <cellStyle name="Normal 2 2 2 2 6 2 2 2" xfId="10364" xr:uid="{00000000-0005-0000-0000-00009D280000}"/>
    <cellStyle name="Normal 2 2 2 2 6 2 2 3" xfId="10365" xr:uid="{00000000-0005-0000-0000-00009E280000}"/>
    <cellStyle name="Normal 2 2 2 2 6 2 3" xfId="10366" xr:uid="{00000000-0005-0000-0000-00009F280000}"/>
    <cellStyle name="Normal 2 2 2 2 6 2 4" xfId="10367" xr:uid="{00000000-0005-0000-0000-0000A0280000}"/>
    <cellStyle name="Normal 2 2 2 2 6 3" xfId="10368" xr:uid="{00000000-0005-0000-0000-0000A1280000}"/>
    <cellStyle name="Normal 2 2 2 2 6 3 2" xfId="10369" xr:uid="{00000000-0005-0000-0000-0000A2280000}"/>
    <cellStyle name="Normal 2 2 2 2 6 3 3" xfId="10370" xr:uid="{00000000-0005-0000-0000-0000A3280000}"/>
    <cellStyle name="Normal 2 2 2 2 6 4" xfId="10371" xr:uid="{00000000-0005-0000-0000-0000A4280000}"/>
    <cellStyle name="Normal 2 2 2 2 6 5" xfId="10372" xr:uid="{00000000-0005-0000-0000-0000A5280000}"/>
    <cellStyle name="Normal 2 2 2 2 7" xfId="10373" xr:uid="{00000000-0005-0000-0000-0000A6280000}"/>
    <cellStyle name="Normal 2 2 2 2 7 2" xfId="10374" xr:uid="{00000000-0005-0000-0000-0000A7280000}"/>
    <cellStyle name="Normal 2 2 2 2 7 2 2" xfId="10375" xr:uid="{00000000-0005-0000-0000-0000A8280000}"/>
    <cellStyle name="Normal 2 2 2 2 7 2 3" xfId="10376" xr:uid="{00000000-0005-0000-0000-0000A9280000}"/>
    <cellStyle name="Normal 2 2 2 2 7 3" xfId="10377" xr:uid="{00000000-0005-0000-0000-0000AA280000}"/>
    <cellStyle name="Normal 2 2 2 2 7 4" xfId="10378" xr:uid="{00000000-0005-0000-0000-0000AB280000}"/>
    <cellStyle name="Normal 2 2 2 2 8" xfId="10379" xr:uid="{00000000-0005-0000-0000-0000AC280000}"/>
    <cellStyle name="Normal 2 2 2 2 8 2" xfId="10380" xr:uid="{00000000-0005-0000-0000-0000AD280000}"/>
    <cellStyle name="Normal 2 2 2 2 8 3" xfId="10381" xr:uid="{00000000-0005-0000-0000-0000AE280000}"/>
    <cellStyle name="Normal 2 2 2 2 9" xfId="10382" xr:uid="{00000000-0005-0000-0000-0000AF280000}"/>
    <cellStyle name="Normal 2 2 2 3" xfId="10383" xr:uid="{00000000-0005-0000-0000-0000B0280000}"/>
    <cellStyle name="Normal 2 2 2 4" xfId="10384" xr:uid="{00000000-0005-0000-0000-0000B1280000}"/>
    <cellStyle name="Normal 2 2 2 4 2" xfId="10385" xr:uid="{00000000-0005-0000-0000-0000B2280000}"/>
    <cellStyle name="Normal 2 2 2 5" xfId="10386" xr:uid="{00000000-0005-0000-0000-0000B3280000}"/>
    <cellStyle name="Normal 2 2 2 5 2" xfId="10387" xr:uid="{00000000-0005-0000-0000-0000B4280000}"/>
    <cellStyle name="Normal 2 2 2 6" xfId="10388" xr:uid="{00000000-0005-0000-0000-0000B5280000}"/>
    <cellStyle name="Normal 2 2 20" xfId="10389" xr:uid="{00000000-0005-0000-0000-0000B6280000}"/>
    <cellStyle name="Normal 2 2 20 2" xfId="10390" xr:uid="{00000000-0005-0000-0000-0000B7280000}"/>
    <cellStyle name="Normal 2 2 20 2 2" xfId="10391" xr:uid="{00000000-0005-0000-0000-0000B8280000}"/>
    <cellStyle name="Normal 2 2 20 2 2 2" xfId="10392" xr:uid="{00000000-0005-0000-0000-0000B9280000}"/>
    <cellStyle name="Normal 2 2 20 2 2 2 2" xfId="10393" xr:uid="{00000000-0005-0000-0000-0000BA280000}"/>
    <cellStyle name="Normal 2 2 20 2 2 2 3" xfId="10394" xr:uid="{00000000-0005-0000-0000-0000BB280000}"/>
    <cellStyle name="Normal 2 2 20 2 2 3" xfId="10395" xr:uid="{00000000-0005-0000-0000-0000BC280000}"/>
    <cellStyle name="Normal 2 2 20 2 2 4" xfId="10396" xr:uid="{00000000-0005-0000-0000-0000BD280000}"/>
    <cellStyle name="Normal 2 2 20 2 3" xfId="10397" xr:uid="{00000000-0005-0000-0000-0000BE280000}"/>
    <cellStyle name="Normal 2 2 20 2 3 2" xfId="10398" xr:uid="{00000000-0005-0000-0000-0000BF280000}"/>
    <cellStyle name="Normal 2 2 20 2 3 3" xfId="10399" xr:uid="{00000000-0005-0000-0000-0000C0280000}"/>
    <cellStyle name="Normal 2 2 20 2 4" xfId="10400" xr:uid="{00000000-0005-0000-0000-0000C1280000}"/>
    <cellStyle name="Normal 2 2 20 2 5" xfId="10401" xr:uid="{00000000-0005-0000-0000-0000C2280000}"/>
    <cellStyle name="Normal 2 2 20 3" xfId="10402" xr:uid="{00000000-0005-0000-0000-0000C3280000}"/>
    <cellStyle name="Normal 2 2 20 3 2" xfId="10403" xr:uid="{00000000-0005-0000-0000-0000C4280000}"/>
    <cellStyle name="Normal 2 2 20 3 2 2" xfId="10404" xr:uid="{00000000-0005-0000-0000-0000C5280000}"/>
    <cellStyle name="Normal 2 2 20 3 2 3" xfId="10405" xr:uid="{00000000-0005-0000-0000-0000C6280000}"/>
    <cellStyle name="Normal 2 2 20 3 3" xfId="10406" xr:uid="{00000000-0005-0000-0000-0000C7280000}"/>
    <cellStyle name="Normal 2 2 20 3 4" xfId="10407" xr:uid="{00000000-0005-0000-0000-0000C8280000}"/>
    <cellStyle name="Normal 2 2 20 4" xfId="10408" xr:uid="{00000000-0005-0000-0000-0000C9280000}"/>
    <cellStyle name="Normal 2 2 20 4 2" xfId="10409" xr:uid="{00000000-0005-0000-0000-0000CA280000}"/>
    <cellStyle name="Normal 2 2 20 4 3" xfId="10410" xr:uid="{00000000-0005-0000-0000-0000CB280000}"/>
    <cellStyle name="Normal 2 2 20 5" xfId="10411" xr:uid="{00000000-0005-0000-0000-0000CC280000}"/>
    <cellStyle name="Normal 2 2 20 6" xfId="10412" xr:uid="{00000000-0005-0000-0000-0000CD280000}"/>
    <cellStyle name="Normal 2 2 21" xfId="10413" xr:uid="{00000000-0005-0000-0000-0000CE280000}"/>
    <cellStyle name="Normal 2 2 21 2" xfId="10414" xr:uid="{00000000-0005-0000-0000-0000CF280000}"/>
    <cellStyle name="Normal 2 2 21 2 2" xfId="10415" xr:uid="{00000000-0005-0000-0000-0000D0280000}"/>
    <cellStyle name="Normal 2 2 21 2 2 2" xfId="10416" xr:uid="{00000000-0005-0000-0000-0000D1280000}"/>
    <cellStyle name="Normal 2 2 21 2 2 2 2" xfId="10417" xr:uid="{00000000-0005-0000-0000-0000D2280000}"/>
    <cellStyle name="Normal 2 2 21 2 2 2 3" xfId="10418" xr:uid="{00000000-0005-0000-0000-0000D3280000}"/>
    <cellStyle name="Normal 2 2 21 2 2 3" xfId="10419" xr:uid="{00000000-0005-0000-0000-0000D4280000}"/>
    <cellStyle name="Normal 2 2 21 2 2 4" xfId="10420" xr:uid="{00000000-0005-0000-0000-0000D5280000}"/>
    <cellStyle name="Normal 2 2 21 2 3" xfId="10421" xr:uid="{00000000-0005-0000-0000-0000D6280000}"/>
    <cellStyle name="Normal 2 2 21 2 3 2" xfId="10422" xr:uid="{00000000-0005-0000-0000-0000D7280000}"/>
    <cellStyle name="Normal 2 2 21 2 3 3" xfId="10423" xr:uid="{00000000-0005-0000-0000-0000D8280000}"/>
    <cellStyle name="Normal 2 2 21 2 4" xfId="10424" xr:uid="{00000000-0005-0000-0000-0000D9280000}"/>
    <cellStyle name="Normal 2 2 21 2 5" xfId="10425" xr:uid="{00000000-0005-0000-0000-0000DA280000}"/>
    <cellStyle name="Normal 2 2 21 3" xfId="10426" xr:uid="{00000000-0005-0000-0000-0000DB280000}"/>
    <cellStyle name="Normal 2 2 21 3 2" xfId="10427" xr:uid="{00000000-0005-0000-0000-0000DC280000}"/>
    <cellStyle name="Normal 2 2 21 3 2 2" xfId="10428" xr:uid="{00000000-0005-0000-0000-0000DD280000}"/>
    <cellStyle name="Normal 2 2 21 3 2 3" xfId="10429" xr:uid="{00000000-0005-0000-0000-0000DE280000}"/>
    <cellStyle name="Normal 2 2 21 3 3" xfId="10430" xr:uid="{00000000-0005-0000-0000-0000DF280000}"/>
    <cellStyle name="Normal 2 2 21 3 4" xfId="10431" xr:uid="{00000000-0005-0000-0000-0000E0280000}"/>
    <cellStyle name="Normal 2 2 21 4" xfId="10432" xr:uid="{00000000-0005-0000-0000-0000E1280000}"/>
    <cellStyle name="Normal 2 2 21 4 2" xfId="10433" xr:uid="{00000000-0005-0000-0000-0000E2280000}"/>
    <cellStyle name="Normal 2 2 21 4 3" xfId="10434" xr:uid="{00000000-0005-0000-0000-0000E3280000}"/>
    <cellStyle name="Normal 2 2 21 5" xfId="10435" xr:uid="{00000000-0005-0000-0000-0000E4280000}"/>
    <cellStyle name="Normal 2 2 21 6" xfId="10436" xr:uid="{00000000-0005-0000-0000-0000E5280000}"/>
    <cellStyle name="Normal 2 2 22" xfId="10437" xr:uid="{00000000-0005-0000-0000-0000E6280000}"/>
    <cellStyle name="Normal 2 2 22 2" xfId="10438" xr:uid="{00000000-0005-0000-0000-0000E7280000}"/>
    <cellStyle name="Normal 2 2 22 2 2" xfId="10439" xr:uid="{00000000-0005-0000-0000-0000E8280000}"/>
    <cellStyle name="Normal 2 2 22 2 2 2" xfId="10440" xr:uid="{00000000-0005-0000-0000-0000E9280000}"/>
    <cellStyle name="Normal 2 2 22 2 2 2 2" xfId="10441" xr:uid="{00000000-0005-0000-0000-0000EA280000}"/>
    <cellStyle name="Normal 2 2 22 2 2 2 3" xfId="10442" xr:uid="{00000000-0005-0000-0000-0000EB280000}"/>
    <cellStyle name="Normal 2 2 22 2 2 3" xfId="10443" xr:uid="{00000000-0005-0000-0000-0000EC280000}"/>
    <cellStyle name="Normal 2 2 22 2 2 4" xfId="10444" xr:uid="{00000000-0005-0000-0000-0000ED280000}"/>
    <cellStyle name="Normal 2 2 22 2 3" xfId="10445" xr:uid="{00000000-0005-0000-0000-0000EE280000}"/>
    <cellStyle name="Normal 2 2 22 2 3 2" xfId="10446" xr:uid="{00000000-0005-0000-0000-0000EF280000}"/>
    <cellStyle name="Normal 2 2 22 2 3 3" xfId="10447" xr:uid="{00000000-0005-0000-0000-0000F0280000}"/>
    <cellStyle name="Normal 2 2 22 2 4" xfId="10448" xr:uid="{00000000-0005-0000-0000-0000F1280000}"/>
    <cellStyle name="Normal 2 2 22 2 5" xfId="10449" xr:uid="{00000000-0005-0000-0000-0000F2280000}"/>
    <cellStyle name="Normal 2 2 22 3" xfId="10450" xr:uid="{00000000-0005-0000-0000-0000F3280000}"/>
    <cellStyle name="Normal 2 2 22 3 2" xfId="10451" xr:uid="{00000000-0005-0000-0000-0000F4280000}"/>
    <cellStyle name="Normal 2 2 22 3 2 2" xfId="10452" xr:uid="{00000000-0005-0000-0000-0000F5280000}"/>
    <cellStyle name="Normal 2 2 22 3 2 3" xfId="10453" xr:uid="{00000000-0005-0000-0000-0000F6280000}"/>
    <cellStyle name="Normal 2 2 22 3 3" xfId="10454" xr:uid="{00000000-0005-0000-0000-0000F7280000}"/>
    <cellStyle name="Normal 2 2 22 3 4" xfId="10455" xr:uid="{00000000-0005-0000-0000-0000F8280000}"/>
    <cellStyle name="Normal 2 2 22 4" xfId="10456" xr:uid="{00000000-0005-0000-0000-0000F9280000}"/>
    <cellStyle name="Normal 2 2 22 4 2" xfId="10457" xr:uid="{00000000-0005-0000-0000-0000FA280000}"/>
    <cellStyle name="Normal 2 2 22 4 3" xfId="10458" xr:uid="{00000000-0005-0000-0000-0000FB280000}"/>
    <cellStyle name="Normal 2 2 22 5" xfId="10459" xr:uid="{00000000-0005-0000-0000-0000FC280000}"/>
    <cellStyle name="Normal 2 2 22 6" xfId="10460" xr:uid="{00000000-0005-0000-0000-0000FD280000}"/>
    <cellStyle name="Normal 2 2 23" xfId="10461" xr:uid="{00000000-0005-0000-0000-0000FE280000}"/>
    <cellStyle name="Normal 2 2 23 2" xfId="10462" xr:uid="{00000000-0005-0000-0000-0000FF280000}"/>
    <cellStyle name="Normal 2 2 24" xfId="10463" xr:uid="{00000000-0005-0000-0000-000000290000}"/>
    <cellStyle name="Normal 2 2 24 2" xfId="10464" xr:uid="{00000000-0005-0000-0000-000001290000}"/>
    <cellStyle name="Normal 2 2 25" xfId="10465" xr:uid="{00000000-0005-0000-0000-000002290000}"/>
    <cellStyle name="Normal 2 2 26" xfId="10466" xr:uid="{00000000-0005-0000-0000-000003290000}"/>
    <cellStyle name="Normal 2 2 27" xfId="10467" xr:uid="{00000000-0005-0000-0000-000004290000}"/>
    <cellStyle name="Normal 2 2 28" xfId="10468" xr:uid="{00000000-0005-0000-0000-000005290000}"/>
    <cellStyle name="Normal 2 2 29" xfId="10469" xr:uid="{00000000-0005-0000-0000-000006290000}"/>
    <cellStyle name="Normal 2 2 3" xfId="10470" xr:uid="{00000000-0005-0000-0000-000007290000}"/>
    <cellStyle name="Normal 2 2 3 10" xfId="10471" xr:uid="{00000000-0005-0000-0000-000008290000}"/>
    <cellStyle name="Normal 2 2 3 10 2" xfId="10472" xr:uid="{00000000-0005-0000-0000-000009290000}"/>
    <cellStyle name="Normal 2 2 3 10 2 2" xfId="10473" xr:uid="{00000000-0005-0000-0000-00000A290000}"/>
    <cellStyle name="Normal 2 2 3 10 2 3" xfId="10474" xr:uid="{00000000-0005-0000-0000-00000B290000}"/>
    <cellStyle name="Normal 2 2 3 10 3" xfId="10475" xr:uid="{00000000-0005-0000-0000-00000C290000}"/>
    <cellStyle name="Normal 2 2 3 10 4" xfId="10476" xr:uid="{00000000-0005-0000-0000-00000D290000}"/>
    <cellStyle name="Normal 2 2 3 11" xfId="10477" xr:uid="{00000000-0005-0000-0000-00000E290000}"/>
    <cellStyle name="Normal 2 2 3 11 2" xfId="10478" xr:uid="{00000000-0005-0000-0000-00000F290000}"/>
    <cellStyle name="Normal 2 2 3 11 3" xfId="10479" xr:uid="{00000000-0005-0000-0000-000010290000}"/>
    <cellStyle name="Normal 2 2 3 12" xfId="10480" xr:uid="{00000000-0005-0000-0000-000011290000}"/>
    <cellStyle name="Normal 2 2 3 13" xfId="10481" xr:uid="{00000000-0005-0000-0000-000012290000}"/>
    <cellStyle name="Normal 2 2 3 2" xfId="10482" xr:uid="{00000000-0005-0000-0000-000013290000}"/>
    <cellStyle name="Normal 2 2 3 2 2" xfId="10483" xr:uid="{00000000-0005-0000-0000-000014290000}"/>
    <cellStyle name="Normal 2 2 3 2 2 2" xfId="10484" xr:uid="{00000000-0005-0000-0000-000015290000}"/>
    <cellStyle name="Normal 2 2 3 2 2 2 2" xfId="10485" xr:uid="{00000000-0005-0000-0000-000016290000}"/>
    <cellStyle name="Normal 2 2 3 2 2 2 2 2" xfId="10486" xr:uid="{00000000-0005-0000-0000-000017290000}"/>
    <cellStyle name="Normal 2 2 3 2 2 2 2 3" xfId="10487" xr:uid="{00000000-0005-0000-0000-000018290000}"/>
    <cellStyle name="Normal 2 2 3 2 2 2 3" xfId="10488" xr:uid="{00000000-0005-0000-0000-000019290000}"/>
    <cellStyle name="Normal 2 2 3 2 2 2 4" xfId="10489" xr:uid="{00000000-0005-0000-0000-00001A290000}"/>
    <cellStyle name="Normal 2 2 3 2 2 3" xfId="10490" xr:uid="{00000000-0005-0000-0000-00001B290000}"/>
    <cellStyle name="Normal 2 2 3 2 2 3 2" xfId="10491" xr:uid="{00000000-0005-0000-0000-00001C290000}"/>
    <cellStyle name="Normal 2 2 3 2 2 3 3" xfId="10492" xr:uid="{00000000-0005-0000-0000-00001D290000}"/>
    <cellStyle name="Normal 2 2 3 2 2 4" xfId="10493" xr:uid="{00000000-0005-0000-0000-00001E290000}"/>
    <cellStyle name="Normal 2 2 3 2 2 5" xfId="10494" xr:uid="{00000000-0005-0000-0000-00001F290000}"/>
    <cellStyle name="Normal 2 2 3 2 3" xfId="10495" xr:uid="{00000000-0005-0000-0000-000020290000}"/>
    <cellStyle name="Normal 2 2 3 2 3 2" xfId="10496" xr:uid="{00000000-0005-0000-0000-000021290000}"/>
    <cellStyle name="Normal 2 2 3 2 3 2 2" xfId="10497" xr:uid="{00000000-0005-0000-0000-000022290000}"/>
    <cellStyle name="Normal 2 2 3 2 3 2 3" xfId="10498" xr:uid="{00000000-0005-0000-0000-000023290000}"/>
    <cellStyle name="Normal 2 2 3 2 3 3" xfId="10499" xr:uid="{00000000-0005-0000-0000-000024290000}"/>
    <cellStyle name="Normal 2 2 3 2 3 4" xfId="10500" xr:uid="{00000000-0005-0000-0000-000025290000}"/>
    <cellStyle name="Normal 2 2 3 2 4" xfId="10501" xr:uid="{00000000-0005-0000-0000-000026290000}"/>
    <cellStyle name="Normal 2 2 3 2 4 2" xfId="10502" xr:uid="{00000000-0005-0000-0000-000027290000}"/>
    <cellStyle name="Normal 2 2 3 2 4 3" xfId="10503" xr:uid="{00000000-0005-0000-0000-000028290000}"/>
    <cellStyle name="Normal 2 2 3 2 5" xfId="10504" xr:uid="{00000000-0005-0000-0000-000029290000}"/>
    <cellStyle name="Normal 2 2 3 2 6" xfId="10505" xr:uid="{00000000-0005-0000-0000-00002A290000}"/>
    <cellStyle name="Normal 2 2 3 3" xfId="10506" xr:uid="{00000000-0005-0000-0000-00002B290000}"/>
    <cellStyle name="Normal 2 2 3 3 2" xfId="10507" xr:uid="{00000000-0005-0000-0000-00002C290000}"/>
    <cellStyle name="Normal 2 2 3 3 2 2" xfId="10508" xr:uid="{00000000-0005-0000-0000-00002D290000}"/>
    <cellStyle name="Normal 2 2 3 3 2 2 2" xfId="10509" xr:uid="{00000000-0005-0000-0000-00002E290000}"/>
    <cellStyle name="Normal 2 2 3 3 2 2 2 2" xfId="10510" xr:uid="{00000000-0005-0000-0000-00002F290000}"/>
    <cellStyle name="Normal 2 2 3 3 2 2 2 3" xfId="10511" xr:uid="{00000000-0005-0000-0000-000030290000}"/>
    <cellStyle name="Normal 2 2 3 3 2 2 3" xfId="10512" xr:uid="{00000000-0005-0000-0000-000031290000}"/>
    <cellStyle name="Normal 2 2 3 3 2 2 4" xfId="10513" xr:uid="{00000000-0005-0000-0000-000032290000}"/>
    <cellStyle name="Normal 2 2 3 3 2 3" xfId="10514" xr:uid="{00000000-0005-0000-0000-000033290000}"/>
    <cellStyle name="Normal 2 2 3 3 2 3 2" xfId="10515" xr:uid="{00000000-0005-0000-0000-000034290000}"/>
    <cellStyle name="Normal 2 2 3 3 2 3 3" xfId="10516" xr:uid="{00000000-0005-0000-0000-000035290000}"/>
    <cellStyle name="Normal 2 2 3 3 2 4" xfId="10517" xr:uid="{00000000-0005-0000-0000-000036290000}"/>
    <cellStyle name="Normal 2 2 3 3 2 5" xfId="10518" xr:uid="{00000000-0005-0000-0000-000037290000}"/>
    <cellStyle name="Normal 2 2 3 3 3" xfId="10519" xr:uid="{00000000-0005-0000-0000-000038290000}"/>
    <cellStyle name="Normal 2 2 3 3 3 2" xfId="10520" xr:uid="{00000000-0005-0000-0000-000039290000}"/>
    <cellStyle name="Normal 2 2 3 3 3 2 2" xfId="10521" xr:uid="{00000000-0005-0000-0000-00003A290000}"/>
    <cellStyle name="Normal 2 2 3 3 3 2 3" xfId="10522" xr:uid="{00000000-0005-0000-0000-00003B290000}"/>
    <cellStyle name="Normal 2 2 3 3 3 3" xfId="10523" xr:uid="{00000000-0005-0000-0000-00003C290000}"/>
    <cellStyle name="Normal 2 2 3 3 3 4" xfId="10524" xr:uid="{00000000-0005-0000-0000-00003D290000}"/>
    <cellStyle name="Normal 2 2 3 3 4" xfId="10525" xr:uid="{00000000-0005-0000-0000-00003E290000}"/>
    <cellStyle name="Normal 2 2 3 3 4 2" xfId="10526" xr:uid="{00000000-0005-0000-0000-00003F290000}"/>
    <cellStyle name="Normal 2 2 3 3 4 3" xfId="10527" xr:uid="{00000000-0005-0000-0000-000040290000}"/>
    <cellStyle name="Normal 2 2 3 3 5" xfId="10528" xr:uid="{00000000-0005-0000-0000-000041290000}"/>
    <cellStyle name="Normal 2 2 3 3 6" xfId="10529" xr:uid="{00000000-0005-0000-0000-000042290000}"/>
    <cellStyle name="Normal 2 2 3 4" xfId="10530" xr:uid="{00000000-0005-0000-0000-000043290000}"/>
    <cellStyle name="Normal 2 2 3 4 2" xfId="10531" xr:uid="{00000000-0005-0000-0000-000044290000}"/>
    <cellStyle name="Normal 2 2 3 4 2 2" xfId="10532" xr:uid="{00000000-0005-0000-0000-000045290000}"/>
    <cellStyle name="Normal 2 2 3 4 2 2 2" xfId="10533" xr:uid="{00000000-0005-0000-0000-000046290000}"/>
    <cellStyle name="Normal 2 2 3 4 2 2 2 2" xfId="10534" xr:uid="{00000000-0005-0000-0000-000047290000}"/>
    <cellStyle name="Normal 2 2 3 4 2 2 2 3" xfId="10535" xr:uid="{00000000-0005-0000-0000-000048290000}"/>
    <cellStyle name="Normal 2 2 3 4 2 2 3" xfId="10536" xr:uid="{00000000-0005-0000-0000-000049290000}"/>
    <cellStyle name="Normal 2 2 3 4 2 2 4" xfId="10537" xr:uid="{00000000-0005-0000-0000-00004A290000}"/>
    <cellStyle name="Normal 2 2 3 4 2 3" xfId="10538" xr:uid="{00000000-0005-0000-0000-00004B290000}"/>
    <cellStyle name="Normal 2 2 3 4 2 3 2" xfId="10539" xr:uid="{00000000-0005-0000-0000-00004C290000}"/>
    <cellStyle name="Normal 2 2 3 4 2 3 3" xfId="10540" xr:uid="{00000000-0005-0000-0000-00004D290000}"/>
    <cellStyle name="Normal 2 2 3 4 2 4" xfId="10541" xr:uid="{00000000-0005-0000-0000-00004E290000}"/>
    <cellStyle name="Normal 2 2 3 4 2 5" xfId="10542" xr:uid="{00000000-0005-0000-0000-00004F290000}"/>
    <cellStyle name="Normal 2 2 3 4 3" xfId="10543" xr:uid="{00000000-0005-0000-0000-000050290000}"/>
    <cellStyle name="Normal 2 2 3 4 3 2" xfId="10544" xr:uid="{00000000-0005-0000-0000-000051290000}"/>
    <cellStyle name="Normal 2 2 3 4 3 2 2" xfId="10545" xr:uid="{00000000-0005-0000-0000-000052290000}"/>
    <cellStyle name="Normal 2 2 3 4 3 2 3" xfId="10546" xr:uid="{00000000-0005-0000-0000-000053290000}"/>
    <cellStyle name="Normal 2 2 3 4 3 3" xfId="10547" xr:uid="{00000000-0005-0000-0000-000054290000}"/>
    <cellStyle name="Normal 2 2 3 4 3 4" xfId="10548" xr:uid="{00000000-0005-0000-0000-000055290000}"/>
    <cellStyle name="Normal 2 2 3 4 4" xfId="10549" xr:uid="{00000000-0005-0000-0000-000056290000}"/>
    <cellStyle name="Normal 2 2 3 4 4 2" xfId="10550" xr:uid="{00000000-0005-0000-0000-000057290000}"/>
    <cellStyle name="Normal 2 2 3 4 4 3" xfId="10551" xr:uid="{00000000-0005-0000-0000-000058290000}"/>
    <cellStyle name="Normal 2 2 3 4 5" xfId="10552" xr:uid="{00000000-0005-0000-0000-000059290000}"/>
    <cellStyle name="Normal 2 2 3 4 6" xfId="10553" xr:uid="{00000000-0005-0000-0000-00005A290000}"/>
    <cellStyle name="Normal 2 2 3 5" xfId="10554" xr:uid="{00000000-0005-0000-0000-00005B290000}"/>
    <cellStyle name="Normal 2 2 3 5 2" xfId="10555" xr:uid="{00000000-0005-0000-0000-00005C290000}"/>
    <cellStyle name="Normal 2 2 3 5 2 2" xfId="10556" xr:uid="{00000000-0005-0000-0000-00005D290000}"/>
    <cellStyle name="Normal 2 2 3 5 2 2 2" xfId="10557" xr:uid="{00000000-0005-0000-0000-00005E290000}"/>
    <cellStyle name="Normal 2 2 3 5 2 2 2 2" xfId="10558" xr:uid="{00000000-0005-0000-0000-00005F290000}"/>
    <cellStyle name="Normal 2 2 3 5 2 2 2 3" xfId="10559" xr:uid="{00000000-0005-0000-0000-000060290000}"/>
    <cellStyle name="Normal 2 2 3 5 2 2 3" xfId="10560" xr:uid="{00000000-0005-0000-0000-000061290000}"/>
    <cellStyle name="Normal 2 2 3 5 2 2 4" xfId="10561" xr:uid="{00000000-0005-0000-0000-000062290000}"/>
    <cellStyle name="Normal 2 2 3 5 2 3" xfId="10562" xr:uid="{00000000-0005-0000-0000-000063290000}"/>
    <cellStyle name="Normal 2 2 3 5 2 3 2" xfId="10563" xr:uid="{00000000-0005-0000-0000-000064290000}"/>
    <cellStyle name="Normal 2 2 3 5 2 3 3" xfId="10564" xr:uid="{00000000-0005-0000-0000-000065290000}"/>
    <cellStyle name="Normal 2 2 3 5 2 4" xfId="10565" xr:uid="{00000000-0005-0000-0000-000066290000}"/>
    <cellStyle name="Normal 2 2 3 5 2 5" xfId="10566" xr:uid="{00000000-0005-0000-0000-000067290000}"/>
    <cellStyle name="Normal 2 2 3 5 3" xfId="10567" xr:uid="{00000000-0005-0000-0000-000068290000}"/>
    <cellStyle name="Normal 2 2 3 5 3 2" xfId="10568" xr:uid="{00000000-0005-0000-0000-000069290000}"/>
    <cellStyle name="Normal 2 2 3 5 3 2 2" xfId="10569" xr:uid="{00000000-0005-0000-0000-00006A290000}"/>
    <cellStyle name="Normal 2 2 3 5 3 2 3" xfId="10570" xr:uid="{00000000-0005-0000-0000-00006B290000}"/>
    <cellStyle name="Normal 2 2 3 5 3 3" xfId="10571" xr:uid="{00000000-0005-0000-0000-00006C290000}"/>
    <cellStyle name="Normal 2 2 3 5 3 4" xfId="10572" xr:uid="{00000000-0005-0000-0000-00006D290000}"/>
    <cellStyle name="Normal 2 2 3 5 4" xfId="10573" xr:uid="{00000000-0005-0000-0000-00006E290000}"/>
    <cellStyle name="Normal 2 2 3 5 4 2" xfId="10574" xr:uid="{00000000-0005-0000-0000-00006F290000}"/>
    <cellStyle name="Normal 2 2 3 5 4 3" xfId="10575" xr:uid="{00000000-0005-0000-0000-000070290000}"/>
    <cellStyle name="Normal 2 2 3 5 5" xfId="10576" xr:uid="{00000000-0005-0000-0000-000071290000}"/>
    <cellStyle name="Normal 2 2 3 5 6" xfId="10577" xr:uid="{00000000-0005-0000-0000-000072290000}"/>
    <cellStyle name="Normal 2 2 3 6" xfId="10578" xr:uid="{00000000-0005-0000-0000-000073290000}"/>
    <cellStyle name="Normal 2 2 3 6 2" xfId="10579" xr:uid="{00000000-0005-0000-0000-000074290000}"/>
    <cellStyle name="Normal 2 2 3 6 2 2" xfId="10580" xr:uid="{00000000-0005-0000-0000-000075290000}"/>
    <cellStyle name="Normal 2 2 3 6 2 2 2" xfId="10581" xr:uid="{00000000-0005-0000-0000-000076290000}"/>
    <cellStyle name="Normal 2 2 3 6 2 2 2 2" xfId="10582" xr:uid="{00000000-0005-0000-0000-000077290000}"/>
    <cellStyle name="Normal 2 2 3 6 2 2 2 3" xfId="10583" xr:uid="{00000000-0005-0000-0000-000078290000}"/>
    <cellStyle name="Normal 2 2 3 6 2 2 3" xfId="10584" xr:uid="{00000000-0005-0000-0000-000079290000}"/>
    <cellStyle name="Normal 2 2 3 6 2 2 4" xfId="10585" xr:uid="{00000000-0005-0000-0000-00007A290000}"/>
    <cellStyle name="Normal 2 2 3 6 2 3" xfId="10586" xr:uid="{00000000-0005-0000-0000-00007B290000}"/>
    <cellStyle name="Normal 2 2 3 6 2 3 2" xfId="10587" xr:uid="{00000000-0005-0000-0000-00007C290000}"/>
    <cellStyle name="Normal 2 2 3 6 2 3 3" xfId="10588" xr:uid="{00000000-0005-0000-0000-00007D290000}"/>
    <cellStyle name="Normal 2 2 3 6 2 4" xfId="10589" xr:uid="{00000000-0005-0000-0000-00007E290000}"/>
    <cellStyle name="Normal 2 2 3 6 2 5" xfId="10590" xr:uid="{00000000-0005-0000-0000-00007F290000}"/>
    <cellStyle name="Normal 2 2 3 6 3" xfId="10591" xr:uid="{00000000-0005-0000-0000-000080290000}"/>
    <cellStyle name="Normal 2 2 3 6 3 2" xfId="10592" xr:uid="{00000000-0005-0000-0000-000081290000}"/>
    <cellStyle name="Normal 2 2 3 6 3 2 2" xfId="10593" xr:uid="{00000000-0005-0000-0000-000082290000}"/>
    <cellStyle name="Normal 2 2 3 6 3 2 3" xfId="10594" xr:uid="{00000000-0005-0000-0000-000083290000}"/>
    <cellStyle name="Normal 2 2 3 6 3 3" xfId="10595" xr:uid="{00000000-0005-0000-0000-000084290000}"/>
    <cellStyle name="Normal 2 2 3 6 3 4" xfId="10596" xr:uid="{00000000-0005-0000-0000-000085290000}"/>
    <cellStyle name="Normal 2 2 3 6 4" xfId="10597" xr:uid="{00000000-0005-0000-0000-000086290000}"/>
    <cellStyle name="Normal 2 2 3 6 4 2" xfId="10598" xr:uid="{00000000-0005-0000-0000-000087290000}"/>
    <cellStyle name="Normal 2 2 3 6 4 3" xfId="10599" xr:uid="{00000000-0005-0000-0000-000088290000}"/>
    <cellStyle name="Normal 2 2 3 6 5" xfId="10600" xr:uid="{00000000-0005-0000-0000-000089290000}"/>
    <cellStyle name="Normal 2 2 3 6 6" xfId="10601" xr:uid="{00000000-0005-0000-0000-00008A290000}"/>
    <cellStyle name="Normal 2 2 3 7" xfId="10602" xr:uid="{00000000-0005-0000-0000-00008B290000}"/>
    <cellStyle name="Normal 2 2 3 7 2" xfId="10603" xr:uid="{00000000-0005-0000-0000-00008C290000}"/>
    <cellStyle name="Normal 2 2 3 8" xfId="10604" xr:uid="{00000000-0005-0000-0000-00008D290000}"/>
    <cellStyle name="Normal 2 2 3 8 2" xfId="10605" xr:uid="{00000000-0005-0000-0000-00008E290000}"/>
    <cellStyle name="Normal 2 2 3 9" xfId="10606" xr:uid="{00000000-0005-0000-0000-00008F290000}"/>
    <cellStyle name="Normal 2 2 3 9 2" xfId="10607" xr:uid="{00000000-0005-0000-0000-000090290000}"/>
    <cellStyle name="Normal 2 2 3 9 2 2" xfId="10608" xr:uid="{00000000-0005-0000-0000-000091290000}"/>
    <cellStyle name="Normal 2 2 3 9 2 2 2" xfId="10609" xr:uid="{00000000-0005-0000-0000-000092290000}"/>
    <cellStyle name="Normal 2 2 3 9 2 2 3" xfId="10610" xr:uid="{00000000-0005-0000-0000-000093290000}"/>
    <cellStyle name="Normal 2 2 3 9 2 3" xfId="10611" xr:uid="{00000000-0005-0000-0000-000094290000}"/>
    <cellStyle name="Normal 2 2 3 9 2 4" xfId="10612" xr:uid="{00000000-0005-0000-0000-000095290000}"/>
    <cellStyle name="Normal 2 2 3 9 3" xfId="10613" xr:uid="{00000000-0005-0000-0000-000096290000}"/>
    <cellStyle name="Normal 2 2 3 9 3 2" xfId="10614" xr:uid="{00000000-0005-0000-0000-000097290000}"/>
    <cellStyle name="Normal 2 2 3 9 3 3" xfId="10615" xr:uid="{00000000-0005-0000-0000-000098290000}"/>
    <cellStyle name="Normal 2 2 3 9 4" xfId="10616" xr:uid="{00000000-0005-0000-0000-000099290000}"/>
    <cellStyle name="Normal 2 2 3 9 5" xfId="10617" xr:uid="{00000000-0005-0000-0000-00009A290000}"/>
    <cellStyle name="Normal 2 2 4" xfId="10618" xr:uid="{00000000-0005-0000-0000-00009B290000}"/>
    <cellStyle name="Normal 2 2 4 2" xfId="10619" xr:uid="{00000000-0005-0000-0000-00009C290000}"/>
    <cellStyle name="Normal 2 2 4 2 2" xfId="10620" xr:uid="{00000000-0005-0000-0000-00009D290000}"/>
    <cellStyle name="Normal 2 2 4 2 2 2" xfId="10621" xr:uid="{00000000-0005-0000-0000-00009E290000}"/>
    <cellStyle name="Normal 2 2 4 2 2 2 2" xfId="10622" xr:uid="{00000000-0005-0000-0000-00009F290000}"/>
    <cellStyle name="Normal 2 2 4 2 2 2 2 2" xfId="10623" xr:uid="{00000000-0005-0000-0000-0000A0290000}"/>
    <cellStyle name="Normal 2 2 4 2 2 2 2 3" xfId="10624" xr:uid="{00000000-0005-0000-0000-0000A1290000}"/>
    <cellStyle name="Normal 2 2 4 2 2 2 3" xfId="10625" xr:uid="{00000000-0005-0000-0000-0000A2290000}"/>
    <cellStyle name="Normal 2 2 4 2 2 2 4" xfId="10626" xr:uid="{00000000-0005-0000-0000-0000A3290000}"/>
    <cellStyle name="Normal 2 2 4 2 2 3" xfId="10627" xr:uid="{00000000-0005-0000-0000-0000A4290000}"/>
    <cellStyle name="Normal 2 2 4 2 2 3 2" xfId="10628" xr:uid="{00000000-0005-0000-0000-0000A5290000}"/>
    <cellStyle name="Normal 2 2 4 2 2 3 3" xfId="10629" xr:uid="{00000000-0005-0000-0000-0000A6290000}"/>
    <cellStyle name="Normal 2 2 4 2 2 4" xfId="10630" xr:uid="{00000000-0005-0000-0000-0000A7290000}"/>
    <cellStyle name="Normal 2 2 4 2 2 5" xfId="10631" xr:uid="{00000000-0005-0000-0000-0000A8290000}"/>
    <cellStyle name="Normal 2 2 4 2 3" xfId="10632" xr:uid="{00000000-0005-0000-0000-0000A9290000}"/>
    <cellStyle name="Normal 2 2 4 2 3 2" xfId="10633" xr:uid="{00000000-0005-0000-0000-0000AA290000}"/>
    <cellStyle name="Normal 2 2 4 2 3 2 2" xfId="10634" xr:uid="{00000000-0005-0000-0000-0000AB290000}"/>
    <cellStyle name="Normal 2 2 4 2 3 2 3" xfId="10635" xr:uid="{00000000-0005-0000-0000-0000AC290000}"/>
    <cellStyle name="Normal 2 2 4 2 3 3" xfId="10636" xr:uid="{00000000-0005-0000-0000-0000AD290000}"/>
    <cellStyle name="Normal 2 2 4 2 3 4" xfId="10637" xr:uid="{00000000-0005-0000-0000-0000AE290000}"/>
    <cellStyle name="Normal 2 2 4 2 4" xfId="10638" xr:uid="{00000000-0005-0000-0000-0000AF290000}"/>
    <cellStyle name="Normal 2 2 4 2 4 2" xfId="10639" xr:uid="{00000000-0005-0000-0000-0000B0290000}"/>
    <cellStyle name="Normal 2 2 4 2 4 3" xfId="10640" xr:uid="{00000000-0005-0000-0000-0000B1290000}"/>
    <cellStyle name="Normal 2 2 4 2 5" xfId="10641" xr:uid="{00000000-0005-0000-0000-0000B2290000}"/>
    <cellStyle name="Normal 2 2 4 2 6" xfId="10642" xr:uid="{00000000-0005-0000-0000-0000B3290000}"/>
    <cellStyle name="Normal 2 2 4 3" xfId="10643" xr:uid="{00000000-0005-0000-0000-0000B4290000}"/>
    <cellStyle name="Normal 2 2 4 3 2" xfId="10644" xr:uid="{00000000-0005-0000-0000-0000B5290000}"/>
    <cellStyle name="Normal 2 2 4 4" xfId="10645" xr:uid="{00000000-0005-0000-0000-0000B6290000}"/>
    <cellStyle name="Normal 2 2 4 4 2" xfId="10646" xr:uid="{00000000-0005-0000-0000-0000B7290000}"/>
    <cellStyle name="Normal 2 2 4 5" xfId="10647" xr:uid="{00000000-0005-0000-0000-0000B8290000}"/>
    <cellStyle name="Normal 2 2 4 5 2" xfId="10648" xr:uid="{00000000-0005-0000-0000-0000B9290000}"/>
    <cellStyle name="Normal 2 2 4 5 2 2" xfId="10649" xr:uid="{00000000-0005-0000-0000-0000BA290000}"/>
    <cellStyle name="Normal 2 2 4 5 2 2 2" xfId="10650" xr:uid="{00000000-0005-0000-0000-0000BB290000}"/>
    <cellStyle name="Normal 2 2 4 5 2 2 3" xfId="10651" xr:uid="{00000000-0005-0000-0000-0000BC290000}"/>
    <cellStyle name="Normal 2 2 4 5 2 3" xfId="10652" xr:uid="{00000000-0005-0000-0000-0000BD290000}"/>
    <cellStyle name="Normal 2 2 4 5 2 4" xfId="10653" xr:uid="{00000000-0005-0000-0000-0000BE290000}"/>
    <cellStyle name="Normal 2 2 4 5 3" xfId="10654" xr:uid="{00000000-0005-0000-0000-0000BF290000}"/>
    <cellStyle name="Normal 2 2 4 5 3 2" xfId="10655" xr:uid="{00000000-0005-0000-0000-0000C0290000}"/>
    <cellStyle name="Normal 2 2 4 5 3 3" xfId="10656" xr:uid="{00000000-0005-0000-0000-0000C1290000}"/>
    <cellStyle name="Normal 2 2 4 5 4" xfId="10657" xr:uid="{00000000-0005-0000-0000-0000C2290000}"/>
    <cellStyle name="Normal 2 2 4 5 5" xfId="10658" xr:uid="{00000000-0005-0000-0000-0000C3290000}"/>
    <cellStyle name="Normal 2 2 4 6" xfId="10659" xr:uid="{00000000-0005-0000-0000-0000C4290000}"/>
    <cellStyle name="Normal 2 2 4 6 2" xfId="10660" xr:uid="{00000000-0005-0000-0000-0000C5290000}"/>
    <cellStyle name="Normal 2 2 4 6 2 2" xfId="10661" xr:uid="{00000000-0005-0000-0000-0000C6290000}"/>
    <cellStyle name="Normal 2 2 4 6 2 3" xfId="10662" xr:uid="{00000000-0005-0000-0000-0000C7290000}"/>
    <cellStyle name="Normal 2 2 4 6 3" xfId="10663" xr:uid="{00000000-0005-0000-0000-0000C8290000}"/>
    <cellStyle name="Normal 2 2 4 6 4" xfId="10664" xr:uid="{00000000-0005-0000-0000-0000C9290000}"/>
    <cellStyle name="Normal 2 2 4 7" xfId="10665" xr:uid="{00000000-0005-0000-0000-0000CA290000}"/>
    <cellStyle name="Normal 2 2 4 7 2" xfId="10666" xr:uid="{00000000-0005-0000-0000-0000CB290000}"/>
    <cellStyle name="Normal 2 2 4 7 3" xfId="10667" xr:uid="{00000000-0005-0000-0000-0000CC290000}"/>
    <cellStyle name="Normal 2 2 4 8" xfId="10668" xr:uid="{00000000-0005-0000-0000-0000CD290000}"/>
    <cellStyle name="Normal 2 2 4 9" xfId="10669" xr:uid="{00000000-0005-0000-0000-0000CE290000}"/>
    <cellStyle name="Normal 2 2 5" xfId="10670" xr:uid="{00000000-0005-0000-0000-0000CF290000}"/>
    <cellStyle name="Normal 2 2 5 2" xfId="10671" xr:uid="{00000000-0005-0000-0000-0000D0290000}"/>
    <cellStyle name="Normal 2 2 5 2 2" xfId="10672" xr:uid="{00000000-0005-0000-0000-0000D1290000}"/>
    <cellStyle name="Normal 2 2 5 2 2 2" xfId="10673" xr:uid="{00000000-0005-0000-0000-0000D2290000}"/>
    <cellStyle name="Normal 2 2 5 2 2 2 2" xfId="10674" xr:uid="{00000000-0005-0000-0000-0000D3290000}"/>
    <cellStyle name="Normal 2 2 5 2 2 2 2 2" xfId="10675" xr:uid="{00000000-0005-0000-0000-0000D4290000}"/>
    <cellStyle name="Normal 2 2 5 2 2 2 2 3" xfId="10676" xr:uid="{00000000-0005-0000-0000-0000D5290000}"/>
    <cellStyle name="Normal 2 2 5 2 2 2 3" xfId="10677" xr:uid="{00000000-0005-0000-0000-0000D6290000}"/>
    <cellStyle name="Normal 2 2 5 2 2 2 4" xfId="10678" xr:uid="{00000000-0005-0000-0000-0000D7290000}"/>
    <cellStyle name="Normal 2 2 5 2 2 3" xfId="10679" xr:uid="{00000000-0005-0000-0000-0000D8290000}"/>
    <cellStyle name="Normal 2 2 5 2 2 3 2" xfId="10680" xr:uid="{00000000-0005-0000-0000-0000D9290000}"/>
    <cellStyle name="Normal 2 2 5 2 2 3 3" xfId="10681" xr:uid="{00000000-0005-0000-0000-0000DA290000}"/>
    <cellStyle name="Normal 2 2 5 2 2 4" xfId="10682" xr:uid="{00000000-0005-0000-0000-0000DB290000}"/>
    <cellStyle name="Normal 2 2 5 2 2 5" xfId="10683" xr:uid="{00000000-0005-0000-0000-0000DC290000}"/>
    <cellStyle name="Normal 2 2 5 2 3" xfId="10684" xr:uid="{00000000-0005-0000-0000-0000DD290000}"/>
    <cellStyle name="Normal 2 2 5 2 3 2" xfId="10685" xr:uid="{00000000-0005-0000-0000-0000DE290000}"/>
    <cellStyle name="Normal 2 2 5 2 3 2 2" xfId="10686" xr:uid="{00000000-0005-0000-0000-0000DF290000}"/>
    <cellStyle name="Normal 2 2 5 2 3 2 3" xfId="10687" xr:uid="{00000000-0005-0000-0000-0000E0290000}"/>
    <cellStyle name="Normal 2 2 5 2 3 3" xfId="10688" xr:uid="{00000000-0005-0000-0000-0000E1290000}"/>
    <cellStyle name="Normal 2 2 5 2 3 4" xfId="10689" xr:uid="{00000000-0005-0000-0000-0000E2290000}"/>
    <cellStyle name="Normal 2 2 5 2 4" xfId="10690" xr:uid="{00000000-0005-0000-0000-0000E3290000}"/>
    <cellStyle name="Normal 2 2 5 2 4 2" xfId="10691" xr:uid="{00000000-0005-0000-0000-0000E4290000}"/>
    <cellStyle name="Normal 2 2 5 2 4 3" xfId="10692" xr:uid="{00000000-0005-0000-0000-0000E5290000}"/>
    <cellStyle name="Normal 2 2 5 2 5" xfId="10693" xr:uid="{00000000-0005-0000-0000-0000E6290000}"/>
    <cellStyle name="Normal 2 2 5 2 6" xfId="10694" xr:uid="{00000000-0005-0000-0000-0000E7290000}"/>
    <cellStyle name="Normal 2 2 5 3" xfId="10695" xr:uid="{00000000-0005-0000-0000-0000E8290000}"/>
    <cellStyle name="Normal 2 2 5 4" xfId="10696" xr:uid="{00000000-0005-0000-0000-0000E9290000}"/>
    <cellStyle name="Normal 2 2 5 4 2" xfId="10697" xr:uid="{00000000-0005-0000-0000-0000EA290000}"/>
    <cellStyle name="Normal 2 2 5 4 2 2" xfId="10698" xr:uid="{00000000-0005-0000-0000-0000EB290000}"/>
    <cellStyle name="Normal 2 2 5 4 2 2 2" xfId="10699" xr:uid="{00000000-0005-0000-0000-0000EC290000}"/>
    <cellStyle name="Normal 2 2 5 4 2 2 3" xfId="10700" xr:uid="{00000000-0005-0000-0000-0000ED290000}"/>
    <cellStyle name="Normal 2 2 5 4 2 3" xfId="10701" xr:uid="{00000000-0005-0000-0000-0000EE290000}"/>
    <cellStyle name="Normal 2 2 5 4 2 4" xfId="10702" xr:uid="{00000000-0005-0000-0000-0000EF290000}"/>
    <cellStyle name="Normal 2 2 5 4 3" xfId="10703" xr:uid="{00000000-0005-0000-0000-0000F0290000}"/>
    <cellStyle name="Normal 2 2 5 4 3 2" xfId="10704" xr:uid="{00000000-0005-0000-0000-0000F1290000}"/>
    <cellStyle name="Normal 2 2 5 4 3 3" xfId="10705" xr:uid="{00000000-0005-0000-0000-0000F2290000}"/>
    <cellStyle name="Normal 2 2 5 4 4" xfId="10706" xr:uid="{00000000-0005-0000-0000-0000F3290000}"/>
    <cellStyle name="Normal 2 2 5 4 5" xfId="10707" xr:uid="{00000000-0005-0000-0000-0000F4290000}"/>
    <cellStyle name="Normal 2 2 5 5" xfId="10708" xr:uid="{00000000-0005-0000-0000-0000F5290000}"/>
    <cellStyle name="Normal 2 2 5 5 2" xfId="10709" xr:uid="{00000000-0005-0000-0000-0000F6290000}"/>
    <cellStyle name="Normal 2 2 5 5 2 2" xfId="10710" xr:uid="{00000000-0005-0000-0000-0000F7290000}"/>
    <cellStyle name="Normal 2 2 5 5 2 3" xfId="10711" xr:uid="{00000000-0005-0000-0000-0000F8290000}"/>
    <cellStyle name="Normal 2 2 5 5 3" xfId="10712" xr:uid="{00000000-0005-0000-0000-0000F9290000}"/>
    <cellStyle name="Normal 2 2 5 5 4" xfId="10713" xr:uid="{00000000-0005-0000-0000-0000FA290000}"/>
    <cellStyle name="Normal 2 2 5 6" xfId="10714" xr:uid="{00000000-0005-0000-0000-0000FB290000}"/>
    <cellStyle name="Normal 2 2 5 6 2" xfId="10715" xr:uid="{00000000-0005-0000-0000-0000FC290000}"/>
    <cellStyle name="Normal 2 2 5 6 3" xfId="10716" xr:uid="{00000000-0005-0000-0000-0000FD290000}"/>
    <cellStyle name="Normal 2 2 5 7" xfId="10717" xr:uid="{00000000-0005-0000-0000-0000FE290000}"/>
    <cellStyle name="Normal 2 2 5 8" xfId="10718" xr:uid="{00000000-0005-0000-0000-0000FF290000}"/>
    <cellStyle name="Normal 2 2 6" xfId="10719" xr:uid="{00000000-0005-0000-0000-0000002A0000}"/>
    <cellStyle name="Normal 2 2 6 2" xfId="10720" xr:uid="{00000000-0005-0000-0000-0000012A0000}"/>
    <cellStyle name="Normal 2 2 6 2 2" xfId="10721" xr:uid="{00000000-0005-0000-0000-0000022A0000}"/>
    <cellStyle name="Normal 2 2 6 2 2 2" xfId="10722" xr:uid="{00000000-0005-0000-0000-0000032A0000}"/>
    <cellStyle name="Normal 2 2 6 2 2 2 2" xfId="10723" xr:uid="{00000000-0005-0000-0000-0000042A0000}"/>
    <cellStyle name="Normal 2 2 6 2 2 2 3" xfId="10724" xr:uid="{00000000-0005-0000-0000-0000052A0000}"/>
    <cellStyle name="Normal 2 2 6 2 2 3" xfId="10725" xr:uid="{00000000-0005-0000-0000-0000062A0000}"/>
    <cellStyle name="Normal 2 2 6 2 2 4" xfId="10726" xr:uid="{00000000-0005-0000-0000-0000072A0000}"/>
    <cellStyle name="Normal 2 2 6 2 3" xfId="10727" xr:uid="{00000000-0005-0000-0000-0000082A0000}"/>
    <cellStyle name="Normal 2 2 6 2 3 2" xfId="10728" xr:uid="{00000000-0005-0000-0000-0000092A0000}"/>
    <cellStyle name="Normal 2 2 6 2 3 3" xfId="10729" xr:uid="{00000000-0005-0000-0000-00000A2A0000}"/>
    <cellStyle name="Normal 2 2 6 2 4" xfId="10730" xr:uid="{00000000-0005-0000-0000-00000B2A0000}"/>
    <cellStyle name="Normal 2 2 6 2 5" xfId="10731" xr:uid="{00000000-0005-0000-0000-00000C2A0000}"/>
    <cellStyle name="Normal 2 2 6 3" xfId="10732" xr:uid="{00000000-0005-0000-0000-00000D2A0000}"/>
    <cellStyle name="Normal 2 2 6 3 2" xfId="10733" xr:uid="{00000000-0005-0000-0000-00000E2A0000}"/>
    <cellStyle name="Normal 2 2 6 3 2 2" xfId="10734" xr:uid="{00000000-0005-0000-0000-00000F2A0000}"/>
    <cellStyle name="Normal 2 2 6 3 2 3" xfId="10735" xr:uid="{00000000-0005-0000-0000-0000102A0000}"/>
    <cellStyle name="Normal 2 2 6 3 3" xfId="10736" xr:uid="{00000000-0005-0000-0000-0000112A0000}"/>
    <cellStyle name="Normal 2 2 6 3 4" xfId="10737" xr:uid="{00000000-0005-0000-0000-0000122A0000}"/>
    <cellStyle name="Normal 2 2 6 4" xfId="10738" xr:uid="{00000000-0005-0000-0000-0000132A0000}"/>
    <cellStyle name="Normal 2 2 6 4 2" xfId="10739" xr:uid="{00000000-0005-0000-0000-0000142A0000}"/>
    <cellStyle name="Normal 2 2 6 4 3" xfId="10740" xr:uid="{00000000-0005-0000-0000-0000152A0000}"/>
    <cellStyle name="Normal 2 2 6 5" xfId="10741" xr:uid="{00000000-0005-0000-0000-0000162A0000}"/>
    <cellStyle name="Normal 2 2 6 6" xfId="10742" xr:uid="{00000000-0005-0000-0000-0000172A0000}"/>
    <cellStyle name="Normal 2 2 7" xfId="10743" xr:uid="{00000000-0005-0000-0000-0000182A0000}"/>
    <cellStyle name="Normal 2 2 7 2" xfId="10744" xr:uid="{00000000-0005-0000-0000-0000192A0000}"/>
    <cellStyle name="Normal 2 2 7 2 2" xfId="10745" xr:uid="{00000000-0005-0000-0000-00001A2A0000}"/>
    <cellStyle name="Normal 2 2 7 2 2 2" xfId="10746" xr:uid="{00000000-0005-0000-0000-00001B2A0000}"/>
    <cellStyle name="Normal 2 2 7 2 2 2 2" xfId="10747" xr:uid="{00000000-0005-0000-0000-00001C2A0000}"/>
    <cellStyle name="Normal 2 2 7 2 2 2 3" xfId="10748" xr:uid="{00000000-0005-0000-0000-00001D2A0000}"/>
    <cellStyle name="Normal 2 2 7 2 2 3" xfId="10749" xr:uid="{00000000-0005-0000-0000-00001E2A0000}"/>
    <cellStyle name="Normal 2 2 7 2 2 4" xfId="10750" xr:uid="{00000000-0005-0000-0000-00001F2A0000}"/>
    <cellStyle name="Normal 2 2 7 2 3" xfId="10751" xr:uid="{00000000-0005-0000-0000-0000202A0000}"/>
    <cellStyle name="Normal 2 2 7 2 3 2" xfId="10752" xr:uid="{00000000-0005-0000-0000-0000212A0000}"/>
    <cellStyle name="Normal 2 2 7 2 3 3" xfId="10753" xr:uid="{00000000-0005-0000-0000-0000222A0000}"/>
    <cellStyle name="Normal 2 2 7 2 4" xfId="10754" xr:uid="{00000000-0005-0000-0000-0000232A0000}"/>
    <cellStyle name="Normal 2 2 7 2 5" xfId="10755" xr:uid="{00000000-0005-0000-0000-0000242A0000}"/>
    <cellStyle name="Normal 2 2 7 3" xfId="10756" xr:uid="{00000000-0005-0000-0000-0000252A0000}"/>
    <cellStyle name="Normal 2 2 7 3 2" xfId="10757" xr:uid="{00000000-0005-0000-0000-0000262A0000}"/>
    <cellStyle name="Normal 2 2 7 3 2 2" xfId="10758" xr:uid="{00000000-0005-0000-0000-0000272A0000}"/>
    <cellStyle name="Normal 2 2 7 3 2 3" xfId="10759" xr:uid="{00000000-0005-0000-0000-0000282A0000}"/>
    <cellStyle name="Normal 2 2 7 3 3" xfId="10760" xr:uid="{00000000-0005-0000-0000-0000292A0000}"/>
    <cellStyle name="Normal 2 2 7 3 4" xfId="10761" xr:uid="{00000000-0005-0000-0000-00002A2A0000}"/>
    <cellStyle name="Normal 2 2 7 4" xfId="10762" xr:uid="{00000000-0005-0000-0000-00002B2A0000}"/>
    <cellStyle name="Normal 2 2 7 4 2" xfId="10763" xr:uid="{00000000-0005-0000-0000-00002C2A0000}"/>
    <cellStyle name="Normal 2 2 7 4 3" xfId="10764" xr:uid="{00000000-0005-0000-0000-00002D2A0000}"/>
    <cellStyle name="Normal 2 2 7 5" xfId="10765" xr:uid="{00000000-0005-0000-0000-00002E2A0000}"/>
    <cellStyle name="Normal 2 2 7 6" xfId="10766" xr:uid="{00000000-0005-0000-0000-00002F2A0000}"/>
    <cellStyle name="Normal 2 2 8" xfId="10767" xr:uid="{00000000-0005-0000-0000-0000302A0000}"/>
    <cellStyle name="Normal 2 2 8 2" xfId="10768" xr:uid="{00000000-0005-0000-0000-0000312A0000}"/>
    <cellStyle name="Normal 2 2 8 2 2" xfId="10769" xr:uid="{00000000-0005-0000-0000-0000322A0000}"/>
    <cellStyle name="Normal 2 2 8 2 2 2" xfId="10770" xr:uid="{00000000-0005-0000-0000-0000332A0000}"/>
    <cellStyle name="Normal 2 2 8 2 2 2 2" xfId="10771" xr:uid="{00000000-0005-0000-0000-0000342A0000}"/>
    <cellStyle name="Normal 2 2 8 2 2 2 3" xfId="10772" xr:uid="{00000000-0005-0000-0000-0000352A0000}"/>
    <cellStyle name="Normal 2 2 8 2 2 3" xfId="10773" xr:uid="{00000000-0005-0000-0000-0000362A0000}"/>
    <cellStyle name="Normal 2 2 8 2 2 4" xfId="10774" xr:uid="{00000000-0005-0000-0000-0000372A0000}"/>
    <cellStyle name="Normal 2 2 8 2 3" xfId="10775" xr:uid="{00000000-0005-0000-0000-0000382A0000}"/>
    <cellStyle name="Normal 2 2 8 2 3 2" xfId="10776" xr:uid="{00000000-0005-0000-0000-0000392A0000}"/>
    <cellStyle name="Normal 2 2 8 2 3 3" xfId="10777" xr:uid="{00000000-0005-0000-0000-00003A2A0000}"/>
    <cellStyle name="Normal 2 2 8 2 4" xfId="10778" xr:uid="{00000000-0005-0000-0000-00003B2A0000}"/>
    <cellStyle name="Normal 2 2 8 2 5" xfId="10779" xr:uid="{00000000-0005-0000-0000-00003C2A0000}"/>
    <cellStyle name="Normal 2 2 8 3" xfId="10780" xr:uid="{00000000-0005-0000-0000-00003D2A0000}"/>
    <cellStyle name="Normal 2 2 8 3 2" xfId="10781" xr:uid="{00000000-0005-0000-0000-00003E2A0000}"/>
    <cellStyle name="Normal 2 2 8 3 2 2" xfId="10782" xr:uid="{00000000-0005-0000-0000-00003F2A0000}"/>
    <cellStyle name="Normal 2 2 8 3 2 3" xfId="10783" xr:uid="{00000000-0005-0000-0000-0000402A0000}"/>
    <cellStyle name="Normal 2 2 8 3 3" xfId="10784" xr:uid="{00000000-0005-0000-0000-0000412A0000}"/>
    <cellStyle name="Normal 2 2 8 3 4" xfId="10785" xr:uid="{00000000-0005-0000-0000-0000422A0000}"/>
    <cellStyle name="Normal 2 2 8 4" xfId="10786" xr:uid="{00000000-0005-0000-0000-0000432A0000}"/>
    <cellStyle name="Normal 2 2 8 4 2" xfId="10787" xr:uid="{00000000-0005-0000-0000-0000442A0000}"/>
    <cellStyle name="Normal 2 2 8 4 3" xfId="10788" xr:uid="{00000000-0005-0000-0000-0000452A0000}"/>
    <cellStyle name="Normal 2 2 8 5" xfId="10789" xr:uid="{00000000-0005-0000-0000-0000462A0000}"/>
    <cellStyle name="Normal 2 2 8 6" xfId="10790" xr:uid="{00000000-0005-0000-0000-0000472A0000}"/>
    <cellStyle name="Normal 2 2 9" xfId="10791" xr:uid="{00000000-0005-0000-0000-0000482A0000}"/>
    <cellStyle name="Normal 2 2 9 2" xfId="10792" xr:uid="{00000000-0005-0000-0000-0000492A0000}"/>
    <cellStyle name="Normal 2 2 9 2 2" xfId="10793" xr:uid="{00000000-0005-0000-0000-00004A2A0000}"/>
    <cellStyle name="Normal 2 2 9 2 2 2" xfId="10794" xr:uid="{00000000-0005-0000-0000-00004B2A0000}"/>
    <cellStyle name="Normal 2 2 9 2 2 2 2" xfId="10795" xr:uid="{00000000-0005-0000-0000-00004C2A0000}"/>
    <cellStyle name="Normal 2 2 9 2 2 2 3" xfId="10796" xr:uid="{00000000-0005-0000-0000-00004D2A0000}"/>
    <cellStyle name="Normal 2 2 9 2 2 3" xfId="10797" xr:uid="{00000000-0005-0000-0000-00004E2A0000}"/>
    <cellStyle name="Normal 2 2 9 2 2 4" xfId="10798" xr:uid="{00000000-0005-0000-0000-00004F2A0000}"/>
    <cellStyle name="Normal 2 2 9 2 3" xfId="10799" xr:uid="{00000000-0005-0000-0000-0000502A0000}"/>
    <cellStyle name="Normal 2 2 9 2 3 2" xfId="10800" xr:uid="{00000000-0005-0000-0000-0000512A0000}"/>
    <cellStyle name="Normal 2 2 9 2 3 3" xfId="10801" xr:uid="{00000000-0005-0000-0000-0000522A0000}"/>
    <cellStyle name="Normal 2 2 9 2 4" xfId="10802" xr:uid="{00000000-0005-0000-0000-0000532A0000}"/>
    <cellStyle name="Normal 2 2 9 2 5" xfId="10803" xr:uid="{00000000-0005-0000-0000-0000542A0000}"/>
    <cellStyle name="Normal 2 2 9 3" xfId="10804" xr:uid="{00000000-0005-0000-0000-0000552A0000}"/>
    <cellStyle name="Normal 2 2 9 3 2" xfId="10805" xr:uid="{00000000-0005-0000-0000-0000562A0000}"/>
    <cellStyle name="Normal 2 2 9 3 2 2" xfId="10806" xr:uid="{00000000-0005-0000-0000-0000572A0000}"/>
    <cellStyle name="Normal 2 2 9 3 2 3" xfId="10807" xr:uid="{00000000-0005-0000-0000-0000582A0000}"/>
    <cellStyle name="Normal 2 2 9 3 3" xfId="10808" xr:uid="{00000000-0005-0000-0000-0000592A0000}"/>
    <cellStyle name="Normal 2 2 9 3 4" xfId="10809" xr:uid="{00000000-0005-0000-0000-00005A2A0000}"/>
    <cellStyle name="Normal 2 2 9 4" xfId="10810" xr:uid="{00000000-0005-0000-0000-00005B2A0000}"/>
    <cellStyle name="Normal 2 2 9 4 2" xfId="10811" xr:uid="{00000000-0005-0000-0000-00005C2A0000}"/>
    <cellStyle name="Normal 2 2 9 4 3" xfId="10812" xr:uid="{00000000-0005-0000-0000-00005D2A0000}"/>
    <cellStyle name="Normal 2 2 9 5" xfId="10813" xr:uid="{00000000-0005-0000-0000-00005E2A0000}"/>
    <cellStyle name="Normal 2 2 9 6" xfId="10814" xr:uid="{00000000-0005-0000-0000-00005F2A0000}"/>
    <cellStyle name="Normal 2 20" xfId="10815" xr:uid="{00000000-0005-0000-0000-0000602A0000}"/>
    <cellStyle name="Normal 2 20 2" xfId="10816" xr:uid="{00000000-0005-0000-0000-0000612A0000}"/>
    <cellStyle name="Normal 2 20 2 2" xfId="10817" xr:uid="{00000000-0005-0000-0000-0000622A0000}"/>
    <cellStyle name="Normal 2 20 2 2 2" xfId="10818" xr:uid="{00000000-0005-0000-0000-0000632A0000}"/>
    <cellStyle name="Normal 2 20 2 2 2 2" xfId="10819" xr:uid="{00000000-0005-0000-0000-0000642A0000}"/>
    <cellStyle name="Normal 2 20 2 2 2 3" xfId="10820" xr:uid="{00000000-0005-0000-0000-0000652A0000}"/>
    <cellStyle name="Normal 2 20 2 2 3" xfId="10821" xr:uid="{00000000-0005-0000-0000-0000662A0000}"/>
    <cellStyle name="Normal 2 20 2 2 4" xfId="10822" xr:uid="{00000000-0005-0000-0000-0000672A0000}"/>
    <cellStyle name="Normal 2 20 2 3" xfId="10823" xr:uid="{00000000-0005-0000-0000-0000682A0000}"/>
    <cellStyle name="Normal 2 20 2 3 2" xfId="10824" xr:uid="{00000000-0005-0000-0000-0000692A0000}"/>
    <cellStyle name="Normal 2 20 2 3 3" xfId="10825" xr:uid="{00000000-0005-0000-0000-00006A2A0000}"/>
    <cellStyle name="Normal 2 20 2 4" xfId="10826" xr:uid="{00000000-0005-0000-0000-00006B2A0000}"/>
    <cellStyle name="Normal 2 20 2 5" xfId="10827" xr:uid="{00000000-0005-0000-0000-00006C2A0000}"/>
    <cellStyle name="Normal 2 20 3" xfId="10828" xr:uid="{00000000-0005-0000-0000-00006D2A0000}"/>
    <cellStyle name="Normal 2 20 3 2" xfId="10829" xr:uid="{00000000-0005-0000-0000-00006E2A0000}"/>
    <cellStyle name="Normal 2 20 3 2 2" xfId="10830" xr:uid="{00000000-0005-0000-0000-00006F2A0000}"/>
    <cellStyle name="Normal 2 20 3 2 3" xfId="10831" xr:uid="{00000000-0005-0000-0000-0000702A0000}"/>
    <cellStyle name="Normal 2 20 3 3" xfId="10832" xr:uid="{00000000-0005-0000-0000-0000712A0000}"/>
    <cellStyle name="Normal 2 20 3 4" xfId="10833" xr:uid="{00000000-0005-0000-0000-0000722A0000}"/>
    <cellStyle name="Normal 2 20 4" xfId="10834" xr:uid="{00000000-0005-0000-0000-0000732A0000}"/>
    <cellStyle name="Normal 2 20 4 2" xfId="10835" xr:uid="{00000000-0005-0000-0000-0000742A0000}"/>
    <cellStyle name="Normal 2 20 4 3" xfId="10836" xr:uid="{00000000-0005-0000-0000-0000752A0000}"/>
    <cellStyle name="Normal 2 20 5" xfId="10837" xr:uid="{00000000-0005-0000-0000-0000762A0000}"/>
    <cellStyle name="Normal 2 20 6" xfId="10838" xr:uid="{00000000-0005-0000-0000-0000772A0000}"/>
    <cellStyle name="Normal 2 21" xfId="10839" xr:uid="{00000000-0005-0000-0000-0000782A0000}"/>
    <cellStyle name="Normal 2 22" xfId="10840" xr:uid="{00000000-0005-0000-0000-0000792A0000}"/>
    <cellStyle name="Normal 2 22 2" xfId="10841" xr:uid="{00000000-0005-0000-0000-00007A2A0000}"/>
    <cellStyle name="Normal 2 22 3" xfId="10842" xr:uid="{00000000-0005-0000-0000-00007B2A0000}"/>
    <cellStyle name="Normal 2 23" xfId="10843" xr:uid="{00000000-0005-0000-0000-00007C2A0000}"/>
    <cellStyle name="Normal 2 24" xfId="10844" xr:uid="{00000000-0005-0000-0000-00007D2A0000}"/>
    <cellStyle name="Normal 2 24 2" xfId="10845" xr:uid="{00000000-0005-0000-0000-00007E2A0000}"/>
    <cellStyle name="Normal 2 24 2 2" xfId="10846" xr:uid="{00000000-0005-0000-0000-00007F2A0000}"/>
    <cellStyle name="Normal 2 24 2 2 2" xfId="10847" xr:uid="{00000000-0005-0000-0000-0000802A0000}"/>
    <cellStyle name="Normal 2 24 2 2 2 2" xfId="10848" xr:uid="{00000000-0005-0000-0000-0000812A0000}"/>
    <cellStyle name="Normal 2 24 2 2 2 3" xfId="10849" xr:uid="{00000000-0005-0000-0000-0000822A0000}"/>
    <cellStyle name="Normal 2 24 2 2 3" xfId="10850" xr:uid="{00000000-0005-0000-0000-0000832A0000}"/>
    <cellStyle name="Normal 2 24 2 2 4" xfId="10851" xr:uid="{00000000-0005-0000-0000-0000842A0000}"/>
    <cellStyle name="Normal 2 24 2 3" xfId="10852" xr:uid="{00000000-0005-0000-0000-0000852A0000}"/>
    <cellStyle name="Normal 2 24 2 3 2" xfId="10853" xr:uid="{00000000-0005-0000-0000-0000862A0000}"/>
    <cellStyle name="Normal 2 24 2 3 3" xfId="10854" xr:uid="{00000000-0005-0000-0000-0000872A0000}"/>
    <cellStyle name="Normal 2 24 2 4" xfId="10855" xr:uid="{00000000-0005-0000-0000-0000882A0000}"/>
    <cellStyle name="Normal 2 24 2 5" xfId="10856" xr:uid="{00000000-0005-0000-0000-0000892A0000}"/>
    <cellStyle name="Normal 2 24 3" xfId="10857" xr:uid="{00000000-0005-0000-0000-00008A2A0000}"/>
    <cellStyle name="Normal 2 24 3 2" xfId="10858" xr:uid="{00000000-0005-0000-0000-00008B2A0000}"/>
    <cellStyle name="Normal 2 24 3 2 2" xfId="10859" xr:uid="{00000000-0005-0000-0000-00008C2A0000}"/>
    <cellStyle name="Normal 2 24 3 2 3" xfId="10860" xr:uid="{00000000-0005-0000-0000-00008D2A0000}"/>
    <cellStyle name="Normal 2 24 3 3" xfId="10861" xr:uid="{00000000-0005-0000-0000-00008E2A0000}"/>
    <cellStyle name="Normal 2 24 3 4" xfId="10862" xr:uid="{00000000-0005-0000-0000-00008F2A0000}"/>
    <cellStyle name="Normal 2 24 4" xfId="10863" xr:uid="{00000000-0005-0000-0000-0000902A0000}"/>
    <cellStyle name="Normal 2 24 4 2" xfId="10864" xr:uid="{00000000-0005-0000-0000-0000912A0000}"/>
    <cellStyle name="Normal 2 24 4 3" xfId="10865" xr:uid="{00000000-0005-0000-0000-0000922A0000}"/>
    <cellStyle name="Normal 2 24 5" xfId="10866" xr:uid="{00000000-0005-0000-0000-0000932A0000}"/>
    <cellStyle name="Normal 2 24 6" xfId="10867" xr:uid="{00000000-0005-0000-0000-0000942A0000}"/>
    <cellStyle name="Normal 2 25" xfId="10868" xr:uid="{00000000-0005-0000-0000-0000952A0000}"/>
    <cellStyle name="Normal 2 25 2" xfId="10869" xr:uid="{00000000-0005-0000-0000-0000962A0000}"/>
    <cellStyle name="Normal 2 26" xfId="10870" xr:uid="{00000000-0005-0000-0000-0000972A0000}"/>
    <cellStyle name="Normal 2 27" xfId="10871" xr:uid="{00000000-0005-0000-0000-0000982A0000}"/>
    <cellStyle name="Normal 2 28" xfId="21937" xr:uid="{1C6BD106-E5B8-4E7D-9322-2791DDD66966}"/>
    <cellStyle name="Normal 2 3" xfId="10872" xr:uid="{00000000-0005-0000-0000-0000992A0000}"/>
    <cellStyle name="Normal 2 3 10" xfId="10873" xr:uid="{00000000-0005-0000-0000-00009A2A0000}"/>
    <cellStyle name="Normal 2 3 2" xfId="10874" xr:uid="{00000000-0005-0000-0000-00009B2A0000}"/>
    <cellStyle name="Normal 2 3 2 2" xfId="10875" xr:uid="{00000000-0005-0000-0000-00009C2A0000}"/>
    <cellStyle name="Normal 2 3 2 3" xfId="10876" xr:uid="{00000000-0005-0000-0000-00009D2A0000}"/>
    <cellStyle name="Normal 2 3 2 3 2" xfId="10877" xr:uid="{00000000-0005-0000-0000-00009E2A0000}"/>
    <cellStyle name="Normal 2 3 2 3 2 2" xfId="10878" xr:uid="{00000000-0005-0000-0000-00009F2A0000}"/>
    <cellStyle name="Normal 2 3 2 3 2 2 2" xfId="10879" xr:uid="{00000000-0005-0000-0000-0000A02A0000}"/>
    <cellStyle name="Normal 2 3 2 3 2 2 3" xfId="10880" xr:uid="{00000000-0005-0000-0000-0000A12A0000}"/>
    <cellStyle name="Normal 2 3 2 3 2 3" xfId="10881" xr:uid="{00000000-0005-0000-0000-0000A22A0000}"/>
    <cellStyle name="Normal 2 3 2 3 2 4" xfId="10882" xr:uid="{00000000-0005-0000-0000-0000A32A0000}"/>
    <cellStyle name="Normal 2 3 2 3 3" xfId="10883" xr:uid="{00000000-0005-0000-0000-0000A42A0000}"/>
    <cellStyle name="Normal 2 3 2 3 3 2" xfId="10884" xr:uid="{00000000-0005-0000-0000-0000A52A0000}"/>
    <cellStyle name="Normal 2 3 2 3 3 3" xfId="10885" xr:uid="{00000000-0005-0000-0000-0000A62A0000}"/>
    <cellStyle name="Normal 2 3 2 3 4" xfId="10886" xr:uid="{00000000-0005-0000-0000-0000A72A0000}"/>
    <cellStyle name="Normal 2 3 2 3 5" xfId="10887" xr:uid="{00000000-0005-0000-0000-0000A82A0000}"/>
    <cellStyle name="Normal 2 3 2 4" xfId="10888" xr:uid="{00000000-0005-0000-0000-0000A92A0000}"/>
    <cellStyle name="Normal 2 3 2 4 2" xfId="10889" xr:uid="{00000000-0005-0000-0000-0000AA2A0000}"/>
    <cellStyle name="Normal 2 3 2 4 2 2" xfId="10890" xr:uid="{00000000-0005-0000-0000-0000AB2A0000}"/>
    <cellStyle name="Normal 2 3 2 4 2 3" xfId="10891" xr:uid="{00000000-0005-0000-0000-0000AC2A0000}"/>
    <cellStyle name="Normal 2 3 2 4 3" xfId="10892" xr:uid="{00000000-0005-0000-0000-0000AD2A0000}"/>
    <cellStyle name="Normal 2 3 2 4 4" xfId="10893" xr:uid="{00000000-0005-0000-0000-0000AE2A0000}"/>
    <cellStyle name="Normal 2 3 2 5" xfId="10894" xr:uid="{00000000-0005-0000-0000-0000AF2A0000}"/>
    <cellStyle name="Normal 2 3 2 5 2" xfId="10895" xr:uid="{00000000-0005-0000-0000-0000B02A0000}"/>
    <cellStyle name="Normal 2 3 2 5 3" xfId="10896" xr:uid="{00000000-0005-0000-0000-0000B12A0000}"/>
    <cellStyle name="Normal 2 3 2 6" xfId="10897" xr:uid="{00000000-0005-0000-0000-0000B22A0000}"/>
    <cellStyle name="Normal 2 3 2 7" xfId="10898" xr:uid="{00000000-0005-0000-0000-0000B32A0000}"/>
    <cellStyle name="Normal 2 3 3" xfId="10899" xr:uid="{00000000-0005-0000-0000-0000B42A0000}"/>
    <cellStyle name="Normal 2 3 3 2" xfId="10900" xr:uid="{00000000-0005-0000-0000-0000B52A0000}"/>
    <cellStyle name="Normal 2 3 3 2 2" xfId="10901" xr:uid="{00000000-0005-0000-0000-0000B62A0000}"/>
    <cellStyle name="Normal 2 3 3 2 2 2" xfId="10902" xr:uid="{00000000-0005-0000-0000-0000B72A0000}"/>
    <cellStyle name="Normal 2 3 3 2 2 2 2" xfId="10903" xr:uid="{00000000-0005-0000-0000-0000B82A0000}"/>
    <cellStyle name="Normal 2 3 3 2 2 2 3" xfId="10904" xr:uid="{00000000-0005-0000-0000-0000B92A0000}"/>
    <cellStyle name="Normal 2 3 3 2 2 3" xfId="10905" xr:uid="{00000000-0005-0000-0000-0000BA2A0000}"/>
    <cellStyle name="Normal 2 3 3 2 2 4" xfId="10906" xr:uid="{00000000-0005-0000-0000-0000BB2A0000}"/>
    <cellStyle name="Normal 2 3 3 2 3" xfId="10907" xr:uid="{00000000-0005-0000-0000-0000BC2A0000}"/>
    <cellStyle name="Normal 2 3 3 2 3 2" xfId="10908" xr:uid="{00000000-0005-0000-0000-0000BD2A0000}"/>
    <cellStyle name="Normal 2 3 3 2 3 3" xfId="10909" xr:uid="{00000000-0005-0000-0000-0000BE2A0000}"/>
    <cellStyle name="Normal 2 3 3 2 4" xfId="10910" xr:uid="{00000000-0005-0000-0000-0000BF2A0000}"/>
    <cellStyle name="Normal 2 3 3 2 5" xfId="10911" xr:uid="{00000000-0005-0000-0000-0000C02A0000}"/>
    <cellStyle name="Normal 2 3 3 3" xfId="10912" xr:uid="{00000000-0005-0000-0000-0000C12A0000}"/>
    <cellStyle name="Normal 2 3 3 3 2" xfId="10913" xr:uid="{00000000-0005-0000-0000-0000C22A0000}"/>
    <cellStyle name="Normal 2 3 3 3 2 2" xfId="10914" xr:uid="{00000000-0005-0000-0000-0000C32A0000}"/>
    <cellStyle name="Normal 2 3 3 3 2 3" xfId="10915" xr:uid="{00000000-0005-0000-0000-0000C42A0000}"/>
    <cellStyle name="Normal 2 3 3 3 3" xfId="10916" xr:uid="{00000000-0005-0000-0000-0000C52A0000}"/>
    <cellStyle name="Normal 2 3 3 3 4" xfId="10917" xr:uid="{00000000-0005-0000-0000-0000C62A0000}"/>
    <cellStyle name="Normal 2 3 3 4" xfId="10918" xr:uid="{00000000-0005-0000-0000-0000C72A0000}"/>
    <cellStyle name="Normal 2 3 3 4 2" xfId="10919" xr:uid="{00000000-0005-0000-0000-0000C82A0000}"/>
    <cellStyle name="Normal 2 3 3 4 3" xfId="10920" xr:uid="{00000000-0005-0000-0000-0000C92A0000}"/>
    <cellStyle name="Normal 2 3 3 5" xfId="10921" xr:uid="{00000000-0005-0000-0000-0000CA2A0000}"/>
    <cellStyle name="Normal 2 3 3 6" xfId="10922" xr:uid="{00000000-0005-0000-0000-0000CB2A0000}"/>
    <cellStyle name="Normal 2 3 4" xfId="10923" xr:uid="{00000000-0005-0000-0000-0000CC2A0000}"/>
    <cellStyle name="Normal 2 3 4 2" xfId="10924" xr:uid="{00000000-0005-0000-0000-0000CD2A0000}"/>
    <cellStyle name="Normal 2 3 4 2 2" xfId="10925" xr:uid="{00000000-0005-0000-0000-0000CE2A0000}"/>
    <cellStyle name="Normal 2 3 4 2 2 2" xfId="10926" xr:uid="{00000000-0005-0000-0000-0000CF2A0000}"/>
    <cellStyle name="Normal 2 3 4 2 2 2 2" xfId="10927" xr:uid="{00000000-0005-0000-0000-0000D02A0000}"/>
    <cellStyle name="Normal 2 3 4 2 2 2 3" xfId="10928" xr:uid="{00000000-0005-0000-0000-0000D12A0000}"/>
    <cellStyle name="Normal 2 3 4 2 2 3" xfId="10929" xr:uid="{00000000-0005-0000-0000-0000D22A0000}"/>
    <cellStyle name="Normal 2 3 4 2 2 4" xfId="10930" xr:uid="{00000000-0005-0000-0000-0000D32A0000}"/>
    <cellStyle name="Normal 2 3 4 2 3" xfId="10931" xr:uid="{00000000-0005-0000-0000-0000D42A0000}"/>
    <cellStyle name="Normal 2 3 4 2 3 2" xfId="10932" xr:uid="{00000000-0005-0000-0000-0000D52A0000}"/>
    <cellStyle name="Normal 2 3 4 2 3 3" xfId="10933" xr:uid="{00000000-0005-0000-0000-0000D62A0000}"/>
    <cellStyle name="Normal 2 3 4 2 4" xfId="10934" xr:uid="{00000000-0005-0000-0000-0000D72A0000}"/>
    <cellStyle name="Normal 2 3 4 2 5" xfId="10935" xr:uid="{00000000-0005-0000-0000-0000D82A0000}"/>
    <cellStyle name="Normal 2 3 4 3" xfId="10936" xr:uid="{00000000-0005-0000-0000-0000D92A0000}"/>
    <cellStyle name="Normal 2 3 4 3 2" xfId="10937" xr:uid="{00000000-0005-0000-0000-0000DA2A0000}"/>
    <cellStyle name="Normal 2 3 4 3 2 2" xfId="10938" xr:uid="{00000000-0005-0000-0000-0000DB2A0000}"/>
    <cellStyle name="Normal 2 3 4 3 2 3" xfId="10939" xr:uid="{00000000-0005-0000-0000-0000DC2A0000}"/>
    <cellStyle name="Normal 2 3 4 3 3" xfId="10940" xr:uid="{00000000-0005-0000-0000-0000DD2A0000}"/>
    <cellStyle name="Normal 2 3 4 3 4" xfId="10941" xr:uid="{00000000-0005-0000-0000-0000DE2A0000}"/>
    <cellStyle name="Normal 2 3 4 4" xfId="10942" xr:uid="{00000000-0005-0000-0000-0000DF2A0000}"/>
    <cellStyle name="Normal 2 3 4 4 2" xfId="10943" xr:uid="{00000000-0005-0000-0000-0000E02A0000}"/>
    <cellStyle name="Normal 2 3 4 4 3" xfId="10944" xr:uid="{00000000-0005-0000-0000-0000E12A0000}"/>
    <cellStyle name="Normal 2 3 4 5" xfId="10945" xr:uid="{00000000-0005-0000-0000-0000E22A0000}"/>
    <cellStyle name="Normal 2 3 4 6" xfId="10946" xr:uid="{00000000-0005-0000-0000-0000E32A0000}"/>
    <cellStyle name="Normal 2 3 5" xfId="10947" xr:uid="{00000000-0005-0000-0000-0000E42A0000}"/>
    <cellStyle name="Normal 2 3 5 2" xfId="10948" xr:uid="{00000000-0005-0000-0000-0000E52A0000}"/>
    <cellStyle name="Normal 2 3 5 2 2" xfId="10949" xr:uid="{00000000-0005-0000-0000-0000E62A0000}"/>
    <cellStyle name="Normal 2 3 5 2 2 2" xfId="10950" xr:uid="{00000000-0005-0000-0000-0000E72A0000}"/>
    <cellStyle name="Normal 2 3 5 2 2 2 2" xfId="10951" xr:uid="{00000000-0005-0000-0000-0000E82A0000}"/>
    <cellStyle name="Normal 2 3 5 2 2 2 3" xfId="10952" xr:uid="{00000000-0005-0000-0000-0000E92A0000}"/>
    <cellStyle name="Normal 2 3 5 2 2 3" xfId="10953" xr:uid="{00000000-0005-0000-0000-0000EA2A0000}"/>
    <cellStyle name="Normal 2 3 5 2 2 4" xfId="10954" xr:uid="{00000000-0005-0000-0000-0000EB2A0000}"/>
    <cellStyle name="Normal 2 3 5 2 3" xfId="10955" xr:uid="{00000000-0005-0000-0000-0000EC2A0000}"/>
    <cellStyle name="Normal 2 3 5 2 3 2" xfId="10956" xr:uid="{00000000-0005-0000-0000-0000ED2A0000}"/>
    <cellStyle name="Normal 2 3 5 2 3 3" xfId="10957" xr:uid="{00000000-0005-0000-0000-0000EE2A0000}"/>
    <cellStyle name="Normal 2 3 5 2 4" xfId="10958" xr:uid="{00000000-0005-0000-0000-0000EF2A0000}"/>
    <cellStyle name="Normal 2 3 5 2 5" xfId="10959" xr:uid="{00000000-0005-0000-0000-0000F02A0000}"/>
    <cellStyle name="Normal 2 3 5 3" xfId="10960" xr:uid="{00000000-0005-0000-0000-0000F12A0000}"/>
    <cellStyle name="Normal 2 3 5 3 2" xfId="10961" xr:uid="{00000000-0005-0000-0000-0000F22A0000}"/>
    <cellStyle name="Normal 2 3 5 3 2 2" xfId="10962" xr:uid="{00000000-0005-0000-0000-0000F32A0000}"/>
    <cellStyle name="Normal 2 3 5 3 2 3" xfId="10963" xr:uid="{00000000-0005-0000-0000-0000F42A0000}"/>
    <cellStyle name="Normal 2 3 5 3 3" xfId="10964" xr:uid="{00000000-0005-0000-0000-0000F52A0000}"/>
    <cellStyle name="Normal 2 3 5 3 4" xfId="10965" xr:uid="{00000000-0005-0000-0000-0000F62A0000}"/>
    <cellStyle name="Normal 2 3 5 4" xfId="10966" xr:uid="{00000000-0005-0000-0000-0000F72A0000}"/>
    <cellStyle name="Normal 2 3 5 4 2" xfId="10967" xr:uid="{00000000-0005-0000-0000-0000F82A0000}"/>
    <cellStyle name="Normal 2 3 5 4 3" xfId="10968" xr:uid="{00000000-0005-0000-0000-0000F92A0000}"/>
    <cellStyle name="Normal 2 3 5 5" xfId="10969" xr:uid="{00000000-0005-0000-0000-0000FA2A0000}"/>
    <cellStyle name="Normal 2 3 5 6" xfId="10970" xr:uid="{00000000-0005-0000-0000-0000FB2A0000}"/>
    <cellStyle name="Normal 2 3 6" xfId="10971" xr:uid="{00000000-0005-0000-0000-0000FC2A0000}"/>
    <cellStyle name="Normal 2 3 6 2" xfId="10972" xr:uid="{00000000-0005-0000-0000-0000FD2A0000}"/>
    <cellStyle name="Normal 2 3 6 2 2" xfId="10973" xr:uid="{00000000-0005-0000-0000-0000FE2A0000}"/>
    <cellStyle name="Normal 2 3 6 2 2 2" xfId="10974" xr:uid="{00000000-0005-0000-0000-0000FF2A0000}"/>
    <cellStyle name="Normal 2 3 6 2 2 2 2" xfId="10975" xr:uid="{00000000-0005-0000-0000-0000002B0000}"/>
    <cellStyle name="Normal 2 3 6 2 2 2 3" xfId="10976" xr:uid="{00000000-0005-0000-0000-0000012B0000}"/>
    <cellStyle name="Normal 2 3 6 2 2 3" xfId="10977" xr:uid="{00000000-0005-0000-0000-0000022B0000}"/>
    <cellStyle name="Normal 2 3 6 2 2 4" xfId="10978" xr:uid="{00000000-0005-0000-0000-0000032B0000}"/>
    <cellStyle name="Normal 2 3 6 2 3" xfId="10979" xr:uid="{00000000-0005-0000-0000-0000042B0000}"/>
    <cellStyle name="Normal 2 3 6 2 3 2" xfId="10980" xr:uid="{00000000-0005-0000-0000-0000052B0000}"/>
    <cellStyle name="Normal 2 3 6 2 3 3" xfId="10981" xr:uid="{00000000-0005-0000-0000-0000062B0000}"/>
    <cellStyle name="Normal 2 3 6 2 4" xfId="10982" xr:uid="{00000000-0005-0000-0000-0000072B0000}"/>
    <cellStyle name="Normal 2 3 6 2 5" xfId="10983" xr:uid="{00000000-0005-0000-0000-0000082B0000}"/>
    <cellStyle name="Normal 2 3 6 3" xfId="10984" xr:uid="{00000000-0005-0000-0000-0000092B0000}"/>
    <cellStyle name="Normal 2 3 6 3 2" xfId="10985" xr:uid="{00000000-0005-0000-0000-00000A2B0000}"/>
    <cellStyle name="Normal 2 3 6 3 2 2" xfId="10986" xr:uid="{00000000-0005-0000-0000-00000B2B0000}"/>
    <cellStyle name="Normal 2 3 6 3 2 3" xfId="10987" xr:uid="{00000000-0005-0000-0000-00000C2B0000}"/>
    <cellStyle name="Normal 2 3 6 3 3" xfId="10988" xr:uid="{00000000-0005-0000-0000-00000D2B0000}"/>
    <cellStyle name="Normal 2 3 6 3 4" xfId="10989" xr:uid="{00000000-0005-0000-0000-00000E2B0000}"/>
    <cellStyle name="Normal 2 3 6 4" xfId="10990" xr:uid="{00000000-0005-0000-0000-00000F2B0000}"/>
    <cellStyle name="Normal 2 3 6 4 2" xfId="10991" xr:uid="{00000000-0005-0000-0000-0000102B0000}"/>
    <cellStyle name="Normal 2 3 6 4 3" xfId="10992" xr:uid="{00000000-0005-0000-0000-0000112B0000}"/>
    <cellStyle name="Normal 2 3 6 5" xfId="10993" xr:uid="{00000000-0005-0000-0000-0000122B0000}"/>
    <cellStyle name="Normal 2 3 6 6" xfId="10994" xr:uid="{00000000-0005-0000-0000-0000132B0000}"/>
    <cellStyle name="Normal 2 3 7" xfId="10995" xr:uid="{00000000-0005-0000-0000-0000142B0000}"/>
    <cellStyle name="Normal 2 3 8" xfId="10996" xr:uid="{00000000-0005-0000-0000-0000152B0000}"/>
    <cellStyle name="Normal 2 3 9" xfId="10997" xr:uid="{00000000-0005-0000-0000-0000162B0000}"/>
    <cellStyle name="Normal 2 4" xfId="10998" xr:uid="{00000000-0005-0000-0000-0000172B0000}"/>
    <cellStyle name="Normal 2 4 2" xfId="10999" xr:uid="{00000000-0005-0000-0000-0000182B0000}"/>
    <cellStyle name="Normal 2 4 2 2" xfId="11000" xr:uid="{00000000-0005-0000-0000-0000192B0000}"/>
    <cellStyle name="Normal 2 4 2 2 2" xfId="11001" xr:uid="{00000000-0005-0000-0000-00001A2B0000}"/>
    <cellStyle name="Normal 2 4 2 2 2 2" xfId="11002" xr:uid="{00000000-0005-0000-0000-00001B2B0000}"/>
    <cellStyle name="Normal 2 4 2 2 2 2 2" xfId="11003" xr:uid="{00000000-0005-0000-0000-00001C2B0000}"/>
    <cellStyle name="Normal 2 4 2 2 2 2 3" xfId="11004" xr:uid="{00000000-0005-0000-0000-00001D2B0000}"/>
    <cellStyle name="Normal 2 4 2 2 2 3" xfId="11005" xr:uid="{00000000-0005-0000-0000-00001E2B0000}"/>
    <cellStyle name="Normal 2 4 2 2 2 4" xfId="11006" xr:uid="{00000000-0005-0000-0000-00001F2B0000}"/>
    <cellStyle name="Normal 2 4 2 2 3" xfId="11007" xr:uid="{00000000-0005-0000-0000-0000202B0000}"/>
    <cellStyle name="Normal 2 4 2 2 3 2" xfId="11008" xr:uid="{00000000-0005-0000-0000-0000212B0000}"/>
    <cellStyle name="Normal 2 4 2 2 3 3" xfId="11009" xr:uid="{00000000-0005-0000-0000-0000222B0000}"/>
    <cellStyle name="Normal 2 4 2 2 4" xfId="11010" xr:uid="{00000000-0005-0000-0000-0000232B0000}"/>
    <cellStyle name="Normal 2 4 2 2 5" xfId="11011" xr:uid="{00000000-0005-0000-0000-0000242B0000}"/>
    <cellStyle name="Normal 2 4 2 3" xfId="11012" xr:uid="{00000000-0005-0000-0000-0000252B0000}"/>
    <cellStyle name="Normal 2 4 2 3 2" xfId="11013" xr:uid="{00000000-0005-0000-0000-0000262B0000}"/>
    <cellStyle name="Normal 2 4 2 3 2 2" xfId="11014" xr:uid="{00000000-0005-0000-0000-0000272B0000}"/>
    <cellStyle name="Normal 2 4 2 3 2 3" xfId="11015" xr:uid="{00000000-0005-0000-0000-0000282B0000}"/>
    <cellStyle name="Normal 2 4 2 3 3" xfId="11016" xr:uid="{00000000-0005-0000-0000-0000292B0000}"/>
    <cellStyle name="Normal 2 4 2 3 4" xfId="11017" xr:uid="{00000000-0005-0000-0000-00002A2B0000}"/>
    <cellStyle name="Normal 2 4 2 4" xfId="11018" xr:uid="{00000000-0005-0000-0000-00002B2B0000}"/>
    <cellStyle name="Normal 2 4 2 4 2" xfId="11019" xr:uid="{00000000-0005-0000-0000-00002C2B0000}"/>
    <cellStyle name="Normal 2 4 2 4 3" xfId="11020" xr:uid="{00000000-0005-0000-0000-00002D2B0000}"/>
    <cellStyle name="Normal 2 4 2 5" xfId="11021" xr:uid="{00000000-0005-0000-0000-00002E2B0000}"/>
    <cellStyle name="Normal 2 4 2 6" xfId="11022" xr:uid="{00000000-0005-0000-0000-00002F2B0000}"/>
    <cellStyle name="Normal 2 4 3" xfId="11023" xr:uid="{00000000-0005-0000-0000-0000302B0000}"/>
    <cellStyle name="Normal 2 4 4" xfId="11024" xr:uid="{00000000-0005-0000-0000-0000312B0000}"/>
    <cellStyle name="Normal 2 4 5" xfId="11025" xr:uid="{00000000-0005-0000-0000-0000322B0000}"/>
    <cellStyle name="Normal 2 4 5 2" xfId="11026" xr:uid="{00000000-0005-0000-0000-0000332B0000}"/>
    <cellStyle name="Normal 2 4 5 2 2" xfId="11027" xr:uid="{00000000-0005-0000-0000-0000342B0000}"/>
    <cellStyle name="Normal 2 4 5 2 2 2" xfId="11028" xr:uid="{00000000-0005-0000-0000-0000352B0000}"/>
    <cellStyle name="Normal 2 4 5 2 2 2 2" xfId="11029" xr:uid="{00000000-0005-0000-0000-0000362B0000}"/>
    <cellStyle name="Normal 2 4 5 2 2 2 3" xfId="11030" xr:uid="{00000000-0005-0000-0000-0000372B0000}"/>
    <cellStyle name="Normal 2 4 5 2 2 3" xfId="11031" xr:uid="{00000000-0005-0000-0000-0000382B0000}"/>
    <cellStyle name="Normal 2 4 5 2 2 4" xfId="11032" xr:uid="{00000000-0005-0000-0000-0000392B0000}"/>
    <cellStyle name="Normal 2 4 5 2 3" xfId="11033" xr:uid="{00000000-0005-0000-0000-00003A2B0000}"/>
    <cellStyle name="Normal 2 4 5 2 3 2" xfId="11034" xr:uid="{00000000-0005-0000-0000-00003B2B0000}"/>
    <cellStyle name="Normal 2 4 5 2 3 3" xfId="11035" xr:uid="{00000000-0005-0000-0000-00003C2B0000}"/>
    <cellStyle name="Normal 2 4 5 2 4" xfId="11036" xr:uid="{00000000-0005-0000-0000-00003D2B0000}"/>
    <cellStyle name="Normal 2 4 5 2 5" xfId="11037" xr:uid="{00000000-0005-0000-0000-00003E2B0000}"/>
    <cellStyle name="Normal 2 4 5 3" xfId="11038" xr:uid="{00000000-0005-0000-0000-00003F2B0000}"/>
    <cellStyle name="Normal 2 4 5 3 2" xfId="11039" xr:uid="{00000000-0005-0000-0000-0000402B0000}"/>
    <cellStyle name="Normal 2 4 5 3 2 2" xfId="11040" xr:uid="{00000000-0005-0000-0000-0000412B0000}"/>
    <cellStyle name="Normal 2 4 5 3 2 3" xfId="11041" xr:uid="{00000000-0005-0000-0000-0000422B0000}"/>
    <cellStyle name="Normal 2 4 5 3 3" xfId="11042" xr:uid="{00000000-0005-0000-0000-0000432B0000}"/>
    <cellStyle name="Normal 2 4 5 3 4" xfId="11043" xr:uid="{00000000-0005-0000-0000-0000442B0000}"/>
    <cellStyle name="Normal 2 4 5 4" xfId="11044" xr:uid="{00000000-0005-0000-0000-0000452B0000}"/>
    <cellStyle name="Normal 2 4 5 4 2" xfId="11045" xr:uid="{00000000-0005-0000-0000-0000462B0000}"/>
    <cellStyle name="Normal 2 4 5 4 3" xfId="11046" xr:uid="{00000000-0005-0000-0000-0000472B0000}"/>
    <cellStyle name="Normal 2 4 5 5" xfId="11047" xr:uid="{00000000-0005-0000-0000-0000482B0000}"/>
    <cellStyle name="Normal 2 4 5 6" xfId="11048" xr:uid="{00000000-0005-0000-0000-0000492B0000}"/>
    <cellStyle name="Normal 2 5" xfId="11049" xr:uid="{00000000-0005-0000-0000-00004A2B0000}"/>
    <cellStyle name="Normal 2 5 2" xfId="11050" xr:uid="{00000000-0005-0000-0000-00004B2B0000}"/>
    <cellStyle name="Normal 2 5 3" xfId="11051" xr:uid="{00000000-0005-0000-0000-00004C2B0000}"/>
    <cellStyle name="Normal 2 5 3 2" xfId="11052" xr:uid="{00000000-0005-0000-0000-00004D2B0000}"/>
    <cellStyle name="Normal 2 5 3 2 2" xfId="11053" xr:uid="{00000000-0005-0000-0000-00004E2B0000}"/>
    <cellStyle name="Normal 2 5 3 2 2 2" xfId="11054" xr:uid="{00000000-0005-0000-0000-00004F2B0000}"/>
    <cellStyle name="Normal 2 5 3 2 2 2 2" xfId="11055" xr:uid="{00000000-0005-0000-0000-0000502B0000}"/>
    <cellStyle name="Normal 2 5 3 2 2 2 3" xfId="11056" xr:uid="{00000000-0005-0000-0000-0000512B0000}"/>
    <cellStyle name="Normal 2 5 3 2 2 3" xfId="11057" xr:uid="{00000000-0005-0000-0000-0000522B0000}"/>
    <cellStyle name="Normal 2 5 3 2 2 4" xfId="11058" xr:uid="{00000000-0005-0000-0000-0000532B0000}"/>
    <cellStyle name="Normal 2 5 3 2 3" xfId="11059" xr:uid="{00000000-0005-0000-0000-0000542B0000}"/>
    <cellStyle name="Normal 2 5 3 2 3 2" xfId="11060" xr:uid="{00000000-0005-0000-0000-0000552B0000}"/>
    <cellStyle name="Normal 2 5 3 2 3 3" xfId="11061" xr:uid="{00000000-0005-0000-0000-0000562B0000}"/>
    <cellStyle name="Normal 2 5 3 2 4" xfId="11062" xr:uid="{00000000-0005-0000-0000-0000572B0000}"/>
    <cellStyle name="Normal 2 5 3 2 5" xfId="11063" xr:uid="{00000000-0005-0000-0000-0000582B0000}"/>
    <cellStyle name="Normal 2 5 3 3" xfId="11064" xr:uid="{00000000-0005-0000-0000-0000592B0000}"/>
    <cellStyle name="Normal 2 5 3 3 2" xfId="11065" xr:uid="{00000000-0005-0000-0000-00005A2B0000}"/>
    <cellStyle name="Normal 2 5 3 3 2 2" xfId="11066" xr:uid="{00000000-0005-0000-0000-00005B2B0000}"/>
    <cellStyle name="Normal 2 5 3 3 2 3" xfId="11067" xr:uid="{00000000-0005-0000-0000-00005C2B0000}"/>
    <cellStyle name="Normal 2 5 3 3 3" xfId="11068" xr:uid="{00000000-0005-0000-0000-00005D2B0000}"/>
    <cellStyle name="Normal 2 5 3 3 4" xfId="11069" xr:uid="{00000000-0005-0000-0000-00005E2B0000}"/>
    <cellStyle name="Normal 2 5 3 4" xfId="11070" xr:uid="{00000000-0005-0000-0000-00005F2B0000}"/>
    <cellStyle name="Normal 2 5 3 4 2" xfId="11071" xr:uid="{00000000-0005-0000-0000-0000602B0000}"/>
    <cellStyle name="Normal 2 5 3 4 3" xfId="11072" xr:uid="{00000000-0005-0000-0000-0000612B0000}"/>
    <cellStyle name="Normal 2 5 3 5" xfId="11073" xr:uid="{00000000-0005-0000-0000-0000622B0000}"/>
    <cellStyle name="Normal 2 5 3 6" xfId="11074" xr:uid="{00000000-0005-0000-0000-0000632B0000}"/>
    <cellStyle name="Normal 2 6" xfId="11075" xr:uid="{00000000-0005-0000-0000-0000642B0000}"/>
    <cellStyle name="Normal 2 6 2" xfId="11076" xr:uid="{00000000-0005-0000-0000-0000652B0000}"/>
    <cellStyle name="Normal 2 6 3" xfId="11077" xr:uid="{00000000-0005-0000-0000-0000662B0000}"/>
    <cellStyle name="Normal 2 6 3 2" xfId="11078" xr:uid="{00000000-0005-0000-0000-0000672B0000}"/>
    <cellStyle name="Normal 2 6 3 2 2" xfId="11079" xr:uid="{00000000-0005-0000-0000-0000682B0000}"/>
    <cellStyle name="Normal 2 6 3 2 2 2" xfId="11080" xr:uid="{00000000-0005-0000-0000-0000692B0000}"/>
    <cellStyle name="Normal 2 6 3 2 2 2 2" xfId="11081" xr:uid="{00000000-0005-0000-0000-00006A2B0000}"/>
    <cellStyle name="Normal 2 6 3 2 2 2 3" xfId="11082" xr:uid="{00000000-0005-0000-0000-00006B2B0000}"/>
    <cellStyle name="Normal 2 6 3 2 2 3" xfId="11083" xr:uid="{00000000-0005-0000-0000-00006C2B0000}"/>
    <cellStyle name="Normal 2 6 3 2 2 4" xfId="11084" xr:uid="{00000000-0005-0000-0000-00006D2B0000}"/>
    <cellStyle name="Normal 2 6 3 2 3" xfId="11085" xr:uid="{00000000-0005-0000-0000-00006E2B0000}"/>
    <cellStyle name="Normal 2 6 3 2 3 2" xfId="11086" xr:uid="{00000000-0005-0000-0000-00006F2B0000}"/>
    <cellStyle name="Normal 2 6 3 2 3 3" xfId="11087" xr:uid="{00000000-0005-0000-0000-0000702B0000}"/>
    <cellStyle name="Normal 2 6 3 2 4" xfId="11088" xr:uid="{00000000-0005-0000-0000-0000712B0000}"/>
    <cellStyle name="Normal 2 6 3 2 5" xfId="11089" xr:uid="{00000000-0005-0000-0000-0000722B0000}"/>
    <cellStyle name="Normal 2 6 3 3" xfId="11090" xr:uid="{00000000-0005-0000-0000-0000732B0000}"/>
    <cellStyle name="Normal 2 6 3 3 2" xfId="11091" xr:uid="{00000000-0005-0000-0000-0000742B0000}"/>
    <cellStyle name="Normal 2 6 3 3 2 2" xfId="11092" xr:uid="{00000000-0005-0000-0000-0000752B0000}"/>
    <cellStyle name="Normal 2 6 3 3 2 3" xfId="11093" xr:uid="{00000000-0005-0000-0000-0000762B0000}"/>
    <cellStyle name="Normal 2 6 3 3 3" xfId="11094" xr:uid="{00000000-0005-0000-0000-0000772B0000}"/>
    <cellStyle name="Normal 2 6 3 3 4" xfId="11095" xr:uid="{00000000-0005-0000-0000-0000782B0000}"/>
    <cellStyle name="Normal 2 6 3 4" xfId="11096" xr:uid="{00000000-0005-0000-0000-0000792B0000}"/>
    <cellStyle name="Normal 2 6 3 4 2" xfId="11097" xr:uid="{00000000-0005-0000-0000-00007A2B0000}"/>
    <cellStyle name="Normal 2 6 3 4 3" xfId="11098" xr:uid="{00000000-0005-0000-0000-00007B2B0000}"/>
    <cellStyle name="Normal 2 6 3 5" xfId="11099" xr:uid="{00000000-0005-0000-0000-00007C2B0000}"/>
    <cellStyle name="Normal 2 6 3 6" xfId="11100" xr:uid="{00000000-0005-0000-0000-00007D2B0000}"/>
    <cellStyle name="Normal 2 7" xfId="11101" xr:uid="{00000000-0005-0000-0000-00007E2B0000}"/>
    <cellStyle name="Normal 2 7 2" xfId="11102" xr:uid="{00000000-0005-0000-0000-00007F2B0000}"/>
    <cellStyle name="Normal 2 7 3" xfId="11103" xr:uid="{00000000-0005-0000-0000-0000802B0000}"/>
    <cellStyle name="Normal 2 7 3 2" xfId="11104" xr:uid="{00000000-0005-0000-0000-0000812B0000}"/>
    <cellStyle name="Normal 2 7 3 2 2" xfId="11105" xr:uid="{00000000-0005-0000-0000-0000822B0000}"/>
    <cellStyle name="Normal 2 7 3 2 2 2" xfId="11106" xr:uid="{00000000-0005-0000-0000-0000832B0000}"/>
    <cellStyle name="Normal 2 7 3 2 2 2 2" xfId="11107" xr:uid="{00000000-0005-0000-0000-0000842B0000}"/>
    <cellStyle name="Normal 2 7 3 2 2 2 3" xfId="11108" xr:uid="{00000000-0005-0000-0000-0000852B0000}"/>
    <cellStyle name="Normal 2 7 3 2 2 3" xfId="11109" xr:uid="{00000000-0005-0000-0000-0000862B0000}"/>
    <cellStyle name="Normal 2 7 3 2 2 4" xfId="11110" xr:uid="{00000000-0005-0000-0000-0000872B0000}"/>
    <cellStyle name="Normal 2 7 3 2 3" xfId="11111" xr:uid="{00000000-0005-0000-0000-0000882B0000}"/>
    <cellStyle name="Normal 2 7 3 2 3 2" xfId="11112" xr:uid="{00000000-0005-0000-0000-0000892B0000}"/>
    <cellStyle name="Normal 2 7 3 2 3 3" xfId="11113" xr:uid="{00000000-0005-0000-0000-00008A2B0000}"/>
    <cellStyle name="Normal 2 7 3 2 4" xfId="11114" xr:uid="{00000000-0005-0000-0000-00008B2B0000}"/>
    <cellStyle name="Normal 2 7 3 2 5" xfId="11115" xr:uid="{00000000-0005-0000-0000-00008C2B0000}"/>
    <cellStyle name="Normal 2 7 3 3" xfId="11116" xr:uid="{00000000-0005-0000-0000-00008D2B0000}"/>
    <cellStyle name="Normal 2 7 3 3 2" xfId="11117" xr:uid="{00000000-0005-0000-0000-00008E2B0000}"/>
    <cellStyle name="Normal 2 7 3 3 2 2" xfId="11118" xr:uid="{00000000-0005-0000-0000-00008F2B0000}"/>
    <cellStyle name="Normal 2 7 3 3 2 3" xfId="11119" xr:uid="{00000000-0005-0000-0000-0000902B0000}"/>
    <cellStyle name="Normal 2 7 3 3 3" xfId="11120" xr:uid="{00000000-0005-0000-0000-0000912B0000}"/>
    <cellStyle name="Normal 2 7 3 3 4" xfId="11121" xr:uid="{00000000-0005-0000-0000-0000922B0000}"/>
    <cellStyle name="Normal 2 7 3 4" xfId="11122" xr:uid="{00000000-0005-0000-0000-0000932B0000}"/>
    <cellStyle name="Normal 2 7 3 4 2" xfId="11123" xr:uid="{00000000-0005-0000-0000-0000942B0000}"/>
    <cellStyle name="Normal 2 7 3 4 3" xfId="11124" xr:uid="{00000000-0005-0000-0000-0000952B0000}"/>
    <cellStyle name="Normal 2 7 3 5" xfId="11125" xr:uid="{00000000-0005-0000-0000-0000962B0000}"/>
    <cellStyle name="Normal 2 7 3 6" xfId="11126" xr:uid="{00000000-0005-0000-0000-0000972B0000}"/>
    <cellStyle name="Normal 2 8" xfId="11127" xr:uid="{00000000-0005-0000-0000-0000982B0000}"/>
    <cellStyle name="Normal 2 8 2" xfId="11128" xr:uid="{00000000-0005-0000-0000-0000992B0000}"/>
    <cellStyle name="Normal 2 8 3" xfId="11129" xr:uid="{00000000-0005-0000-0000-00009A2B0000}"/>
    <cellStyle name="Normal 2 8 3 2" xfId="11130" xr:uid="{00000000-0005-0000-0000-00009B2B0000}"/>
    <cellStyle name="Normal 2 8 3 2 2" xfId="11131" xr:uid="{00000000-0005-0000-0000-00009C2B0000}"/>
    <cellStyle name="Normal 2 8 3 2 2 2" xfId="11132" xr:uid="{00000000-0005-0000-0000-00009D2B0000}"/>
    <cellStyle name="Normal 2 8 3 2 2 2 2" xfId="11133" xr:uid="{00000000-0005-0000-0000-00009E2B0000}"/>
    <cellStyle name="Normal 2 8 3 2 2 2 3" xfId="11134" xr:uid="{00000000-0005-0000-0000-00009F2B0000}"/>
    <cellStyle name="Normal 2 8 3 2 2 3" xfId="11135" xr:uid="{00000000-0005-0000-0000-0000A02B0000}"/>
    <cellStyle name="Normal 2 8 3 2 2 4" xfId="11136" xr:uid="{00000000-0005-0000-0000-0000A12B0000}"/>
    <cellStyle name="Normal 2 8 3 2 3" xfId="11137" xr:uid="{00000000-0005-0000-0000-0000A22B0000}"/>
    <cellStyle name="Normal 2 8 3 2 3 2" xfId="11138" xr:uid="{00000000-0005-0000-0000-0000A32B0000}"/>
    <cellStyle name="Normal 2 8 3 2 3 3" xfId="11139" xr:uid="{00000000-0005-0000-0000-0000A42B0000}"/>
    <cellStyle name="Normal 2 8 3 2 4" xfId="11140" xr:uid="{00000000-0005-0000-0000-0000A52B0000}"/>
    <cellStyle name="Normal 2 8 3 2 5" xfId="11141" xr:uid="{00000000-0005-0000-0000-0000A62B0000}"/>
    <cellStyle name="Normal 2 8 3 3" xfId="11142" xr:uid="{00000000-0005-0000-0000-0000A72B0000}"/>
    <cellStyle name="Normal 2 8 3 3 2" xfId="11143" xr:uid="{00000000-0005-0000-0000-0000A82B0000}"/>
    <cellStyle name="Normal 2 8 3 3 2 2" xfId="11144" xr:uid="{00000000-0005-0000-0000-0000A92B0000}"/>
    <cellStyle name="Normal 2 8 3 3 2 3" xfId="11145" xr:uid="{00000000-0005-0000-0000-0000AA2B0000}"/>
    <cellStyle name="Normal 2 8 3 3 3" xfId="11146" xr:uid="{00000000-0005-0000-0000-0000AB2B0000}"/>
    <cellStyle name="Normal 2 8 3 3 4" xfId="11147" xr:uid="{00000000-0005-0000-0000-0000AC2B0000}"/>
    <cellStyle name="Normal 2 8 3 4" xfId="11148" xr:uid="{00000000-0005-0000-0000-0000AD2B0000}"/>
    <cellStyle name="Normal 2 8 3 4 2" xfId="11149" xr:uid="{00000000-0005-0000-0000-0000AE2B0000}"/>
    <cellStyle name="Normal 2 8 3 4 3" xfId="11150" xr:uid="{00000000-0005-0000-0000-0000AF2B0000}"/>
    <cellStyle name="Normal 2 8 3 5" xfId="11151" xr:uid="{00000000-0005-0000-0000-0000B02B0000}"/>
    <cellStyle name="Normal 2 8 3 6" xfId="11152" xr:uid="{00000000-0005-0000-0000-0000B12B0000}"/>
    <cellStyle name="Normal 2 9" xfId="11153" xr:uid="{00000000-0005-0000-0000-0000B22B0000}"/>
    <cellStyle name="Normal 2 9 2" xfId="11154" xr:uid="{00000000-0005-0000-0000-0000B32B0000}"/>
    <cellStyle name="Normal 2 9 3" xfId="11155" xr:uid="{00000000-0005-0000-0000-0000B42B0000}"/>
    <cellStyle name="Normal 2 9 3 2" xfId="11156" xr:uid="{00000000-0005-0000-0000-0000B52B0000}"/>
    <cellStyle name="Normal 2 9 3 2 2" xfId="11157" xr:uid="{00000000-0005-0000-0000-0000B62B0000}"/>
    <cellStyle name="Normal 2 9 3 2 2 2" xfId="11158" xr:uid="{00000000-0005-0000-0000-0000B72B0000}"/>
    <cellStyle name="Normal 2 9 3 2 2 2 2" xfId="11159" xr:uid="{00000000-0005-0000-0000-0000B82B0000}"/>
    <cellStyle name="Normal 2 9 3 2 2 2 3" xfId="11160" xr:uid="{00000000-0005-0000-0000-0000B92B0000}"/>
    <cellStyle name="Normal 2 9 3 2 2 3" xfId="11161" xr:uid="{00000000-0005-0000-0000-0000BA2B0000}"/>
    <cellStyle name="Normal 2 9 3 2 2 4" xfId="11162" xr:uid="{00000000-0005-0000-0000-0000BB2B0000}"/>
    <cellStyle name="Normal 2 9 3 2 3" xfId="11163" xr:uid="{00000000-0005-0000-0000-0000BC2B0000}"/>
    <cellStyle name="Normal 2 9 3 2 3 2" xfId="11164" xr:uid="{00000000-0005-0000-0000-0000BD2B0000}"/>
    <cellStyle name="Normal 2 9 3 2 3 3" xfId="11165" xr:uid="{00000000-0005-0000-0000-0000BE2B0000}"/>
    <cellStyle name="Normal 2 9 3 2 4" xfId="11166" xr:uid="{00000000-0005-0000-0000-0000BF2B0000}"/>
    <cellStyle name="Normal 2 9 3 2 5" xfId="11167" xr:uid="{00000000-0005-0000-0000-0000C02B0000}"/>
    <cellStyle name="Normal 2 9 3 3" xfId="11168" xr:uid="{00000000-0005-0000-0000-0000C12B0000}"/>
    <cellStyle name="Normal 2 9 3 3 2" xfId="11169" xr:uid="{00000000-0005-0000-0000-0000C22B0000}"/>
    <cellStyle name="Normal 2 9 3 3 2 2" xfId="11170" xr:uid="{00000000-0005-0000-0000-0000C32B0000}"/>
    <cellStyle name="Normal 2 9 3 3 2 3" xfId="11171" xr:uid="{00000000-0005-0000-0000-0000C42B0000}"/>
    <cellStyle name="Normal 2 9 3 3 3" xfId="11172" xr:uid="{00000000-0005-0000-0000-0000C52B0000}"/>
    <cellStyle name="Normal 2 9 3 3 4" xfId="11173" xr:uid="{00000000-0005-0000-0000-0000C62B0000}"/>
    <cellStyle name="Normal 2 9 3 4" xfId="11174" xr:uid="{00000000-0005-0000-0000-0000C72B0000}"/>
    <cellStyle name="Normal 2 9 3 4 2" xfId="11175" xr:uid="{00000000-0005-0000-0000-0000C82B0000}"/>
    <cellStyle name="Normal 2 9 3 4 3" xfId="11176" xr:uid="{00000000-0005-0000-0000-0000C92B0000}"/>
    <cellStyle name="Normal 2 9 3 5" xfId="11177" xr:uid="{00000000-0005-0000-0000-0000CA2B0000}"/>
    <cellStyle name="Normal 2 9 3 6" xfId="11178" xr:uid="{00000000-0005-0000-0000-0000CB2B0000}"/>
    <cellStyle name="Normal 20" xfId="11179" xr:uid="{00000000-0005-0000-0000-0000CC2B0000}"/>
    <cellStyle name="Normal 20 10" xfId="11180" xr:uid="{00000000-0005-0000-0000-0000CD2B0000}"/>
    <cellStyle name="Normal 20 11" xfId="11181" xr:uid="{00000000-0005-0000-0000-0000CE2B0000}"/>
    <cellStyle name="Normal 20 12" xfId="11182" xr:uid="{00000000-0005-0000-0000-0000CF2B0000}"/>
    <cellStyle name="Normal 20 13" xfId="11183" xr:uid="{00000000-0005-0000-0000-0000D02B0000}"/>
    <cellStyle name="Normal 20 14" xfId="11184" xr:uid="{00000000-0005-0000-0000-0000D12B0000}"/>
    <cellStyle name="Normal 20 15" xfId="11185" xr:uid="{00000000-0005-0000-0000-0000D22B0000}"/>
    <cellStyle name="Normal 20 16" xfId="11186" xr:uid="{00000000-0005-0000-0000-0000D32B0000}"/>
    <cellStyle name="Normal 20 17" xfId="11187" xr:uid="{00000000-0005-0000-0000-0000D42B0000}"/>
    <cellStyle name="Normal 20 18" xfId="11188" xr:uid="{00000000-0005-0000-0000-0000D52B0000}"/>
    <cellStyle name="Normal 20 19" xfId="11189" xr:uid="{00000000-0005-0000-0000-0000D62B0000}"/>
    <cellStyle name="Normal 20 2" xfId="11190" xr:uid="{00000000-0005-0000-0000-0000D72B0000}"/>
    <cellStyle name="Normal 20 20" xfId="11191" xr:uid="{00000000-0005-0000-0000-0000D82B0000}"/>
    <cellStyle name="Normal 20 21" xfId="11192" xr:uid="{00000000-0005-0000-0000-0000D92B0000}"/>
    <cellStyle name="Normal 20 22" xfId="11193" xr:uid="{00000000-0005-0000-0000-0000DA2B0000}"/>
    <cellStyle name="Normal 20 23" xfId="11194" xr:uid="{00000000-0005-0000-0000-0000DB2B0000}"/>
    <cellStyle name="Normal 20 24" xfId="11195" xr:uid="{00000000-0005-0000-0000-0000DC2B0000}"/>
    <cellStyle name="Normal 20 3" xfId="11196" xr:uid="{00000000-0005-0000-0000-0000DD2B0000}"/>
    <cellStyle name="Normal 20 4" xfId="11197" xr:uid="{00000000-0005-0000-0000-0000DE2B0000}"/>
    <cellStyle name="Normal 20 5" xfId="11198" xr:uid="{00000000-0005-0000-0000-0000DF2B0000}"/>
    <cellStyle name="Normal 20 6" xfId="11199" xr:uid="{00000000-0005-0000-0000-0000E02B0000}"/>
    <cellStyle name="Normal 20 7" xfId="11200" xr:uid="{00000000-0005-0000-0000-0000E12B0000}"/>
    <cellStyle name="Normal 20 8" xfId="11201" xr:uid="{00000000-0005-0000-0000-0000E22B0000}"/>
    <cellStyle name="Normal 20 9" xfId="11202" xr:uid="{00000000-0005-0000-0000-0000E32B0000}"/>
    <cellStyle name="Normal 21" xfId="11203" xr:uid="{00000000-0005-0000-0000-0000E42B0000}"/>
    <cellStyle name="Normal 21 10" xfId="11204" xr:uid="{00000000-0005-0000-0000-0000E52B0000}"/>
    <cellStyle name="Normal 21 10 2" xfId="11205" xr:uid="{00000000-0005-0000-0000-0000E62B0000}"/>
    <cellStyle name="Normal 21 10 2 2" xfId="11206" xr:uid="{00000000-0005-0000-0000-0000E72B0000}"/>
    <cellStyle name="Normal 21 10 2 3" xfId="11207" xr:uid="{00000000-0005-0000-0000-0000E82B0000}"/>
    <cellStyle name="Normal 21 10 3" xfId="11208" xr:uid="{00000000-0005-0000-0000-0000E92B0000}"/>
    <cellStyle name="Normal 21 10 4" xfId="11209" xr:uid="{00000000-0005-0000-0000-0000EA2B0000}"/>
    <cellStyle name="Normal 21 11" xfId="11210" xr:uid="{00000000-0005-0000-0000-0000EB2B0000}"/>
    <cellStyle name="Normal 21 11 2" xfId="11211" xr:uid="{00000000-0005-0000-0000-0000EC2B0000}"/>
    <cellStyle name="Normal 21 11 3" xfId="11212" xr:uid="{00000000-0005-0000-0000-0000ED2B0000}"/>
    <cellStyle name="Normal 21 12" xfId="11213" xr:uid="{00000000-0005-0000-0000-0000EE2B0000}"/>
    <cellStyle name="Normal 21 13" xfId="11214" xr:uid="{00000000-0005-0000-0000-0000EF2B0000}"/>
    <cellStyle name="Normal 21 2" xfId="11215" xr:uid="{00000000-0005-0000-0000-0000F02B0000}"/>
    <cellStyle name="Normal 21 2 10" xfId="11216" xr:uid="{00000000-0005-0000-0000-0000F12B0000}"/>
    <cellStyle name="Normal 21 2 11" xfId="11217" xr:uid="{00000000-0005-0000-0000-0000F22B0000}"/>
    <cellStyle name="Normal 21 2 2" xfId="11218" xr:uid="{00000000-0005-0000-0000-0000F32B0000}"/>
    <cellStyle name="Normal 21 2 2 2" xfId="11219" xr:uid="{00000000-0005-0000-0000-0000F42B0000}"/>
    <cellStyle name="Normal 21 2 2 2 2" xfId="11220" xr:uid="{00000000-0005-0000-0000-0000F52B0000}"/>
    <cellStyle name="Normal 21 2 2 2 2 2" xfId="11221" xr:uid="{00000000-0005-0000-0000-0000F62B0000}"/>
    <cellStyle name="Normal 21 2 2 2 2 2 2" xfId="11222" xr:uid="{00000000-0005-0000-0000-0000F72B0000}"/>
    <cellStyle name="Normal 21 2 2 2 2 2 3" xfId="11223" xr:uid="{00000000-0005-0000-0000-0000F82B0000}"/>
    <cellStyle name="Normal 21 2 2 2 2 3" xfId="11224" xr:uid="{00000000-0005-0000-0000-0000F92B0000}"/>
    <cellStyle name="Normal 21 2 2 2 2 4" xfId="11225" xr:uid="{00000000-0005-0000-0000-0000FA2B0000}"/>
    <cellStyle name="Normal 21 2 2 2 3" xfId="11226" xr:uid="{00000000-0005-0000-0000-0000FB2B0000}"/>
    <cellStyle name="Normal 21 2 2 2 3 2" xfId="11227" xr:uid="{00000000-0005-0000-0000-0000FC2B0000}"/>
    <cellStyle name="Normal 21 2 2 2 3 3" xfId="11228" xr:uid="{00000000-0005-0000-0000-0000FD2B0000}"/>
    <cellStyle name="Normal 21 2 2 2 4" xfId="11229" xr:uid="{00000000-0005-0000-0000-0000FE2B0000}"/>
    <cellStyle name="Normal 21 2 2 2 5" xfId="11230" xr:uid="{00000000-0005-0000-0000-0000FF2B0000}"/>
    <cellStyle name="Normal 21 2 2 3" xfId="11231" xr:uid="{00000000-0005-0000-0000-0000002C0000}"/>
    <cellStyle name="Normal 21 2 2 3 2" xfId="11232" xr:uid="{00000000-0005-0000-0000-0000012C0000}"/>
    <cellStyle name="Normal 21 2 2 3 2 2" xfId="11233" xr:uid="{00000000-0005-0000-0000-0000022C0000}"/>
    <cellStyle name="Normal 21 2 2 3 2 3" xfId="11234" xr:uid="{00000000-0005-0000-0000-0000032C0000}"/>
    <cellStyle name="Normal 21 2 2 3 3" xfId="11235" xr:uid="{00000000-0005-0000-0000-0000042C0000}"/>
    <cellStyle name="Normal 21 2 2 3 4" xfId="11236" xr:uid="{00000000-0005-0000-0000-0000052C0000}"/>
    <cellStyle name="Normal 21 2 2 4" xfId="11237" xr:uid="{00000000-0005-0000-0000-0000062C0000}"/>
    <cellStyle name="Normal 21 2 2 4 2" xfId="11238" xr:uid="{00000000-0005-0000-0000-0000072C0000}"/>
    <cellStyle name="Normal 21 2 2 4 3" xfId="11239" xr:uid="{00000000-0005-0000-0000-0000082C0000}"/>
    <cellStyle name="Normal 21 2 2 5" xfId="11240" xr:uid="{00000000-0005-0000-0000-0000092C0000}"/>
    <cellStyle name="Normal 21 2 2 6" xfId="11241" xr:uid="{00000000-0005-0000-0000-00000A2C0000}"/>
    <cellStyle name="Normal 21 2 3" xfId="11242" xr:uid="{00000000-0005-0000-0000-00000B2C0000}"/>
    <cellStyle name="Normal 21 2 3 2" xfId="11243" xr:uid="{00000000-0005-0000-0000-00000C2C0000}"/>
    <cellStyle name="Normal 21 2 3 2 2" xfId="11244" xr:uid="{00000000-0005-0000-0000-00000D2C0000}"/>
    <cellStyle name="Normal 21 2 3 2 2 2" xfId="11245" xr:uid="{00000000-0005-0000-0000-00000E2C0000}"/>
    <cellStyle name="Normal 21 2 3 2 2 2 2" xfId="11246" xr:uid="{00000000-0005-0000-0000-00000F2C0000}"/>
    <cellStyle name="Normal 21 2 3 2 2 2 3" xfId="11247" xr:uid="{00000000-0005-0000-0000-0000102C0000}"/>
    <cellStyle name="Normal 21 2 3 2 2 3" xfId="11248" xr:uid="{00000000-0005-0000-0000-0000112C0000}"/>
    <cellStyle name="Normal 21 2 3 2 2 4" xfId="11249" xr:uid="{00000000-0005-0000-0000-0000122C0000}"/>
    <cellStyle name="Normal 21 2 3 2 3" xfId="11250" xr:uid="{00000000-0005-0000-0000-0000132C0000}"/>
    <cellStyle name="Normal 21 2 3 2 3 2" xfId="11251" xr:uid="{00000000-0005-0000-0000-0000142C0000}"/>
    <cellStyle name="Normal 21 2 3 2 3 3" xfId="11252" xr:uid="{00000000-0005-0000-0000-0000152C0000}"/>
    <cellStyle name="Normal 21 2 3 2 4" xfId="11253" xr:uid="{00000000-0005-0000-0000-0000162C0000}"/>
    <cellStyle name="Normal 21 2 3 2 5" xfId="11254" xr:uid="{00000000-0005-0000-0000-0000172C0000}"/>
    <cellStyle name="Normal 21 2 3 3" xfId="11255" xr:uid="{00000000-0005-0000-0000-0000182C0000}"/>
    <cellStyle name="Normal 21 2 3 3 2" xfId="11256" xr:uid="{00000000-0005-0000-0000-0000192C0000}"/>
    <cellStyle name="Normal 21 2 3 3 2 2" xfId="11257" xr:uid="{00000000-0005-0000-0000-00001A2C0000}"/>
    <cellStyle name="Normal 21 2 3 3 2 3" xfId="11258" xr:uid="{00000000-0005-0000-0000-00001B2C0000}"/>
    <cellStyle name="Normal 21 2 3 3 3" xfId="11259" xr:uid="{00000000-0005-0000-0000-00001C2C0000}"/>
    <cellStyle name="Normal 21 2 3 3 4" xfId="11260" xr:uid="{00000000-0005-0000-0000-00001D2C0000}"/>
    <cellStyle name="Normal 21 2 3 4" xfId="11261" xr:uid="{00000000-0005-0000-0000-00001E2C0000}"/>
    <cellStyle name="Normal 21 2 3 4 2" xfId="11262" xr:uid="{00000000-0005-0000-0000-00001F2C0000}"/>
    <cellStyle name="Normal 21 2 3 4 3" xfId="11263" xr:uid="{00000000-0005-0000-0000-0000202C0000}"/>
    <cellStyle name="Normal 21 2 3 5" xfId="11264" xr:uid="{00000000-0005-0000-0000-0000212C0000}"/>
    <cellStyle name="Normal 21 2 3 6" xfId="11265" xr:uid="{00000000-0005-0000-0000-0000222C0000}"/>
    <cellStyle name="Normal 21 2 4" xfId="11266" xr:uid="{00000000-0005-0000-0000-0000232C0000}"/>
    <cellStyle name="Normal 21 2 4 2" xfId="11267" xr:uid="{00000000-0005-0000-0000-0000242C0000}"/>
    <cellStyle name="Normal 21 2 4 2 2" xfId="11268" xr:uid="{00000000-0005-0000-0000-0000252C0000}"/>
    <cellStyle name="Normal 21 2 4 2 2 2" xfId="11269" xr:uid="{00000000-0005-0000-0000-0000262C0000}"/>
    <cellStyle name="Normal 21 2 4 2 2 2 2" xfId="11270" xr:uid="{00000000-0005-0000-0000-0000272C0000}"/>
    <cellStyle name="Normal 21 2 4 2 2 2 3" xfId="11271" xr:uid="{00000000-0005-0000-0000-0000282C0000}"/>
    <cellStyle name="Normal 21 2 4 2 2 3" xfId="11272" xr:uid="{00000000-0005-0000-0000-0000292C0000}"/>
    <cellStyle name="Normal 21 2 4 2 2 4" xfId="11273" xr:uid="{00000000-0005-0000-0000-00002A2C0000}"/>
    <cellStyle name="Normal 21 2 4 2 3" xfId="11274" xr:uid="{00000000-0005-0000-0000-00002B2C0000}"/>
    <cellStyle name="Normal 21 2 4 2 3 2" xfId="11275" xr:uid="{00000000-0005-0000-0000-00002C2C0000}"/>
    <cellStyle name="Normal 21 2 4 2 3 3" xfId="11276" xr:uid="{00000000-0005-0000-0000-00002D2C0000}"/>
    <cellStyle name="Normal 21 2 4 2 4" xfId="11277" xr:uid="{00000000-0005-0000-0000-00002E2C0000}"/>
    <cellStyle name="Normal 21 2 4 2 5" xfId="11278" xr:uid="{00000000-0005-0000-0000-00002F2C0000}"/>
    <cellStyle name="Normal 21 2 4 3" xfId="11279" xr:uid="{00000000-0005-0000-0000-0000302C0000}"/>
    <cellStyle name="Normal 21 2 4 3 2" xfId="11280" xr:uid="{00000000-0005-0000-0000-0000312C0000}"/>
    <cellStyle name="Normal 21 2 4 3 2 2" xfId="11281" xr:uid="{00000000-0005-0000-0000-0000322C0000}"/>
    <cellStyle name="Normal 21 2 4 3 2 3" xfId="11282" xr:uid="{00000000-0005-0000-0000-0000332C0000}"/>
    <cellStyle name="Normal 21 2 4 3 3" xfId="11283" xr:uid="{00000000-0005-0000-0000-0000342C0000}"/>
    <cellStyle name="Normal 21 2 4 3 4" xfId="11284" xr:uid="{00000000-0005-0000-0000-0000352C0000}"/>
    <cellStyle name="Normal 21 2 4 4" xfId="11285" xr:uid="{00000000-0005-0000-0000-0000362C0000}"/>
    <cellStyle name="Normal 21 2 4 4 2" xfId="11286" xr:uid="{00000000-0005-0000-0000-0000372C0000}"/>
    <cellStyle name="Normal 21 2 4 4 3" xfId="11287" xr:uid="{00000000-0005-0000-0000-0000382C0000}"/>
    <cellStyle name="Normal 21 2 4 5" xfId="11288" xr:uid="{00000000-0005-0000-0000-0000392C0000}"/>
    <cellStyle name="Normal 21 2 4 6" xfId="11289" xr:uid="{00000000-0005-0000-0000-00003A2C0000}"/>
    <cellStyle name="Normal 21 2 5" xfId="11290" xr:uid="{00000000-0005-0000-0000-00003B2C0000}"/>
    <cellStyle name="Normal 21 2 5 2" xfId="11291" xr:uid="{00000000-0005-0000-0000-00003C2C0000}"/>
    <cellStyle name="Normal 21 2 5 2 2" xfId="11292" xr:uid="{00000000-0005-0000-0000-00003D2C0000}"/>
    <cellStyle name="Normal 21 2 5 2 2 2" xfId="11293" xr:uid="{00000000-0005-0000-0000-00003E2C0000}"/>
    <cellStyle name="Normal 21 2 5 2 2 2 2" xfId="11294" xr:uid="{00000000-0005-0000-0000-00003F2C0000}"/>
    <cellStyle name="Normal 21 2 5 2 2 2 3" xfId="11295" xr:uid="{00000000-0005-0000-0000-0000402C0000}"/>
    <cellStyle name="Normal 21 2 5 2 2 3" xfId="11296" xr:uid="{00000000-0005-0000-0000-0000412C0000}"/>
    <cellStyle name="Normal 21 2 5 2 2 4" xfId="11297" xr:uid="{00000000-0005-0000-0000-0000422C0000}"/>
    <cellStyle name="Normal 21 2 5 2 3" xfId="11298" xr:uid="{00000000-0005-0000-0000-0000432C0000}"/>
    <cellStyle name="Normal 21 2 5 2 3 2" xfId="11299" xr:uid="{00000000-0005-0000-0000-0000442C0000}"/>
    <cellStyle name="Normal 21 2 5 2 3 3" xfId="11300" xr:uid="{00000000-0005-0000-0000-0000452C0000}"/>
    <cellStyle name="Normal 21 2 5 2 4" xfId="11301" xr:uid="{00000000-0005-0000-0000-0000462C0000}"/>
    <cellStyle name="Normal 21 2 5 2 5" xfId="11302" xr:uid="{00000000-0005-0000-0000-0000472C0000}"/>
    <cellStyle name="Normal 21 2 5 3" xfId="11303" xr:uid="{00000000-0005-0000-0000-0000482C0000}"/>
    <cellStyle name="Normal 21 2 5 3 2" xfId="11304" xr:uid="{00000000-0005-0000-0000-0000492C0000}"/>
    <cellStyle name="Normal 21 2 5 3 2 2" xfId="11305" xr:uid="{00000000-0005-0000-0000-00004A2C0000}"/>
    <cellStyle name="Normal 21 2 5 3 2 3" xfId="11306" xr:uid="{00000000-0005-0000-0000-00004B2C0000}"/>
    <cellStyle name="Normal 21 2 5 3 3" xfId="11307" xr:uid="{00000000-0005-0000-0000-00004C2C0000}"/>
    <cellStyle name="Normal 21 2 5 3 4" xfId="11308" xr:uid="{00000000-0005-0000-0000-00004D2C0000}"/>
    <cellStyle name="Normal 21 2 5 4" xfId="11309" xr:uid="{00000000-0005-0000-0000-00004E2C0000}"/>
    <cellStyle name="Normal 21 2 5 4 2" xfId="11310" xr:uid="{00000000-0005-0000-0000-00004F2C0000}"/>
    <cellStyle name="Normal 21 2 5 4 3" xfId="11311" xr:uid="{00000000-0005-0000-0000-0000502C0000}"/>
    <cellStyle name="Normal 21 2 5 5" xfId="11312" xr:uid="{00000000-0005-0000-0000-0000512C0000}"/>
    <cellStyle name="Normal 21 2 5 6" xfId="11313" xr:uid="{00000000-0005-0000-0000-0000522C0000}"/>
    <cellStyle name="Normal 21 2 6" xfId="11314" xr:uid="{00000000-0005-0000-0000-0000532C0000}"/>
    <cellStyle name="Normal 21 2 6 2" xfId="11315" xr:uid="{00000000-0005-0000-0000-0000542C0000}"/>
    <cellStyle name="Normal 21 2 6 2 2" xfId="11316" xr:uid="{00000000-0005-0000-0000-0000552C0000}"/>
    <cellStyle name="Normal 21 2 6 2 2 2" xfId="11317" xr:uid="{00000000-0005-0000-0000-0000562C0000}"/>
    <cellStyle name="Normal 21 2 6 2 2 2 2" xfId="11318" xr:uid="{00000000-0005-0000-0000-0000572C0000}"/>
    <cellStyle name="Normal 21 2 6 2 2 2 3" xfId="11319" xr:uid="{00000000-0005-0000-0000-0000582C0000}"/>
    <cellStyle name="Normal 21 2 6 2 2 3" xfId="11320" xr:uid="{00000000-0005-0000-0000-0000592C0000}"/>
    <cellStyle name="Normal 21 2 6 2 2 4" xfId="11321" xr:uid="{00000000-0005-0000-0000-00005A2C0000}"/>
    <cellStyle name="Normal 21 2 6 2 3" xfId="11322" xr:uid="{00000000-0005-0000-0000-00005B2C0000}"/>
    <cellStyle name="Normal 21 2 6 2 3 2" xfId="11323" xr:uid="{00000000-0005-0000-0000-00005C2C0000}"/>
    <cellStyle name="Normal 21 2 6 2 3 3" xfId="11324" xr:uid="{00000000-0005-0000-0000-00005D2C0000}"/>
    <cellStyle name="Normal 21 2 6 2 4" xfId="11325" xr:uid="{00000000-0005-0000-0000-00005E2C0000}"/>
    <cellStyle name="Normal 21 2 6 2 5" xfId="11326" xr:uid="{00000000-0005-0000-0000-00005F2C0000}"/>
    <cellStyle name="Normal 21 2 6 3" xfId="11327" xr:uid="{00000000-0005-0000-0000-0000602C0000}"/>
    <cellStyle name="Normal 21 2 6 3 2" xfId="11328" xr:uid="{00000000-0005-0000-0000-0000612C0000}"/>
    <cellStyle name="Normal 21 2 6 3 2 2" xfId="11329" xr:uid="{00000000-0005-0000-0000-0000622C0000}"/>
    <cellStyle name="Normal 21 2 6 3 2 3" xfId="11330" xr:uid="{00000000-0005-0000-0000-0000632C0000}"/>
    <cellStyle name="Normal 21 2 6 3 3" xfId="11331" xr:uid="{00000000-0005-0000-0000-0000642C0000}"/>
    <cellStyle name="Normal 21 2 6 3 4" xfId="11332" xr:uid="{00000000-0005-0000-0000-0000652C0000}"/>
    <cellStyle name="Normal 21 2 6 4" xfId="11333" xr:uid="{00000000-0005-0000-0000-0000662C0000}"/>
    <cellStyle name="Normal 21 2 6 4 2" xfId="11334" xr:uid="{00000000-0005-0000-0000-0000672C0000}"/>
    <cellStyle name="Normal 21 2 6 4 3" xfId="11335" xr:uid="{00000000-0005-0000-0000-0000682C0000}"/>
    <cellStyle name="Normal 21 2 6 5" xfId="11336" xr:uid="{00000000-0005-0000-0000-0000692C0000}"/>
    <cellStyle name="Normal 21 2 6 6" xfId="11337" xr:uid="{00000000-0005-0000-0000-00006A2C0000}"/>
    <cellStyle name="Normal 21 2 7" xfId="11338" xr:uid="{00000000-0005-0000-0000-00006B2C0000}"/>
    <cellStyle name="Normal 21 2 7 2" xfId="11339" xr:uid="{00000000-0005-0000-0000-00006C2C0000}"/>
    <cellStyle name="Normal 21 2 7 2 2" xfId="11340" xr:uid="{00000000-0005-0000-0000-00006D2C0000}"/>
    <cellStyle name="Normal 21 2 7 2 2 2" xfId="11341" xr:uid="{00000000-0005-0000-0000-00006E2C0000}"/>
    <cellStyle name="Normal 21 2 7 2 2 3" xfId="11342" xr:uid="{00000000-0005-0000-0000-00006F2C0000}"/>
    <cellStyle name="Normal 21 2 7 2 3" xfId="11343" xr:uid="{00000000-0005-0000-0000-0000702C0000}"/>
    <cellStyle name="Normal 21 2 7 2 4" xfId="11344" xr:uid="{00000000-0005-0000-0000-0000712C0000}"/>
    <cellStyle name="Normal 21 2 7 3" xfId="11345" xr:uid="{00000000-0005-0000-0000-0000722C0000}"/>
    <cellStyle name="Normal 21 2 7 3 2" xfId="11346" xr:uid="{00000000-0005-0000-0000-0000732C0000}"/>
    <cellStyle name="Normal 21 2 7 3 3" xfId="11347" xr:uid="{00000000-0005-0000-0000-0000742C0000}"/>
    <cellStyle name="Normal 21 2 7 4" xfId="11348" xr:uid="{00000000-0005-0000-0000-0000752C0000}"/>
    <cellStyle name="Normal 21 2 7 5" xfId="11349" xr:uid="{00000000-0005-0000-0000-0000762C0000}"/>
    <cellStyle name="Normal 21 2 8" xfId="11350" xr:uid="{00000000-0005-0000-0000-0000772C0000}"/>
    <cellStyle name="Normal 21 2 8 2" xfId="11351" xr:uid="{00000000-0005-0000-0000-0000782C0000}"/>
    <cellStyle name="Normal 21 2 8 2 2" xfId="11352" xr:uid="{00000000-0005-0000-0000-0000792C0000}"/>
    <cellStyle name="Normal 21 2 8 2 3" xfId="11353" xr:uid="{00000000-0005-0000-0000-00007A2C0000}"/>
    <cellStyle name="Normal 21 2 8 3" xfId="11354" xr:uid="{00000000-0005-0000-0000-00007B2C0000}"/>
    <cellStyle name="Normal 21 2 8 4" xfId="11355" xr:uid="{00000000-0005-0000-0000-00007C2C0000}"/>
    <cellStyle name="Normal 21 2 9" xfId="11356" xr:uid="{00000000-0005-0000-0000-00007D2C0000}"/>
    <cellStyle name="Normal 21 2 9 2" xfId="11357" xr:uid="{00000000-0005-0000-0000-00007E2C0000}"/>
    <cellStyle name="Normal 21 2 9 3" xfId="11358" xr:uid="{00000000-0005-0000-0000-00007F2C0000}"/>
    <cellStyle name="Normal 21 3" xfId="11359" xr:uid="{00000000-0005-0000-0000-0000802C0000}"/>
    <cellStyle name="Normal 21 3 2" xfId="11360" xr:uid="{00000000-0005-0000-0000-0000812C0000}"/>
    <cellStyle name="Normal 21 3 2 2" xfId="11361" xr:uid="{00000000-0005-0000-0000-0000822C0000}"/>
    <cellStyle name="Normal 21 3 2 2 2" xfId="11362" xr:uid="{00000000-0005-0000-0000-0000832C0000}"/>
    <cellStyle name="Normal 21 3 2 2 2 2" xfId="11363" xr:uid="{00000000-0005-0000-0000-0000842C0000}"/>
    <cellStyle name="Normal 21 3 2 2 2 2 2" xfId="11364" xr:uid="{00000000-0005-0000-0000-0000852C0000}"/>
    <cellStyle name="Normal 21 3 2 2 2 2 3" xfId="11365" xr:uid="{00000000-0005-0000-0000-0000862C0000}"/>
    <cellStyle name="Normal 21 3 2 2 2 3" xfId="11366" xr:uid="{00000000-0005-0000-0000-0000872C0000}"/>
    <cellStyle name="Normal 21 3 2 2 2 4" xfId="11367" xr:uid="{00000000-0005-0000-0000-0000882C0000}"/>
    <cellStyle name="Normal 21 3 2 2 3" xfId="11368" xr:uid="{00000000-0005-0000-0000-0000892C0000}"/>
    <cellStyle name="Normal 21 3 2 2 3 2" xfId="11369" xr:uid="{00000000-0005-0000-0000-00008A2C0000}"/>
    <cellStyle name="Normal 21 3 2 2 3 3" xfId="11370" xr:uid="{00000000-0005-0000-0000-00008B2C0000}"/>
    <cellStyle name="Normal 21 3 2 2 4" xfId="11371" xr:uid="{00000000-0005-0000-0000-00008C2C0000}"/>
    <cellStyle name="Normal 21 3 2 2 5" xfId="11372" xr:uid="{00000000-0005-0000-0000-00008D2C0000}"/>
    <cellStyle name="Normal 21 3 2 3" xfId="11373" xr:uid="{00000000-0005-0000-0000-00008E2C0000}"/>
    <cellStyle name="Normal 21 3 2 3 2" xfId="11374" xr:uid="{00000000-0005-0000-0000-00008F2C0000}"/>
    <cellStyle name="Normal 21 3 2 3 2 2" xfId="11375" xr:uid="{00000000-0005-0000-0000-0000902C0000}"/>
    <cellStyle name="Normal 21 3 2 3 2 3" xfId="11376" xr:uid="{00000000-0005-0000-0000-0000912C0000}"/>
    <cellStyle name="Normal 21 3 2 3 3" xfId="11377" xr:uid="{00000000-0005-0000-0000-0000922C0000}"/>
    <cellStyle name="Normal 21 3 2 3 4" xfId="11378" xr:uid="{00000000-0005-0000-0000-0000932C0000}"/>
    <cellStyle name="Normal 21 3 2 4" xfId="11379" xr:uid="{00000000-0005-0000-0000-0000942C0000}"/>
    <cellStyle name="Normal 21 3 2 4 2" xfId="11380" xr:uid="{00000000-0005-0000-0000-0000952C0000}"/>
    <cellStyle name="Normal 21 3 2 4 3" xfId="11381" xr:uid="{00000000-0005-0000-0000-0000962C0000}"/>
    <cellStyle name="Normal 21 3 2 5" xfId="11382" xr:uid="{00000000-0005-0000-0000-0000972C0000}"/>
    <cellStyle name="Normal 21 3 2 6" xfId="11383" xr:uid="{00000000-0005-0000-0000-0000982C0000}"/>
    <cellStyle name="Normal 21 3 3" xfId="11384" xr:uid="{00000000-0005-0000-0000-0000992C0000}"/>
    <cellStyle name="Normal 21 3 3 2" xfId="11385" xr:uid="{00000000-0005-0000-0000-00009A2C0000}"/>
    <cellStyle name="Normal 21 3 3 2 2" xfId="11386" xr:uid="{00000000-0005-0000-0000-00009B2C0000}"/>
    <cellStyle name="Normal 21 3 3 2 2 2" xfId="11387" xr:uid="{00000000-0005-0000-0000-00009C2C0000}"/>
    <cellStyle name="Normal 21 3 3 2 2 3" xfId="11388" xr:uid="{00000000-0005-0000-0000-00009D2C0000}"/>
    <cellStyle name="Normal 21 3 3 2 3" xfId="11389" xr:uid="{00000000-0005-0000-0000-00009E2C0000}"/>
    <cellStyle name="Normal 21 3 3 2 4" xfId="11390" xr:uid="{00000000-0005-0000-0000-00009F2C0000}"/>
    <cellStyle name="Normal 21 3 3 3" xfId="11391" xr:uid="{00000000-0005-0000-0000-0000A02C0000}"/>
    <cellStyle name="Normal 21 3 3 3 2" xfId="11392" xr:uid="{00000000-0005-0000-0000-0000A12C0000}"/>
    <cellStyle name="Normal 21 3 3 3 3" xfId="11393" xr:uid="{00000000-0005-0000-0000-0000A22C0000}"/>
    <cellStyle name="Normal 21 3 3 4" xfId="11394" xr:uid="{00000000-0005-0000-0000-0000A32C0000}"/>
    <cellStyle name="Normal 21 3 3 5" xfId="11395" xr:uid="{00000000-0005-0000-0000-0000A42C0000}"/>
    <cellStyle name="Normal 21 3 4" xfId="11396" xr:uid="{00000000-0005-0000-0000-0000A52C0000}"/>
    <cellStyle name="Normal 21 3 4 2" xfId="11397" xr:uid="{00000000-0005-0000-0000-0000A62C0000}"/>
    <cellStyle name="Normal 21 3 4 2 2" xfId="11398" xr:uid="{00000000-0005-0000-0000-0000A72C0000}"/>
    <cellStyle name="Normal 21 3 4 2 3" xfId="11399" xr:uid="{00000000-0005-0000-0000-0000A82C0000}"/>
    <cellStyle name="Normal 21 3 4 3" xfId="11400" xr:uid="{00000000-0005-0000-0000-0000A92C0000}"/>
    <cellStyle name="Normal 21 3 4 4" xfId="11401" xr:uid="{00000000-0005-0000-0000-0000AA2C0000}"/>
    <cellStyle name="Normal 21 3 5" xfId="11402" xr:uid="{00000000-0005-0000-0000-0000AB2C0000}"/>
    <cellStyle name="Normal 21 3 5 2" xfId="11403" xr:uid="{00000000-0005-0000-0000-0000AC2C0000}"/>
    <cellStyle name="Normal 21 3 5 3" xfId="11404" xr:uid="{00000000-0005-0000-0000-0000AD2C0000}"/>
    <cellStyle name="Normal 21 3 6" xfId="11405" xr:uid="{00000000-0005-0000-0000-0000AE2C0000}"/>
    <cellStyle name="Normal 21 3 7" xfId="11406" xr:uid="{00000000-0005-0000-0000-0000AF2C0000}"/>
    <cellStyle name="Normal 21 4" xfId="11407" xr:uid="{00000000-0005-0000-0000-0000B02C0000}"/>
    <cellStyle name="Normal 21 4 2" xfId="11408" xr:uid="{00000000-0005-0000-0000-0000B12C0000}"/>
    <cellStyle name="Normal 21 4 2 2" xfId="11409" xr:uid="{00000000-0005-0000-0000-0000B22C0000}"/>
    <cellStyle name="Normal 21 4 2 2 2" xfId="11410" xr:uid="{00000000-0005-0000-0000-0000B32C0000}"/>
    <cellStyle name="Normal 21 4 2 2 2 2" xfId="11411" xr:uid="{00000000-0005-0000-0000-0000B42C0000}"/>
    <cellStyle name="Normal 21 4 2 2 2 3" xfId="11412" xr:uid="{00000000-0005-0000-0000-0000B52C0000}"/>
    <cellStyle name="Normal 21 4 2 2 3" xfId="11413" xr:uid="{00000000-0005-0000-0000-0000B62C0000}"/>
    <cellStyle name="Normal 21 4 2 2 4" xfId="11414" xr:uid="{00000000-0005-0000-0000-0000B72C0000}"/>
    <cellStyle name="Normal 21 4 2 3" xfId="11415" xr:uid="{00000000-0005-0000-0000-0000B82C0000}"/>
    <cellStyle name="Normal 21 4 2 3 2" xfId="11416" xr:uid="{00000000-0005-0000-0000-0000B92C0000}"/>
    <cellStyle name="Normal 21 4 2 3 3" xfId="11417" xr:uid="{00000000-0005-0000-0000-0000BA2C0000}"/>
    <cellStyle name="Normal 21 4 2 4" xfId="11418" xr:uid="{00000000-0005-0000-0000-0000BB2C0000}"/>
    <cellStyle name="Normal 21 4 2 5" xfId="11419" xr:uid="{00000000-0005-0000-0000-0000BC2C0000}"/>
    <cellStyle name="Normal 21 4 3" xfId="11420" xr:uid="{00000000-0005-0000-0000-0000BD2C0000}"/>
    <cellStyle name="Normal 21 4 3 2" xfId="11421" xr:uid="{00000000-0005-0000-0000-0000BE2C0000}"/>
    <cellStyle name="Normal 21 4 3 2 2" xfId="11422" xr:uid="{00000000-0005-0000-0000-0000BF2C0000}"/>
    <cellStyle name="Normal 21 4 3 2 3" xfId="11423" xr:uid="{00000000-0005-0000-0000-0000C02C0000}"/>
    <cellStyle name="Normal 21 4 3 3" xfId="11424" xr:uid="{00000000-0005-0000-0000-0000C12C0000}"/>
    <cellStyle name="Normal 21 4 3 4" xfId="11425" xr:uid="{00000000-0005-0000-0000-0000C22C0000}"/>
    <cellStyle name="Normal 21 4 4" xfId="11426" xr:uid="{00000000-0005-0000-0000-0000C32C0000}"/>
    <cellStyle name="Normal 21 4 4 2" xfId="11427" xr:uid="{00000000-0005-0000-0000-0000C42C0000}"/>
    <cellStyle name="Normal 21 4 4 3" xfId="11428" xr:uid="{00000000-0005-0000-0000-0000C52C0000}"/>
    <cellStyle name="Normal 21 4 5" xfId="11429" xr:uid="{00000000-0005-0000-0000-0000C62C0000}"/>
    <cellStyle name="Normal 21 4 6" xfId="11430" xr:uid="{00000000-0005-0000-0000-0000C72C0000}"/>
    <cellStyle name="Normal 21 5" xfId="11431" xr:uid="{00000000-0005-0000-0000-0000C82C0000}"/>
    <cellStyle name="Normal 21 5 2" xfId="11432" xr:uid="{00000000-0005-0000-0000-0000C92C0000}"/>
    <cellStyle name="Normal 21 5 2 2" xfId="11433" xr:uid="{00000000-0005-0000-0000-0000CA2C0000}"/>
    <cellStyle name="Normal 21 5 2 2 2" xfId="11434" xr:uid="{00000000-0005-0000-0000-0000CB2C0000}"/>
    <cellStyle name="Normal 21 5 2 2 2 2" xfId="11435" xr:uid="{00000000-0005-0000-0000-0000CC2C0000}"/>
    <cellStyle name="Normal 21 5 2 2 2 3" xfId="11436" xr:uid="{00000000-0005-0000-0000-0000CD2C0000}"/>
    <cellStyle name="Normal 21 5 2 2 3" xfId="11437" xr:uid="{00000000-0005-0000-0000-0000CE2C0000}"/>
    <cellStyle name="Normal 21 5 2 2 4" xfId="11438" xr:uid="{00000000-0005-0000-0000-0000CF2C0000}"/>
    <cellStyle name="Normal 21 5 2 3" xfId="11439" xr:uid="{00000000-0005-0000-0000-0000D02C0000}"/>
    <cellStyle name="Normal 21 5 2 3 2" xfId="11440" xr:uid="{00000000-0005-0000-0000-0000D12C0000}"/>
    <cellStyle name="Normal 21 5 2 3 3" xfId="11441" xr:uid="{00000000-0005-0000-0000-0000D22C0000}"/>
    <cellStyle name="Normal 21 5 2 4" xfId="11442" xr:uid="{00000000-0005-0000-0000-0000D32C0000}"/>
    <cellStyle name="Normal 21 5 2 5" xfId="11443" xr:uid="{00000000-0005-0000-0000-0000D42C0000}"/>
    <cellStyle name="Normal 21 5 3" xfId="11444" xr:uid="{00000000-0005-0000-0000-0000D52C0000}"/>
    <cellStyle name="Normal 21 5 3 2" xfId="11445" xr:uid="{00000000-0005-0000-0000-0000D62C0000}"/>
    <cellStyle name="Normal 21 5 3 2 2" xfId="11446" xr:uid="{00000000-0005-0000-0000-0000D72C0000}"/>
    <cellStyle name="Normal 21 5 3 2 3" xfId="11447" xr:uid="{00000000-0005-0000-0000-0000D82C0000}"/>
    <cellStyle name="Normal 21 5 3 3" xfId="11448" xr:uid="{00000000-0005-0000-0000-0000D92C0000}"/>
    <cellStyle name="Normal 21 5 3 4" xfId="11449" xr:uid="{00000000-0005-0000-0000-0000DA2C0000}"/>
    <cellStyle name="Normal 21 5 4" xfId="11450" xr:uid="{00000000-0005-0000-0000-0000DB2C0000}"/>
    <cellStyle name="Normal 21 5 4 2" xfId="11451" xr:uid="{00000000-0005-0000-0000-0000DC2C0000}"/>
    <cellStyle name="Normal 21 5 4 3" xfId="11452" xr:uid="{00000000-0005-0000-0000-0000DD2C0000}"/>
    <cellStyle name="Normal 21 5 5" xfId="11453" xr:uid="{00000000-0005-0000-0000-0000DE2C0000}"/>
    <cellStyle name="Normal 21 5 6" xfId="11454" xr:uid="{00000000-0005-0000-0000-0000DF2C0000}"/>
    <cellStyle name="Normal 21 6" xfId="11455" xr:uid="{00000000-0005-0000-0000-0000E02C0000}"/>
    <cellStyle name="Normal 21 6 2" xfId="11456" xr:uid="{00000000-0005-0000-0000-0000E12C0000}"/>
    <cellStyle name="Normal 21 6 2 2" xfId="11457" xr:uid="{00000000-0005-0000-0000-0000E22C0000}"/>
    <cellStyle name="Normal 21 6 2 2 2" xfId="11458" xr:uid="{00000000-0005-0000-0000-0000E32C0000}"/>
    <cellStyle name="Normal 21 6 2 2 2 2" xfId="11459" xr:uid="{00000000-0005-0000-0000-0000E42C0000}"/>
    <cellStyle name="Normal 21 6 2 2 2 3" xfId="11460" xr:uid="{00000000-0005-0000-0000-0000E52C0000}"/>
    <cellStyle name="Normal 21 6 2 2 3" xfId="11461" xr:uid="{00000000-0005-0000-0000-0000E62C0000}"/>
    <cellStyle name="Normal 21 6 2 2 4" xfId="11462" xr:uid="{00000000-0005-0000-0000-0000E72C0000}"/>
    <cellStyle name="Normal 21 6 2 3" xfId="11463" xr:uid="{00000000-0005-0000-0000-0000E82C0000}"/>
    <cellStyle name="Normal 21 6 2 3 2" xfId="11464" xr:uid="{00000000-0005-0000-0000-0000E92C0000}"/>
    <cellStyle name="Normal 21 6 2 3 3" xfId="11465" xr:uid="{00000000-0005-0000-0000-0000EA2C0000}"/>
    <cellStyle name="Normal 21 6 2 4" xfId="11466" xr:uid="{00000000-0005-0000-0000-0000EB2C0000}"/>
    <cellStyle name="Normal 21 6 2 5" xfId="11467" xr:uid="{00000000-0005-0000-0000-0000EC2C0000}"/>
    <cellStyle name="Normal 21 6 3" xfId="11468" xr:uid="{00000000-0005-0000-0000-0000ED2C0000}"/>
    <cellStyle name="Normal 21 6 3 2" xfId="11469" xr:uid="{00000000-0005-0000-0000-0000EE2C0000}"/>
    <cellStyle name="Normal 21 6 3 2 2" xfId="11470" xr:uid="{00000000-0005-0000-0000-0000EF2C0000}"/>
    <cellStyle name="Normal 21 6 3 2 3" xfId="11471" xr:uid="{00000000-0005-0000-0000-0000F02C0000}"/>
    <cellStyle name="Normal 21 6 3 3" xfId="11472" xr:uid="{00000000-0005-0000-0000-0000F12C0000}"/>
    <cellStyle name="Normal 21 6 3 4" xfId="11473" xr:uid="{00000000-0005-0000-0000-0000F22C0000}"/>
    <cellStyle name="Normal 21 6 4" xfId="11474" xr:uid="{00000000-0005-0000-0000-0000F32C0000}"/>
    <cellStyle name="Normal 21 6 4 2" xfId="11475" xr:uid="{00000000-0005-0000-0000-0000F42C0000}"/>
    <cellStyle name="Normal 21 6 4 3" xfId="11476" xr:uid="{00000000-0005-0000-0000-0000F52C0000}"/>
    <cellStyle name="Normal 21 6 5" xfId="11477" xr:uid="{00000000-0005-0000-0000-0000F62C0000}"/>
    <cellStyle name="Normal 21 6 6" xfId="11478" xr:uid="{00000000-0005-0000-0000-0000F72C0000}"/>
    <cellStyle name="Normal 21 7" xfId="11479" xr:uid="{00000000-0005-0000-0000-0000F82C0000}"/>
    <cellStyle name="Normal 21 8" xfId="11480" xr:uid="{00000000-0005-0000-0000-0000F92C0000}"/>
    <cellStyle name="Normal 21 8 2" xfId="11481" xr:uid="{00000000-0005-0000-0000-0000FA2C0000}"/>
    <cellStyle name="Normal 21 8 2 2" xfId="11482" xr:uid="{00000000-0005-0000-0000-0000FB2C0000}"/>
    <cellStyle name="Normal 21 8 2 2 2" xfId="11483" xr:uid="{00000000-0005-0000-0000-0000FC2C0000}"/>
    <cellStyle name="Normal 21 8 2 2 2 2" xfId="11484" xr:uid="{00000000-0005-0000-0000-0000FD2C0000}"/>
    <cellStyle name="Normal 21 8 2 2 2 3" xfId="11485" xr:uid="{00000000-0005-0000-0000-0000FE2C0000}"/>
    <cellStyle name="Normal 21 8 2 2 3" xfId="11486" xr:uid="{00000000-0005-0000-0000-0000FF2C0000}"/>
    <cellStyle name="Normal 21 8 2 2 4" xfId="11487" xr:uid="{00000000-0005-0000-0000-0000002D0000}"/>
    <cellStyle name="Normal 21 8 2 3" xfId="11488" xr:uid="{00000000-0005-0000-0000-0000012D0000}"/>
    <cellStyle name="Normal 21 8 2 3 2" xfId="11489" xr:uid="{00000000-0005-0000-0000-0000022D0000}"/>
    <cellStyle name="Normal 21 8 2 3 3" xfId="11490" xr:uid="{00000000-0005-0000-0000-0000032D0000}"/>
    <cellStyle name="Normal 21 8 2 4" xfId="11491" xr:uid="{00000000-0005-0000-0000-0000042D0000}"/>
    <cellStyle name="Normal 21 8 2 5" xfId="11492" xr:uid="{00000000-0005-0000-0000-0000052D0000}"/>
    <cellStyle name="Normal 21 8 3" xfId="11493" xr:uid="{00000000-0005-0000-0000-0000062D0000}"/>
    <cellStyle name="Normal 21 8 3 2" xfId="11494" xr:uid="{00000000-0005-0000-0000-0000072D0000}"/>
    <cellStyle name="Normal 21 8 3 2 2" xfId="11495" xr:uid="{00000000-0005-0000-0000-0000082D0000}"/>
    <cellStyle name="Normal 21 8 3 2 3" xfId="11496" xr:uid="{00000000-0005-0000-0000-0000092D0000}"/>
    <cellStyle name="Normal 21 8 3 3" xfId="11497" xr:uid="{00000000-0005-0000-0000-00000A2D0000}"/>
    <cellStyle name="Normal 21 8 3 4" xfId="11498" xr:uid="{00000000-0005-0000-0000-00000B2D0000}"/>
    <cellStyle name="Normal 21 8 4" xfId="11499" xr:uid="{00000000-0005-0000-0000-00000C2D0000}"/>
    <cellStyle name="Normal 21 8 4 2" xfId="11500" xr:uid="{00000000-0005-0000-0000-00000D2D0000}"/>
    <cellStyle name="Normal 21 8 4 3" xfId="11501" xr:uid="{00000000-0005-0000-0000-00000E2D0000}"/>
    <cellStyle name="Normal 21 8 5" xfId="11502" xr:uid="{00000000-0005-0000-0000-00000F2D0000}"/>
    <cellStyle name="Normal 21 8 6" xfId="11503" xr:uid="{00000000-0005-0000-0000-0000102D0000}"/>
    <cellStyle name="Normal 21 9" xfId="11504" xr:uid="{00000000-0005-0000-0000-0000112D0000}"/>
    <cellStyle name="Normal 21 9 2" xfId="11505" xr:uid="{00000000-0005-0000-0000-0000122D0000}"/>
    <cellStyle name="Normal 21 9 2 2" xfId="11506" xr:uid="{00000000-0005-0000-0000-0000132D0000}"/>
    <cellStyle name="Normal 21 9 2 2 2" xfId="11507" xr:uid="{00000000-0005-0000-0000-0000142D0000}"/>
    <cellStyle name="Normal 21 9 2 2 3" xfId="11508" xr:uid="{00000000-0005-0000-0000-0000152D0000}"/>
    <cellStyle name="Normal 21 9 2 3" xfId="11509" xr:uid="{00000000-0005-0000-0000-0000162D0000}"/>
    <cellStyle name="Normal 21 9 2 4" xfId="11510" xr:uid="{00000000-0005-0000-0000-0000172D0000}"/>
    <cellStyle name="Normal 21 9 3" xfId="11511" xr:uid="{00000000-0005-0000-0000-0000182D0000}"/>
    <cellStyle name="Normal 21 9 3 2" xfId="11512" xr:uid="{00000000-0005-0000-0000-0000192D0000}"/>
    <cellStyle name="Normal 21 9 3 3" xfId="11513" xr:uid="{00000000-0005-0000-0000-00001A2D0000}"/>
    <cellStyle name="Normal 21 9 4" xfId="11514" xr:uid="{00000000-0005-0000-0000-00001B2D0000}"/>
    <cellStyle name="Normal 21 9 5" xfId="11515" xr:uid="{00000000-0005-0000-0000-00001C2D0000}"/>
    <cellStyle name="Normal 22" xfId="11516" xr:uid="{00000000-0005-0000-0000-00001D2D0000}"/>
    <cellStyle name="Normal 22 10" xfId="11517" xr:uid="{00000000-0005-0000-0000-00001E2D0000}"/>
    <cellStyle name="Normal 22 10 2" xfId="11518" xr:uid="{00000000-0005-0000-0000-00001F2D0000}"/>
    <cellStyle name="Normal 22 10 3" xfId="11519" xr:uid="{00000000-0005-0000-0000-0000202D0000}"/>
    <cellStyle name="Normal 22 11" xfId="11520" xr:uid="{00000000-0005-0000-0000-0000212D0000}"/>
    <cellStyle name="Normal 22 12" xfId="11521" xr:uid="{00000000-0005-0000-0000-0000222D0000}"/>
    <cellStyle name="Normal 22 2" xfId="11522" xr:uid="{00000000-0005-0000-0000-0000232D0000}"/>
    <cellStyle name="Normal 22 2 10" xfId="11523" xr:uid="{00000000-0005-0000-0000-0000242D0000}"/>
    <cellStyle name="Normal 22 2 11" xfId="11524" xr:uid="{00000000-0005-0000-0000-0000252D0000}"/>
    <cellStyle name="Normal 22 2 2" xfId="11525" xr:uid="{00000000-0005-0000-0000-0000262D0000}"/>
    <cellStyle name="Normal 22 2 2 2" xfId="11526" xr:uid="{00000000-0005-0000-0000-0000272D0000}"/>
    <cellStyle name="Normal 22 2 2 2 2" xfId="11527" xr:uid="{00000000-0005-0000-0000-0000282D0000}"/>
    <cellStyle name="Normal 22 2 2 2 2 2" xfId="11528" xr:uid="{00000000-0005-0000-0000-0000292D0000}"/>
    <cellStyle name="Normal 22 2 2 2 2 2 2" xfId="11529" xr:uid="{00000000-0005-0000-0000-00002A2D0000}"/>
    <cellStyle name="Normal 22 2 2 2 2 2 3" xfId="11530" xr:uid="{00000000-0005-0000-0000-00002B2D0000}"/>
    <cellStyle name="Normal 22 2 2 2 2 3" xfId="11531" xr:uid="{00000000-0005-0000-0000-00002C2D0000}"/>
    <cellStyle name="Normal 22 2 2 2 2 4" xfId="11532" xr:uid="{00000000-0005-0000-0000-00002D2D0000}"/>
    <cellStyle name="Normal 22 2 2 2 3" xfId="11533" xr:uid="{00000000-0005-0000-0000-00002E2D0000}"/>
    <cellStyle name="Normal 22 2 2 2 3 2" xfId="11534" xr:uid="{00000000-0005-0000-0000-00002F2D0000}"/>
    <cellStyle name="Normal 22 2 2 2 3 3" xfId="11535" xr:uid="{00000000-0005-0000-0000-0000302D0000}"/>
    <cellStyle name="Normal 22 2 2 2 4" xfId="11536" xr:uid="{00000000-0005-0000-0000-0000312D0000}"/>
    <cellStyle name="Normal 22 2 2 2 5" xfId="11537" xr:uid="{00000000-0005-0000-0000-0000322D0000}"/>
    <cellStyle name="Normal 22 2 2 3" xfId="11538" xr:uid="{00000000-0005-0000-0000-0000332D0000}"/>
    <cellStyle name="Normal 22 2 2 3 2" xfId="11539" xr:uid="{00000000-0005-0000-0000-0000342D0000}"/>
    <cellStyle name="Normal 22 2 2 3 2 2" xfId="11540" xr:uid="{00000000-0005-0000-0000-0000352D0000}"/>
    <cellStyle name="Normal 22 2 2 3 2 3" xfId="11541" xr:uid="{00000000-0005-0000-0000-0000362D0000}"/>
    <cellStyle name="Normal 22 2 2 3 3" xfId="11542" xr:uid="{00000000-0005-0000-0000-0000372D0000}"/>
    <cellStyle name="Normal 22 2 2 3 4" xfId="11543" xr:uid="{00000000-0005-0000-0000-0000382D0000}"/>
    <cellStyle name="Normal 22 2 2 4" xfId="11544" xr:uid="{00000000-0005-0000-0000-0000392D0000}"/>
    <cellStyle name="Normal 22 2 2 4 2" xfId="11545" xr:uid="{00000000-0005-0000-0000-00003A2D0000}"/>
    <cellStyle name="Normal 22 2 2 4 3" xfId="11546" xr:uid="{00000000-0005-0000-0000-00003B2D0000}"/>
    <cellStyle name="Normal 22 2 2 5" xfId="11547" xr:uid="{00000000-0005-0000-0000-00003C2D0000}"/>
    <cellStyle name="Normal 22 2 2 6" xfId="11548" xr:uid="{00000000-0005-0000-0000-00003D2D0000}"/>
    <cellStyle name="Normal 22 2 3" xfId="11549" xr:uid="{00000000-0005-0000-0000-00003E2D0000}"/>
    <cellStyle name="Normal 22 2 3 2" xfId="11550" xr:uid="{00000000-0005-0000-0000-00003F2D0000}"/>
    <cellStyle name="Normal 22 2 3 2 2" xfId="11551" xr:uid="{00000000-0005-0000-0000-0000402D0000}"/>
    <cellStyle name="Normal 22 2 3 2 2 2" xfId="11552" xr:uid="{00000000-0005-0000-0000-0000412D0000}"/>
    <cellStyle name="Normal 22 2 3 2 2 2 2" xfId="11553" xr:uid="{00000000-0005-0000-0000-0000422D0000}"/>
    <cellStyle name="Normal 22 2 3 2 2 2 3" xfId="11554" xr:uid="{00000000-0005-0000-0000-0000432D0000}"/>
    <cellStyle name="Normal 22 2 3 2 2 3" xfId="11555" xr:uid="{00000000-0005-0000-0000-0000442D0000}"/>
    <cellStyle name="Normal 22 2 3 2 2 4" xfId="11556" xr:uid="{00000000-0005-0000-0000-0000452D0000}"/>
    <cellStyle name="Normal 22 2 3 2 3" xfId="11557" xr:uid="{00000000-0005-0000-0000-0000462D0000}"/>
    <cellStyle name="Normal 22 2 3 2 3 2" xfId="11558" xr:uid="{00000000-0005-0000-0000-0000472D0000}"/>
    <cellStyle name="Normal 22 2 3 2 3 3" xfId="11559" xr:uid="{00000000-0005-0000-0000-0000482D0000}"/>
    <cellStyle name="Normal 22 2 3 2 4" xfId="11560" xr:uid="{00000000-0005-0000-0000-0000492D0000}"/>
    <cellStyle name="Normal 22 2 3 2 5" xfId="11561" xr:uid="{00000000-0005-0000-0000-00004A2D0000}"/>
    <cellStyle name="Normal 22 2 3 3" xfId="11562" xr:uid="{00000000-0005-0000-0000-00004B2D0000}"/>
    <cellStyle name="Normal 22 2 3 3 2" xfId="11563" xr:uid="{00000000-0005-0000-0000-00004C2D0000}"/>
    <cellStyle name="Normal 22 2 3 3 2 2" xfId="11564" xr:uid="{00000000-0005-0000-0000-00004D2D0000}"/>
    <cellStyle name="Normal 22 2 3 3 2 3" xfId="11565" xr:uid="{00000000-0005-0000-0000-00004E2D0000}"/>
    <cellStyle name="Normal 22 2 3 3 3" xfId="11566" xr:uid="{00000000-0005-0000-0000-00004F2D0000}"/>
    <cellStyle name="Normal 22 2 3 3 4" xfId="11567" xr:uid="{00000000-0005-0000-0000-0000502D0000}"/>
    <cellStyle name="Normal 22 2 3 4" xfId="11568" xr:uid="{00000000-0005-0000-0000-0000512D0000}"/>
    <cellStyle name="Normal 22 2 3 4 2" xfId="11569" xr:uid="{00000000-0005-0000-0000-0000522D0000}"/>
    <cellStyle name="Normal 22 2 3 4 3" xfId="11570" xr:uid="{00000000-0005-0000-0000-0000532D0000}"/>
    <cellStyle name="Normal 22 2 3 5" xfId="11571" xr:uid="{00000000-0005-0000-0000-0000542D0000}"/>
    <cellStyle name="Normal 22 2 3 6" xfId="11572" xr:uid="{00000000-0005-0000-0000-0000552D0000}"/>
    <cellStyle name="Normal 22 2 4" xfId="11573" xr:uid="{00000000-0005-0000-0000-0000562D0000}"/>
    <cellStyle name="Normal 22 2 4 2" xfId="11574" xr:uid="{00000000-0005-0000-0000-0000572D0000}"/>
    <cellStyle name="Normal 22 2 4 2 2" xfId="11575" xr:uid="{00000000-0005-0000-0000-0000582D0000}"/>
    <cellStyle name="Normal 22 2 4 2 2 2" xfId="11576" xr:uid="{00000000-0005-0000-0000-0000592D0000}"/>
    <cellStyle name="Normal 22 2 4 2 2 2 2" xfId="11577" xr:uid="{00000000-0005-0000-0000-00005A2D0000}"/>
    <cellStyle name="Normal 22 2 4 2 2 2 3" xfId="11578" xr:uid="{00000000-0005-0000-0000-00005B2D0000}"/>
    <cellStyle name="Normal 22 2 4 2 2 3" xfId="11579" xr:uid="{00000000-0005-0000-0000-00005C2D0000}"/>
    <cellStyle name="Normal 22 2 4 2 2 4" xfId="11580" xr:uid="{00000000-0005-0000-0000-00005D2D0000}"/>
    <cellStyle name="Normal 22 2 4 2 3" xfId="11581" xr:uid="{00000000-0005-0000-0000-00005E2D0000}"/>
    <cellStyle name="Normal 22 2 4 2 3 2" xfId="11582" xr:uid="{00000000-0005-0000-0000-00005F2D0000}"/>
    <cellStyle name="Normal 22 2 4 2 3 3" xfId="11583" xr:uid="{00000000-0005-0000-0000-0000602D0000}"/>
    <cellStyle name="Normal 22 2 4 2 4" xfId="11584" xr:uid="{00000000-0005-0000-0000-0000612D0000}"/>
    <cellStyle name="Normal 22 2 4 2 5" xfId="11585" xr:uid="{00000000-0005-0000-0000-0000622D0000}"/>
    <cellStyle name="Normal 22 2 4 3" xfId="11586" xr:uid="{00000000-0005-0000-0000-0000632D0000}"/>
    <cellStyle name="Normal 22 2 4 3 2" xfId="11587" xr:uid="{00000000-0005-0000-0000-0000642D0000}"/>
    <cellStyle name="Normal 22 2 4 3 2 2" xfId="11588" xr:uid="{00000000-0005-0000-0000-0000652D0000}"/>
    <cellStyle name="Normal 22 2 4 3 2 3" xfId="11589" xr:uid="{00000000-0005-0000-0000-0000662D0000}"/>
    <cellStyle name="Normal 22 2 4 3 3" xfId="11590" xr:uid="{00000000-0005-0000-0000-0000672D0000}"/>
    <cellStyle name="Normal 22 2 4 3 4" xfId="11591" xr:uid="{00000000-0005-0000-0000-0000682D0000}"/>
    <cellStyle name="Normal 22 2 4 4" xfId="11592" xr:uid="{00000000-0005-0000-0000-0000692D0000}"/>
    <cellStyle name="Normal 22 2 4 4 2" xfId="11593" xr:uid="{00000000-0005-0000-0000-00006A2D0000}"/>
    <cellStyle name="Normal 22 2 4 4 3" xfId="11594" xr:uid="{00000000-0005-0000-0000-00006B2D0000}"/>
    <cellStyle name="Normal 22 2 4 5" xfId="11595" xr:uid="{00000000-0005-0000-0000-00006C2D0000}"/>
    <cellStyle name="Normal 22 2 4 6" xfId="11596" xr:uid="{00000000-0005-0000-0000-00006D2D0000}"/>
    <cellStyle name="Normal 22 2 5" xfId="11597" xr:uid="{00000000-0005-0000-0000-00006E2D0000}"/>
    <cellStyle name="Normal 22 2 5 2" xfId="11598" xr:uid="{00000000-0005-0000-0000-00006F2D0000}"/>
    <cellStyle name="Normal 22 2 5 2 2" xfId="11599" xr:uid="{00000000-0005-0000-0000-0000702D0000}"/>
    <cellStyle name="Normal 22 2 5 2 2 2" xfId="11600" xr:uid="{00000000-0005-0000-0000-0000712D0000}"/>
    <cellStyle name="Normal 22 2 5 2 2 2 2" xfId="11601" xr:uid="{00000000-0005-0000-0000-0000722D0000}"/>
    <cellStyle name="Normal 22 2 5 2 2 2 3" xfId="11602" xr:uid="{00000000-0005-0000-0000-0000732D0000}"/>
    <cellStyle name="Normal 22 2 5 2 2 3" xfId="11603" xr:uid="{00000000-0005-0000-0000-0000742D0000}"/>
    <cellStyle name="Normal 22 2 5 2 2 4" xfId="11604" xr:uid="{00000000-0005-0000-0000-0000752D0000}"/>
    <cellStyle name="Normal 22 2 5 2 3" xfId="11605" xr:uid="{00000000-0005-0000-0000-0000762D0000}"/>
    <cellStyle name="Normal 22 2 5 2 3 2" xfId="11606" xr:uid="{00000000-0005-0000-0000-0000772D0000}"/>
    <cellStyle name="Normal 22 2 5 2 3 3" xfId="11607" xr:uid="{00000000-0005-0000-0000-0000782D0000}"/>
    <cellStyle name="Normal 22 2 5 2 4" xfId="11608" xr:uid="{00000000-0005-0000-0000-0000792D0000}"/>
    <cellStyle name="Normal 22 2 5 2 5" xfId="11609" xr:uid="{00000000-0005-0000-0000-00007A2D0000}"/>
    <cellStyle name="Normal 22 2 5 3" xfId="11610" xr:uid="{00000000-0005-0000-0000-00007B2D0000}"/>
    <cellStyle name="Normal 22 2 5 3 2" xfId="11611" xr:uid="{00000000-0005-0000-0000-00007C2D0000}"/>
    <cellStyle name="Normal 22 2 5 3 2 2" xfId="11612" xr:uid="{00000000-0005-0000-0000-00007D2D0000}"/>
    <cellStyle name="Normal 22 2 5 3 2 3" xfId="11613" xr:uid="{00000000-0005-0000-0000-00007E2D0000}"/>
    <cellStyle name="Normal 22 2 5 3 3" xfId="11614" xr:uid="{00000000-0005-0000-0000-00007F2D0000}"/>
    <cellStyle name="Normal 22 2 5 3 4" xfId="11615" xr:uid="{00000000-0005-0000-0000-0000802D0000}"/>
    <cellStyle name="Normal 22 2 5 4" xfId="11616" xr:uid="{00000000-0005-0000-0000-0000812D0000}"/>
    <cellStyle name="Normal 22 2 5 4 2" xfId="11617" xr:uid="{00000000-0005-0000-0000-0000822D0000}"/>
    <cellStyle name="Normal 22 2 5 4 3" xfId="11618" xr:uid="{00000000-0005-0000-0000-0000832D0000}"/>
    <cellStyle name="Normal 22 2 5 5" xfId="11619" xr:uid="{00000000-0005-0000-0000-0000842D0000}"/>
    <cellStyle name="Normal 22 2 5 6" xfId="11620" xr:uid="{00000000-0005-0000-0000-0000852D0000}"/>
    <cellStyle name="Normal 22 2 6" xfId="11621" xr:uid="{00000000-0005-0000-0000-0000862D0000}"/>
    <cellStyle name="Normal 22 2 7" xfId="11622" xr:uid="{00000000-0005-0000-0000-0000872D0000}"/>
    <cellStyle name="Normal 22 2 7 2" xfId="11623" xr:uid="{00000000-0005-0000-0000-0000882D0000}"/>
    <cellStyle name="Normal 22 2 7 2 2" xfId="11624" xr:uid="{00000000-0005-0000-0000-0000892D0000}"/>
    <cellStyle name="Normal 22 2 7 2 2 2" xfId="11625" xr:uid="{00000000-0005-0000-0000-00008A2D0000}"/>
    <cellStyle name="Normal 22 2 7 2 2 3" xfId="11626" xr:uid="{00000000-0005-0000-0000-00008B2D0000}"/>
    <cellStyle name="Normal 22 2 7 2 3" xfId="11627" xr:uid="{00000000-0005-0000-0000-00008C2D0000}"/>
    <cellStyle name="Normal 22 2 7 2 4" xfId="11628" xr:uid="{00000000-0005-0000-0000-00008D2D0000}"/>
    <cellStyle name="Normal 22 2 7 3" xfId="11629" xr:uid="{00000000-0005-0000-0000-00008E2D0000}"/>
    <cellStyle name="Normal 22 2 7 3 2" xfId="11630" xr:uid="{00000000-0005-0000-0000-00008F2D0000}"/>
    <cellStyle name="Normal 22 2 7 3 3" xfId="11631" xr:uid="{00000000-0005-0000-0000-0000902D0000}"/>
    <cellStyle name="Normal 22 2 7 4" xfId="11632" xr:uid="{00000000-0005-0000-0000-0000912D0000}"/>
    <cellStyle name="Normal 22 2 7 5" xfId="11633" xr:uid="{00000000-0005-0000-0000-0000922D0000}"/>
    <cellStyle name="Normal 22 2 8" xfId="11634" xr:uid="{00000000-0005-0000-0000-0000932D0000}"/>
    <cellStyle name="Normal 22 2 8 2" xfId="11635" xr:uid="{00000000-0005-0000-0000-0000942D0000}"/>
    <cellStyle name="Normal 22 2 8 2 2" xfId="11636" xr:uid="{00000000-0005-0000-0000-0000952D0000}"/>
    <cellStyle name="Normal 22 2 8 2 3" xfId="11637" xr:uid="{00000000-0005-0000-0000-0000962D0000}"/>
    <cellStyle name="Normal 22 2 8 3" xfId="11638" xr:uid="{00000000-0005-0000-0000-0000972D0000}"/>
    <cellStyle name="Normal 22 2 8 4" xfId="11639" xr:uid="{00000000-0005-0000-0000-0000982D0000}"/>
    <cellStyle name="Normal 22 2 9" xfId="11640" xr:uid="{00000000-0005-0000-0000-0000992D0000}"/>
    <cellStyle name="Normal 22 2 9 2" xfId="11641" xr:uid="{00000000-0005-0000-0000-00009A2D0000}"/>
    <cellStyle name="Normal 22 2 9 3" xfId="11642" xr:uid="{00000000-0005-0000-0000-00009B2D0000}"/>
    <cellStyle name="Normal 22 3" xfId="11643" xr:uid="{00000000-0005-0000-0000-00009C2D0000}"/>
    <cellStyle name="Normal 22 3 2" xfId="11644" xr:uid="{00000000-0005-0000-0000-00009D2D0000}"/>
    <cellStyle name="Normal 22 3 2 2" xfId="11645" xr:uid="{00000000-0005-0000-0000-00009E2D0000}"/>
    <cellStyle name="Normal 22 3 2 2 2" xfId="11646" xr:uid="{00000000-0005-0000-0000-00009F2D0000}"/>
    <cellStyle name="Normal 22 3 2 2 2 2" xfId="11647" xr:uid="{00000000-0005-0000-0000-0000A02D0000}"/>
    <cellStyle name="Normal 22 3 2 2 2 3" xfId="11648" xr:uid="{00000000-0005-0000-0000-0000A12D0000}"/>
    <cellStyle name="Normal 22 3 2 2 3" xfId="11649" xr:uid="{00000000-0005-0000-0000-0000A22D0000}"/>
    <cellStyle name="Normal 22 3 2 2 4" xfId="11650" xr:uid="{00000000-0005-0000-0000-0000A32D0000}"/>
    <cellStyle name="Normal 22 3 2 3" xfId="11651" xr:uid="{00000000-0005-0000-0000-0000A42D0000}"/>
    <cellStyle name="Normal 22 3 2 3 2" xfId="11652" xr:uid="{00000000-0005-0000-0000-0000A52D0000}"/>
    <cellStyle name="Normal 22 3 2 3 3" xfId="11653" xr:uid="{00000000-0005-0000-0000-0000A62D0000}"/>
    <cellStyle name="Normal 22 3 2 4" xfId="11654" xr:uid="{00000000-0005-0000-0000-0000A72D0000}"/>
    <cellStyle name="Normal 22 3 2 5" xfId="11655" xr:uid="{00000000-0005-0000-0000-0000A82D0000}"/>
    <cellStyle name="Normal 22 3 3" xfId="11656" xr:uid="{00000000-0005-0000-0000-0000A92D0000}"/>
    <cellStyle name="Normal 22 3 3 2" xfId="11657" xr:uid="{00000000-0005-0000-0000-0000AA2D0000}"/>
    <cellStyle name="Normal 22 3 3 2 2" xfId="11658" xr:uid="{00000000-0005-0000-0000-0000AB2D0000}"/>
    <cellStyle name="Normal 22 3 3 2 3" xfId="11659" xr:uid="{00000000-0005-0000-0000-0000AC2D0000}"/>
    <cellStyle name="Normal 22 3 3 3" xfId="11660" xr:uid="{00000000-0005-0000-0000-0000AD2D0000}"/>
    <cellStyle name="Normal 22 3 3 4" xfId="11661" xr:uid="{00000000-0005-0000-0000-0000AE2D0000}"/>
    <cellStyle name="Normal 22 3 4" xfId="11662" xr:uid="{00000000-0005-0000-0000-0000AF2D0000}"/>
    <cellStyle name="Normal 22 3 4 2" xfId="11663" xr:uid="{00000000-0005-0000-0000-0000B02D0000}"/>
    <cellStyle name="Normal 22 3 4 3" xfId="11664" xr:uid="{00000000-0005-0000-0000-0000B12D0000}"/>
    <cellStyle name="Normal 22 3 5" xfId="11665" xr:uid="{00000000-0005-0000-0000-0000B22D0000}"/>
    <cellStyle name="Normal 22 3 6" xfId="11666" xr:uid="{00000000-0005-0000-0000-0000B32D0000}"/>
    <cellStyle name="Normal 22 4" xfId="11667" xr:uid="{00000000-0005-0000-0000-0000B42D0000}"/>
    <cellStyle name="Normal 22 4 2" xfId="11668" xr:uid="{00000000-0005-0000-0000-0000B52D0000}"/>
    <cellStyle name="Normal 22 4 2 2" xfId="11669" xr:uid="{00000000-0005-0000-0000-0000B62D0000}"/>
    <cellStyle name="Normal 22 4 2 2 2" xfId="11670" xr:uid="{00000000-0005-0000-0000-0000B72D0000}"/>
    <cellStyle name="Normal 22 4 2 2 2 2" xfId="11671" xr:uid="{00000000-0005-0000-0000-0000B82D0000}"/>
    <cellStyle name="Normal 22 4 2 2 2 3" xfId="11672" xr:uid="{00000000-0005-0000-0000-0000B92D0000}"/>
    <cellStyle name="Normal 22 4 2 2 3" xfId="11673" xr:uid="{00000000-0005-0000-0000-0000BA2D0000}"/>
    <cellStyle name="Normal 22 4 2 2 4" xfId="11674" xr:uid="{00000000-0005-0000-0000-0000BB2D0000}"/>
    <cellStyle name="Normal 22 4 2 3" xfId="11675" xr:uid="{00000000-0005-0000-0000-0000BC2D0000}"/>
    <cellStyle name="Normal 22 4 2 3 2" xfId="11676" xr:uid="{00000000-0005-0000-0000-0000BD2D0000}"/>
    <cellStyle name="Normal 22 4 2 3 3" xfId="11677" xr:uid="{00000000-0005-0000-0000-0000BE2D0000}"/>
    <cellStyle name="Normal 22 4 2 4" xfId="11678" xr:uid="{00000000-0005-0000-0000-0000BF2D0000}"/>
    <cellStyle name="Normal 22 4 2 5" xfId="11679" xr:uid="{00000000-0005-0000-0000-0000C02D0000}"/>
    <cellStyle name="Normal 22 4 3" xfId="11680" xr:uid="{00000000-0005-0000-0000-0000C12D0000}"/>
    <cellStyle name="Normal 22 4 3 2" xfId="11681" xr:uid="{00000000-0005-0000-0000-0000C22D0000}"/>
    <cellStyle name="Normal 22 4 3 2 2" xfId="11682" xr:uid="{00000000-0005-0000-0000-0000C32D0000}"/>
    <cellStyle name="Normal 22 4 3 2 3" xfId="11683" xr:uid="{00000000-0005-0000-0000-0000C42D0000}"/>
    <cellStyle name="Normal 22 4 3 3" xfId="11684" xr:uid="{00000000-0005-0000-0000-0000C52D0000}"/>
    <cellStyle name="Normal 22 4 3 4" xfId="11685" xr:uid="{00000000-0005-0000-0000-0000C62D0000}"/>
    <cellStyle name="Normal 22 4 4" xfId="11686" xr:uid="{00000000-0005-0000-0000-0000C72D0000}"/>
    <cellStyle name="Normal 22 4 4 2" xfId="11687" xr:uid="{00000000-0005-0000-0000-0000C82D0000}"/>
    <cellStyle name="Normal 22 4 4 3" xfId="11688" xr:uid="{00000000-0005-0000-0000-0000C92D0000}"/>
    <cellStyle name="Normal 22 4 5" xfId="11689" xr:uid="{00000000-0005-0000-0000-0000CA2D0000}"/>
    <cellStyle name="Normal 22 4 6" xfId="11690" xr:uid="{00000000-0005-0000-0000-0000CB2D0000}"/>
    <cellStyle name="Normal 22 5" xfId="11691" xr:uid="{00000000-0005-0000-0000-0000CC2D0000}"/>
    <cellStyle name="Normal 22 5 2" xfId="11692" xr:uid="{00000000-0005-0000-0000-0000CD2D0000}"/>
    <cellStyle name="Normal 22 5 2 2" xfId="11693" xr:uid="{00000000-0005-0000-0000-0000CE2D0000}"/>
    <cellStyle name="Normal 22 5 2 2 2" xfId="11694" xr:uid="{00000000-0005-0000-0000-0000CF2D0000}"/>
    <cellStyle name="Normal 22 5 2 2 2 2" xfId="11695" xr:uid="{00000000-0005-0000-0000-0000D02D0000}"/>
    <cellStyle name="Normal 22 5 2 2 2 3" xfId="11696" xr:uid="{00000000-0005-0000-0000-0000D12D0000}"/>
    <cellStyle name="Normal 22 5 2 2 3" xfId="11697" xr:uid="{00000000-0005-0000-0000-0000D22D0000}"/>
    <cellStyle name="Normal 22 5 2 2 4" xfId="11698" xr:uid="{00000000-0005-0000-0000-0000D32D0000}"/>
    <cellStyle name="Normal 22 5 2 3" xfId="11699" xr:uid="{00000000-0005-0000-0000-0000D42D0000}"/>
    <cellStyle name="Normal 22 5 2 3 2" xfId="11700" xr:uid="{00000000-0005-0000-0000-0000D52D0000}"/>
    <cellStyle name="Normal 22 5 2 3 3" xfId="11701" xr:uid="{00000000-0005-0000-0000-0000D62D0000}"/>
    <cellStyle name="Normal 22 5 2 4" xfId="11702" xr:uid="{00000000-0005-0000-0000-0000D72D0000}"/>
    <cellStyle name="Normal 22 5 2 5" xfId="11703" xr:uid="{00000000-0005-0000-0000-0000D82D0000}"/>
    <cellStyle name="Normal 22 5 3" xfId="11704" xr:uid="{00000000-0005-0000-0000-0000D92D0000}"/>
    <cellStyle name="Normal 22 5 3 2" xfId="11705" xr:uid="{00000000-0005-0000-0000-0000DA2D0000}"/>
    <cellStyle name="Normal 22 5 3 2 2" xfId="11706" xr:uid="{00000000-0005-0000-0000-0000DB2D0000}"/>
    <cellStyle name="Normal 22 5 3 2 3" xfId="11707" xr:uid="{00000000-0005-0000-0000-0000DC2D0000}"/>
    <cellStyle name="Normal 22 5 3 3" xfId="11708" xr:uid="{00000000-0005-0000-0000-0000DD2D0000}"/>
    <cellStyle name="Normal 22 5 3 4" xfId="11709" xr:uid="{00000000-0005-0000-0000-0000DE2D0000}"/>
    <cellStyle name="Normal 22 5 4" xfId="11710" xr:uid="{00000000-0005-0000-0000-0000DF2D0000}"/>
    <cellStyle name="Normal 22 5 4 2" xfId="11711" xr:uid="{00000000-0005-0000-0000-0000E02D0000}"/>
    <cellStyle name="Normal 22 5 4 3" xfId="11712" xr:uid="{00000000-0005-0000-0000-0000E12D0000}"/>
    <cellStyle name="Normal 22 5 5" xfId="11713" xr:uid="{00000000-0005-0000-0000-0000E22D0000}"/>
    <cellStyle name="Normal 22 5 6" xfId="11714" xr:uid="{00000000-0005-0000-0000-0000E32D0000}"/>
    <cellStyle name="Normal 22 6" xfId="11715" xr:uid="{00000000-0005-0000-0000-0000E42D0000}"/>
    <cellStyle name="Normal 22 6 2" xfId="11716" xr:uid="{00000000-0005-0000-0000-0000E52D0000}"/>
    <cellStyle name="Normal 22 6 2 2" xfId="11717" xr:uid="{00000000-0005-0000-0000-0000E62D0000}"/>
    <cellStyle name="Normal 22 6 2 2 2" xfId="11718" xr:uid="{00000000-0005-0000-0000-0000E72D0000}"/>
    <cellStyle name="Normal 22 6 2 2 2 2" xfId="11719" xr:uid="{00000000-0005-0000-0000-0000E82D0000}"/>
    <cellStyle name="Normal 22 6 2 2 2 3" xfId="11720" xr:uid="{00000000-0005-0000-0000-0000E92D0000}"/>
    <cellStyle name="Normal 22 6 2 2 3" xfId="11721" xr:uid="{00000000-0005-0000-0000-0000EA2D0000}"/>
    <cellStyle name="Normal 22 6 2 2 4" xfId="11722" xr:uid="{00000000-0005-0000-0000-0000EB2D0000}"/>
    <cellStyle name="Normal 22 6 2 3" xfId="11723" xr:uid="{00000000-0005-0000-0000-0000EC2D0000}"/>
    <cellStyle name="Normal 22 6 2 3 2" xfId="11724" xr:uid="{00000000-0005-0000-0000-0000ED2D0000}"/>
    <cellStyle name="Normal 22 6 2 3 3" xfId="11725" xr:uid="{00000000-0005-0000-0000-0000EE2D0000}"/>
    <cellStyle name="Normal 22 6 2 4" xfId="11726" xr:uid="{00000000-0005-0000-0000-0000EF2D0000}"/>
    <cellStyle name="Normal 22 6 2 5" xfId="11727" xr:uid="{00000000-0005-0000-0000-0000F02D0000}"/>
    <cellStyle name="Normal 22 6 3" xfId="11728" xr:uid="{00000000-0005-0000-0000-0000F12D0000}"/>
    <cellStyle name="Normal 22 6 3 2" xfId="11729" xr:uid="{00000000-0005-0000-0000-0000F22D0000}"/>
    <cellStyle name="Normal 22 6 3 2 2" xfId="11730" xr:uid="{00000000-0005-0000-0000-0000F32D0000}"/>
    <cellStyle name="Normal 22 6 3 2 3" xfId="11731" xr:uid="{00000000-0005-0000-0000-0000F42D0000}"/>
    <cellStyle name="Normal 22 6 3 3" xfId="11732" xr:uid="{00000000-0005-0000-0000-0000F52D0000}"/>
    <cellStyle name="Normal 22 6 3 4" xfId="11733" xr:uid="{00000000-0005-0000-0000-0000F62D0000}"/>
    <cellStyle name="Normal 22 6 4" xfId="11734" xr:uid="{00000000-0005-0000-0000-0000F72D0000}"/>
    <cellStyle name="Normal 22 6 4 2" xfId="11735" xr:uid="{00000000-0005-0000-0000-0000F82D0000}"/>
    <cellStyle name="Normal 22 6 4 3" xfId="11736" xr:uid="{00000000-0005-0000-0000-0000F92D0000}"/>
    <cellStyle name="Normal 22 6 5" xfId="11737" xr:uid="{00000000-0005-0000-0000-0000FA2D0000}"/>
    <cellStyle name="Normal 22 6 6" xfId="11738" xr:uid="{00000000-0005-0000-0000-0000FB2D0000}"/>
    <cellStyle name="Normal 22 7" xfId="11739" xr:uid="{00000000-0005-0000-0000-0000FC2D0000}"/>
    <cellStyle name="Normal 22 8" xfId="11740" xr:uid="{00000000-0005-0000-0000-0000FD2D0000}"/>
    <cellStyle name="Normal 22 8 2" xfId="11741" xr:uid="{00000000-0005-0000-0000-0000FE2D0000}"/>
    <cellStyle name="Normal 22 8 2 2" xfId="11742" xr:uid="{00000000-0005-0000-0000-0000FF2D0000}"/>
    <cellStyle name="Normal 22 8 2 2 2" xfId="11743" xr:uid="{00000000-0005-0000-0000-0000002E0000}"/>
    <cellStyle name="Normal 22 8 2 2 3" xfId="11744" xr:uid="{00000000-0005-0000-0000-0000012E0000}"/>
    <cellStyle name="Normal 22 8 2 3" xfId="11745" xr:uid="{00000000-0005-0000-0000-0000022E0000}"/>
    <cellStyle name="Normal 22 8 2 4" xfId="11746" xr:uid="{00000000-0005-0000-0000-0000032E0000}"/>
    <cellStyle name="Normal 22 8 3" xfId="11747" xr:uid="{00000000-0005-0000-0000-0000042E0000}"/>
    <cellStyle name="Normal 22 8 3 2" xfId="11748" xr:uid="{00000000-0005-0000-0000-0000052E0000}"/>
    <cellStyle name="Normal 22 8 3 3" xfId="11749" xr:uid="{00000000-0005-0000-0000-0000062E0000}"/>
    <cellStyle name="Normal 22 8 4" xfId="11750" xr:uid="{00000000-0005-0000-0000-0000072E0000}"/>
    <cellStyle name="Normal 22 8 5" xfId="11751" xr:uid="{00000000-0005-0000-0000-0000082E0000}"/>
    <cellStyle name="Normal 22 9" xfId="11752" xr:uid="{00000000-0005-0000-0000-0000092E0000}"/>
    <cellStyle name="Normal 22 9 2" xfId="11753" xr:uid="{00000000-0005-0000-0000-00000A2E0000}"/>
    <cellStyle name="Normal 22 9 2 2" xfId="11754" xr:uid="{00000000-0005-0000-0000-00000B2E0000}"/>
    <cellStyle name="Normal 22 9 2 3" xfId="11755" xr:uid="{00000000-0005-0000-0000-00000C2E0000}"/>
    <cellStyle name="Normal 22 9 3" xfId="11756" xr:uid="{00000000-0005-0000-0000-00000D2E0000}"/>
    <cellStyle name="Normal 22 9 4" xfId="11757" xr:uid="{00000000-0005-0000-0000-00000E2E0000}"/>
    <cellStyle name="Normal 23" xfId="11758" xr:uid="{00000000-0005-0000-0000-00000F2E0000}"/>
    <cellStyle name="Normal 23 10" xfId="11759" xr:uid="{00000000-0005-0000-0000-0000102E0000}"/>
    <cellStyle name="Normal 23 10 2" xfId="11760" xr:uid="{00000000-0005-0000-0000-0000112E0000}"/>
    <cellStyle name="Normal 23 10 3" xfId="11761" xr:uid="{00000000-0005-0000-0000-0000122E0000}"/>
    <cellStyle name="Normal 23 11" xfId="11762" xr:uid="{00000000-0005-0000-0000-0000132E0000}"/>
    <cellStyle name="Normal 23 12" xfId="11763" xr:uid="{00000000-0005-0000-0000-0000142E0000}"/>
    <cellStyle name="Normal 23 2" xfId="11764" xr:uid="{00000000-0005-0000-0000-0000152E0000}"/>
    <cellStyle name="Normal 23 2 10" xfId="11765" xr:uid="{00000000-0005-0000-0000-0000162E0000}"/>
    <cellStyle name="Normal 23 2 2" xfId="11766" xr:uid="{00000000-0005-0000-0000-0000172E0000}"/>
    <cellStyle name="Normal 23 2 2 2" xfId="11767" xr:uid="{00000000-0005-0000-0000-0000182E0000}"/>
    <cellStyle name="Normal 23 2 2 2 2" xfId="11768" xr:uid="{00000000-0005-0000-0000-0000192E0000}"/>
    <cellStyle name="Normal 23 2 2 2 2 2" xfId="11769" xr:uid="{00000000-0005-0000-0000-00001A2E0000}"/>
    <cellStyle name="Normal 23 2 2 2 2 2 2" xfId="11770" xr:uid="{00000000-0005-0000-0000-00001B2E0000}"/>
    <cellStyle name="Normal 23 2 2 2 2 2 3" xfId="11771" xr:uid="{00000000-0005-0000-0000-00001C2E0000}"/>
    <cellStyle name="Normal 23 2 2 2 2 3" xfId="11772" xr:uid="{00000000-0005-0000-0000-00001D2E0000}"/>
    <cellStyle name="Normal 23 2 2 2 2 4" xfId="11773" xr:uid="{00000000-0005-0000-0000-00001E2E0000}"/>
    <cellStyle name="Normal 23 2 2 2 3" xfId="11774" xr:uid="{00000000-0005-0000-0000-00001F2E0000}"/>
    <cellStyle name="Normal 23 2 2 2 3 2" xfId="11775" xr:uid="{00000000-0005-0000-0000-0000202E0000}"/>
    <cellStyle name="Normal 23 2 2 2 3 3" xfId="11776" xr:uid="{00000000-0005-0000-0000-0000212E0000}"/>
    <cellStyle name="Normal 23 2 2 2 4" xfId="11777" xr:uid="{00000000-0005-0000-0000-0000222E0000}"/>
    <cellStyle name="Normal 23 2 2 2 5" xfId="11778" xr:uid="{00000000-0005-0000-0000-0000232E0000}"/>
    <cellStyle name="Normal 23 2 2 3" xfId="11779" xr:uid="{00000000-0005-0000-0000-0000242E0000}"/>
    <cellStyle name="Normal 23 2 2 3 2" xfId="11780" xr:uid="{00000000-0005-0000-0000-0000252E0000}"/>
    <cellStyle name="Normal 23 2 2 3 2 2" xfId="11781" xr:uid="{00000000-0005-0000-0000-0000262E0000}"/>
    <cellStyle name="Normal 23 2 2 3 2 3" xfId="11782" xr:uid="{00000000-0005-0000-0000-0000272E0000}"/>
    <cellStyle name="Normal 23 2 2 3 3" xfId="11783" xr:uid="{00000000-0005-0000-0000-0000282E0000}"/>
    <cellStyle name="Normal 23 2 2 3 4" xfId="11784" xr:uid="{00000000-0005-0000-0000-0000292E0000}"/>
    <cellStyle name="Normal 23 2 2 4" xfId="11785" xr:uid="{00000000-0005-0000-0000-00002A2E0000}"/>
    <cellStyle name="Normal 23 2 2 4 2" xfId="11786" xr:uid="{00000000-0005-0000-0000-00002B2E0000}"/>
    <cellStyle name="Normal 23 2 2 4 3" xfId="11787" xr:uid="{00000000-0005-0000-0000-00002C2E0000}"/>
    <cellStyle name="Normal 23 2 2 5" xfId="11788" xr:uid="{00000000-0005-0000-0000-00002D2E0000}"/>
    <cellStyle name="Normal 23 2 2 6" xfId="11789" xr:uid="{00000000-0005-0000-0000-00002E2E0000}"/>
    <cellStyle name="Normal 23 2 3" xfId="11790" xr:uid="{00000000-0005-0000-0000-00002F2E0000}"/>
    <cellStyle name="Normal 23 2 3 2" xfId="11791" xr:uid="{00000000-0005-0000-0000-0000302E0000}"/>
    <cellStyle name="Normal 23 2 3 2 2" xfId="11792" xr:uid="{00000000-0005-0000-0000-0000312E0000}"/>
    <cellStyle name="Normal 23 2 3 2 2 2" xfId="11793" xr:uid="{00000000-0005-0000-0000-0000322E0000}"/>
    <cellStyle name="Normal 23 2 3 2 2 2 2" xfId="11794" xr:uid="{00000000-0005-0000-0000-0000332E0000}"/>
    <cellStyle name="Normal 23 2 3 2 2 2 3" xfId="11795" xr:uid="{00000000-0005-0000-0000-0000342E0000}"/>
    <cellStyle name="Normal 23 2 3 2 2 3" xfId="11796" xr:uid="{00000000-0005-0000-0000-0000352E0000}"/>
    <cellStyle name="Normal 23 2 3 2 2 4" xfId="11797" xr:uid="{00000000-0005-0000-0000-0000362E0000}"/>
    <cellStyle name="Normal 23 2 3 2 3" xfId="11798" xr:uid="{00000000-0005-0000-0000-0000372E0000}"/>
    <cellStyle name="Normal 23 2 3 2 3 2" xfId="11799" xr:uid="{00000000-0005-0000-0000-0000382E0000}"/>
    <cellStyle name="Normal 23 2 3 2 3 3" xfId="11800" xr:uid="{00000000-0005-0000-0000-0000392E0000}"/>
    <cellStyle name="Normal 23 2 3 2 4" xfId="11801" xr:uid="{00000000-0005-0000-0000-00003A2E0000}"/>
    <cellStyle name="Normal 23 2 3 2 5" xfId="11802" xr:uid="{00000000-0005-0000-0000-00003B2E0000}"/>
    <cellStyle name="Normal 23 2 3 3" xfId="11803" xr:uid="{00000000-0005-0000-0000-00003C2E0000}"/>
    <cellStyle name="Normal 23 2 3 3 2" xfId="11804" xr:uid="{00000000-0005-0000-0000-00003D2E0000}"/>
    <cellStyle name="Normal 23 2 3 3 2 2" xfId="11805" xr:uid="{00000000-0005-0000-0000-00003E2E0000}"/>
    <cellStyle name="Normal 23 2 3 3 2 3" xfId="11806" xr:uid="{00000000-0005-0000-0000-00003F2E0000}"/>
    <cellStyle name="Normal 23 2 3 3 3" xfId="11807" xr:uid="{00000000-0005-0000-0000-0000402E0000}"/>
    <cellStyle name="Normal 23 2 3 3 4" xfId="11808" xr:uid="{00000000-0005-0000-0000-0000412E0000}"/>
    <cellStyle name="Normal 23 2 3 4" xfId="11809" xr:uid="{00000000-0005-0000-0000-0000422E0000}"/>
    <cellStyle name="Normal 23 2 3 4 2" xfId="11810" xr:uid="{00000000-0005-0000-0000-0000432E0000}"/>
    <cellStyle name="Normal 23 2 3 4 3" xfId="11811" xr:uid="{00000000-0005-0000-0000-0000442E0000}"/>
    <cellStyle name="Normal 23 2 3 5" xfId="11812" xr:uid="{00000000-0005-0000-0000-0000452E0000}"/>
    <cellStyle name="Normal 23 2 3 6" xfId="11813" xr:uid="{00000000-0005-0000-0000-0000462E0000}"/>
    <cellStyle name="Normal 23 2 4" xfId="11814" xr:uid="{00000000-0005-0000-0000-0000472E0000}"/>
    <cellStyle name="Normal 23 2 4 2" xfId="11815" xr:uid="{00000000-0005-0000-0000-0000482E0000}"/>
    <cellStyle name="Normal 23 2 4 2 2" xfId="11816" xr:uid="{00000000-0005-0000-0000-0000492E0000}"/>
    <cellStyle name="Normal 23 2 4 2 2 2" xfId="11817" xr:uid="{00000000-0005-0000-0000-00004A2E0000}"/>
    <cellStyle name="Normal 23 2 4 2 2 2 2" xfId="11818" xr:uid="{00000000-0005-0000-0000-00004B2E0000}"/>
    <cellStyle name="Normal 23 2 4 2 2 2 3" xfId="11819" xr:uid="{00000000-0005-0000-0000-00004C2E0000}"/>
    <cellStyle name="Normal 23 2 4 2 2 3" xfId="11820" xr:uid="{00000000-0005-0000-0000-00004D2E0000}"/>
    <cellStyle name="Normal 23 2 4 2 2 4" xfId="11821" xr:uid="{00000000-0005-0000-0000-00004E2E0000}"/>
    <cellStyle name="Normal 23 2 4 2 3" xfId="11822" xr:uid="{00000000-0005-0000-0000-00004F2E0000}"/>
    <cellStyle name="Normal 23 2 4 2 3 2" xfId="11823" xr:uid="{00000000-0005-0000-0000-0000502E0000}"/>
    <cellStyle name="Normal 23 2 4 2 3 3" xfId="11824" xr:uid="{00000000-0005-0000-0000-0000512E0000}"/>
    <cellStyle name="Normal 23 2 4 2 4" xfId="11825" xr:uid="{00000000-0005-0000-0000-0000522E0000}"/>
    <cellStyle name="Normal 23 2 4 2 5" xfId="11826" xr:uid="{00000000-0005-0000-0000-0000532E0000}"/>
    <cellStyle name="Normal 23 2 4 3" xfId="11827" xr:uid="{00000000-0005-0000-0000-0000542E0000}"/>
    <cellStyle name="Normal 23 2 4 3 2" xfId="11828" xr:uid="{00000000-0005-0000-0000-0000552E0000}"/>
    <cellStyle name="Normal 23 2 4 3 2 2" xfId="11829" xr:uid="{00000000-0005-0000-0000-0000562E0000}"/>
    <cellStyle name="Normal 23 2 4 3 2 3" xfId="11830" xr:uid="{00000000-0005-0000-0000-0000572E0000}"/>
    <cellStyle name="Normal 23 2 4 3 3" xfId="11831" xr:uid="{00000000-0005-0000-0000-0000582E0000}"/>
    <cellStyle name="Normal 23 2 4 3 4" xfId="11832" xr:uid="{00000000-0005-0000-0000-0000592E0000}"/>
    <cellStyle name="Normal 23 2 4 4" xfId="11833" xr:uid="{00000000-0005-0000-0000-00005A2E0000}"/>
    <cellStyle name="Normal 23 2 4 4 2" xfId="11834" xr:uid="{00000000-0005-0000-0000-00005B2E0000}"/>
    <cellStyle name="Normal 23 2 4 4 3" xfId="11835" xr:uid="{00000000-0005-0000-0000-00005C2E0000}"/>
    <cellStyle name="Normal 23 2 4 5" xfId="11836" xr:uid="{00000000-0005-0000-0000-00005D2E0000}"/>
    <cellStyle name="Normal 23 2 4 6" xfId="11837" xr:uid="{00000000-0005-0000-0000-00005E2E0000}"/>
    <cellStyle name="Normal 23 2 5" xfId="11838" xr:uid="{00000000-0005-0000-0000-00005F2E0000}"/>
    <cellStyle name="Normal 23 2 5 2" xfId="11839" xr:uid="{00000000-0005-0000-0000-0000602E0000}"/>
    <cellStyle name="Normal 23 2 5 2 2" xfId="11840" xr:uid="{00000000-0005-0000-0000-0000612E0000}"/>
    <cellStyle name="Normal 23 2 5 2 2 2" xfId="11841" xr:uid="{00000000-0005-0000-0000-0000622E0000}"/>
    <cellStyle name="Normal 23 2 5 2 2 2 2" xfId="11842" xr:uid="{00000000-0005-0000-0000-0000632E0000}"/>
    <cellStyle name="Normal 23 2 5 2 2 2 3" xfId="11843" xr:uid="{00000000-0005-0000-0000-0000642E0000}"/>
    <cellStyle name="Normal 23 2 5 2 2 3" xfId="11844" xr:uid="{00000000-0005-0000-0000-0000652E0000}"/>
    <cellStyle name="Normal 23 2 5 2 2 4" xfId="11845" xr:uid="{00000000-0005-0000-0000-0000662E0000}"/>
    <cellStyle name="Normal 23 2 5 2 3" xfId="11846" xr:uid="{00000000-0005-0000-0000-0000672E0000}"/>
    <cellStyle name="Normal 23 2 5 2 3 2" xfId="11847" xr:uid="{00000000-0005-0000-0000-0000682E0000}"/>
    <cellStyle name="Normal 23 2 5 2 3 3" xfId="11848" xr:uid="{00000000-0005-0000-0000-0000692E0000}"/>
    <cellStyle name="Normal 23 2 5 2 4" xfId="11849" xr:uid="{00000000-0005-0000-0000-00006A2E0000}"/>
    <cellStyle name="Normal 23 2 5 2 5" xfId="11850" xr:uid="{00000000-0005-0000-0000-00006B2E0000}"/>
    <cellStyle name="Normal 23 2 5 3" xfId="11851" xr:uid="{00000000-0005-0000-0000-00006C2E0000}"/>
    <cellStyle name="Normal 23 2 5 3 2" xfId="11852" xr:uid="{00000000-0005-0000-0000-00006D2E0000}"/>
    <cellStyle name="Normal 23 2 5 3 2 2" xfId="11853" xr:uid="{00000000-0005-0000-0000-00006E2E0000}"/>
    <cellStyle name="Normal 23 2 5 3 2 3" xfId="11854" xr:uid="{00000000-0005-0000-0000-00006F2E0000}"/>
    <cellStyle name="Normal 23 2 5 3 3" xfId="11855" xr:uid="{00000000-0005-0000-0000-0000702E0000}"/>
    <cellStyle name="Normal 23 2 5 3 4" xfId="11856" xr:uid="{00000000-0005-0000-0000-0000712E0000}"/>
    <cellStyle name="Normal 23 2 5 4" xfId="11857" xr:uid="{00000000-0005-0000-0000-0000722E0000}"/>
    <cellStyle name="Normal 23 2 5 4 2" xfId="11858" xr:uid="{00000000-0005-0000-0000-0000732E0000}"/>
    <cellStyle name="Normal 23 2 5 4 3" xfId="11859" xr:uid="{00000000-0005-0000-0000-0000742E0000}"/>
    <cellStyle name="Normal 23 2 5 5" xfId="11860" xr:uid="{00000000-0005-0000-0000-0000752E0000}"/>
    <cellStyle name="Normal 23 2 5 6" xfId="11861" xr:uid="{00000000-0005-0000-0000-0000762E0000}"/>
    <cellStyle name="Normal 23 2 6" xfId="11862" xr:uid="{00000000-0005-0000-0000-0000772E0000}"/>
    <cellStyle name="Normal 23 2 6 2" xfId="11863" xr:uid="{00000000-0005-0000-0000-0000782E0000}"/>
    <cellStyle name="Normal 23 2 6 2 2" xfId="11864" xr:uid="{00000000-0005-0000-0000-0000792E0000}"/>
    <cellStyle name="Normal 23 2 6 2 2 2" xfId="11865" xr:uid="{00000000-0005-0000-0000-00007A2E0000}"/>
    <cellStyle name="Normal 23 2 6 2 2 3" xfId="11866" xr:uid="{00000000-0005-0000-0000-00007B2E0000}"/>
    <cellStyle name="Normal 23 2 6 2 3" xfId="11867" xr:uid="{00000000-0005-0000-0000-00007C2E0000}"/>
    <cellStyle name="Normal 23 2 6 2 4" xfId="11868" xr:uid="{00000000-0005-0000-0000-00007D2E0000}"/>
    <cellStyle name="Normal 23 2 6 3" xfId="11869" xr:uid="{00000000-0005-0000-0000-00007E2E0000}"/>
    <cellStyle name="Normal 23 2 6 3 2" xfId="11870" xr:uid="{00000000-0005-0000-0000-00007F2E0000}"/>
    <cellStyle name="Normal 23 2 6 3 3" xfId="11871" xr:uid="{00000000-0005-0000-0000-0000802E0000}"/>
    <cellStyle name="Normal 23 2 6 4" xfId="11872" xr:uid="{00000000-0005-0000-0000-0000812E0000}"/>
    <cellStyle name="Normal 23 2 6 5" xfId="11873" xr:uid="{00000000-0005-0000-0000-0000822E0000}"/>
    <cellStyle name="Normal 23 2 7" xfId="11874" xr:uid="{00000000-0005-0000-0000-0000832E0000}"/>
    <cellStyle name="Normal 23 2 7 2" xfId="11875" xr:uid="{00000000-0005-0000-0000-0000842E0000}"/>
    <cellStyle name="Normal 23 2 7 2 2" xfId="11876" xr:uid="{00000000-0005-0000-0000-0000852E0000}"/>
    <cellStyle name="Normal 23 2 7 2 3" xfId="11877" xr:uid="{00000000-0005-0000-0000-0000862E0000}"/>
    <cellStyle name="Normal 23 2 7 3" xfId="11878" xr:uid="{00000000-0005-0000-0000-0000872E0000}"/>
    <cellStyle name="Normal 23 2 7 4" xfId="11879" xr:uid="{00000000-0005-0000-0000-0000882E0000}"/>
    <cellStyle name="Normal 23 2 8" xfId="11880" xr:uid="{00000000-0005-0000-0000-0000892E0000}"/>
    <cellStyle name="Normal 23 2 8 2" xfId="11881" xr:uid="{00000000-0005-0000-0000-00008A2E0000}"/>
    <cellStyle name="Normal 23 2 8 3" xfId="11882" xr:uid="{00000000-0005-0000-0000-00008B2E0000}"/>
    <cellStyle name="Normal 23 2 9" xfId="11883" xr:uid="{00000000-0005-0000-0000-00008C2E0000}"/>
    <cellStyle name="Normal 23 3" xfId="11884" xr:uid="{00000000-0005-0000-0000-00008D2E0000}"/>
    <cellStyle name="Normal 23 3 2" xfId="11885" xr:uid="{00000000-0005-0000-0000-00008E2E0000}"/>
    <cellStyle name="Normal 23 3 2 2" xfId="11886" xr:uid="{00000000-0005-0000-0000-00008F2E0000}"/>
    <cellStyle name="Normal 23 3 2 2 2" xfId="11887" xr:uid="{00000000-0005-0000-0000-0000902E0000}"/>
    <cellStyle name="Normal 23 3 2 2 2 2" xfId="11888" xr:uid="{00000000-0005-0000-0000-0000912E0000}"/>
    <cellStyle name="Normal 23 3 2 2 2 3" xfId="11889" xr:uid="{00000000-0005-0000-0000-0000922E0000}"/>
    <cellStyle name="Normal 23 3 2 2 3" xfId="11890" xr:uid="{00000000-0005-0000-0000-0000932E0000}"/>
    <cellStyle name="Normal 23 3 2 2 4" xfId="11891" xr:uid="{00000000-0005-0000-0000-0000942E0000}"/>
    <cellStyle name="Normal 23 3 2 3" xfId="11892" xr:uid="{00000000-0005-0000-0000-0000952E0000}"/>
    <cellStyle name="Normal 23 3 2 3 2" xfId="11893" xr:uid="{00000000-0005-0000-0000-0000962E0000}"/>
    <cellStyle name="Normal 23 3 2 3 3" xfId="11894" xr:uid="{00000000-0005-0000-0000-0000972E0000}"/>
    <cellStyle name="Normal 23 3 2 4" xfId="11895" xr:uid="{00000000-0005-0000-0000-0000982E0000}"/>
    <cellStyle name="Normal 23 3 2 5" xfId="11896" xr:uid="{00000000-0005-0000-0000-0000992E0000}"/>
    <cellStyle name="Normal 23 3 3" xfId="11897" xr:uid="{00000000-0005-0000-0000-00009A2E0000}"/>
    <cellStyle name="Normal 23 3 3 2" xfId="11898" xr:uid="{00000000-0005-0000-0000-00009B2E0000}"/>
    <cellStyle name="Normal 23 3 3 2 2" xfId="11899" xr:uid="{00000000-0005-0000-0000-00009C2E0000}"/>
    <cellStyle name="Normal 23 3 3 2 3" xfId="11900" xr:uid="{00000000-0005-0000-0000-00009D2E0000}"/>
    <cellStyle name="Normal 23 3 3 3" xfId="11901" xr:uid="{00000000-0005-0000-0000-00009E2E0000}"/>
    <cellStyle name="Normal 23 3 3 4" xfId="11902" xr:uid="{00000000-0005-0000-0000-00009F2E0000}"/>
    <cellStyle name="Normal 23 3 4" xfId="11903" xr:uid="{00000000-0005-0000-0000-0000A02E0000}"/>
    <cellStyle name="Normal 23 3 4 2" xfId="11904" xr:uid="{00000000-0005-0000-0000-0000A12E0000}"/>
    <cellStyle name="Normal 23 3 4 3" xfId="11905" xr:uid="{00000000-0005-0000-0000-0000A22E0000}"/>
    <cellStyle name="Normal 23 3 5" xfId="11906" xr:uid="{00000000-0005-0000-0000-0000A32E0000}"/>
    <cellStyle name="Normal 23 3 6" xfId="11907" xr:uid="{00000000-0005-0000-0000-0000A42E0000}"/>
    <cellStyle name="Normal 23 4" xfId="11908" xr:uid="{00000000-0005-0000-0000-0000A52E0000}"/>
    <cellStyle name="Normal 23 4 2" xfId="11909" xr:uid="{00000000-0005-0000-0000-0000A62E0000}"/>
    <cellStyle name="Normal 23 4 2 2" xfId="11910" xr:uid="{00000000-0005-0000-0000-0000A72E0000}"/>
    <cellStyle name="Normal 23 4 2 2 2" xfId="11911" xr:uid="{00000000-0005-0000-0000-0000A82E0000}"/>
    <cellStyle name="Normal 23 4 2 2 2 2" xfId="11912" xr:uid="{00000000-0005-0000-0000-0000A92E0000}"/>
    <cellStyle name="Normal 23 4 2 2 2 3" xfId="11913" xr:uid="{00000000-0005-0000-0000-0000AA2E0000}"/>
    <cellStyle name="Normal 23 4 2 2 3" xfId="11914" xr:uid="{00000000-0005-0000-0000-0000AB2E0000}"/>
    <cellStyle name="Normal 23 4 2 2 4" xfId="11915" xr:uid="{00000000-0005-0000-0000-0000AC2E0000}"/>
    <cellStyle name="Normal 23 4 2 3" xfId="11916" xr:uid="{00000000-0005-0000-0000-0000AD2E0000}"/>
    <cellStyle name="Normal 23 4 2 3 2" xfId="11917" xr:uid="{00000000-0005-0000-0000-0000AE2E0000}"/>
    <cellStyle name="Normal 23 4 2 3 3" xfId="11918" xr:uid="{00000000-0005-0000-0000-0000AF2E0000}"/>
    <cellStyle name="Normal 23 4 2 4" xfId="11919" xr:uid="{00000000-0005-0000-0000-0000B02E0000}"/>
    <cellStyle name="Normal 23 4 2 5" xfId="11920" xr:uid="{00000000-0005-0000-0000-0000B12E0000}"/>
    <cellStyle name="Normal 23 4 3" xfId="11921" xr:uid="{00000000-0005-0000-0000-0000B22E0000}"/>
    <cellStyle name="Normal 23 4 3 2" xfId="11922" xr:uid="{00000000-0005-0000-0000-0000B32E0000}"/>
    <cellStyle name="Normal 23 4 3 2 2" xfId="11923" xr:uid="{00000000-0005-0000-0000-0000B42E0000}"/>
    <cellStyle name="Normal 23 4 3 2 3" xfId="11924" xr:uid="{00000000-0005-0000-0000-0000B52E0000}"/>
    <cellStyle name="Normal 23 4 3 3" xfId="11925" xr:uid="{00000000-0005-0000-0000-0000B62E0000}"/>
    <cellStyle name="Normal 23 4 3 4" xfId="11926" xr:uid="{00000000-0005-0000-0000-0000B72E0000}"/>
    <cellStyle name="Normal 23 4 4" xfId="11927" xr:uid="{00000000-0005-0000-0000-0000B82E0000}"/>
    <cellStyle name="Normal 23 4 4 2" xfId="11928" xr:uid="{00000000-0005-0000-0000-0000B92E0000}"/>
    <cellStyle name="Normal 23 4 4 3" xfId="11929" xr:uid="{00000000-0005-0000-0000-0000BA2E0000}"/>
    <cellStyle name="Normal 23 4 5" xfId="11930" xr:uid="{00000000-0005-0000-0000-0000BB2E0000}"/>
    <cellStyle name="Normal 23 4 6" xfId="11931" xr:uid="{00000000-0005-0000-0000-0000BC2E0000}"/>
    <cellStyle name="Normal 23 5" xfId="11932" xr:uid="{00000000-0005-0000-0000-0000BD2E0000}"/>
    <cellStyle name="Normal 23 5 2" xfId="11933" xr:uid="{00000000-0005-0000-0000-0000BE2E0000}"/>
    <cellStyle name="Normal 23 5 2 2" xfId="11934" xr:uid="{00000000-0005-0000-0000-0000BF2E0000}"/>
    <cellStyle name="Normal 23 5 2 2 2" xfId="11935" xr:uid="{00000000-0005-0000-0000-0000C02E0000}"/>
    <cellStyle name="Normal 23 5 2 2 2 2" xfId="11936" xr:uid="{00000000-0005-0000-0000-0000C12E0000}"/>
    <cellStyle name="Normal 23 5 2 2 2 3" xfId="11937" xr:uid="{00000000-0005-0000-0000-0000C22E0000}"/>
    <cellStyle name="Normal 23 5 2 2 3" xfId="11938" xr:uid="{00000000-0005-0000-0000-0000C32E0000}"/>
    <cellStyle name="Normal 23 5 2 2 4" xfId="11939" xr:uid="{00000000-0005-0000-0000-0000C42E0000}"/>
    <cellStyle name="Normal 23 5 2 3" xfId="11940" xr:uid="{00000000-0005-0000-0000-0000C52E0000}"/>
    <cellStyle name="Normal 23 5 2 3 2" xfId="11941" xr:uid="{00000000-0005-0000-0000-0000C62E0000}"/>
    <cellStyle name="Normal 23 5 2 3 3" xfId="11942" xr:uid="{00000000-0005-0000-0000-0000C72E0000}"/>
    <cellStyle name="Normal 23 5 2 4" xfId="11943" xr:uid="{00000000-0005-0000-0000-0000C82E0000}"/>
    <cellStyle name="Normal 23 5 2 5" xfId="11944" xr:uid="{00000000-0005-0000-0000-0000C92E0000}"/>
    <cellStyle name="Normal 23 5 3" xfId="11945" xr:uid="{00000000-0005-0000-0000-0000CA2E0000}"/>
    <cellStyle name="Normal 23 5 3 2" xfId="11946" xr:uid="{00000000-0005-0000-0000-0000CB2E0000}"/>
    <cellStyle name="Normal 23 5 3 2 2" xfId="11947" xr:uid="{00000000-0005-0000-0000-0000CC2E0000}"/>
    <cellStyle name="Normal 23 5 3 2 3" xfId="11948" xr:uid="{00000000-0005-0000-0000-0000CD2E0000}"/>
    <cellStyle name="Normal 23 5 3 3" xfId="11949" xr:uid="{00000000-0005-0000-0000-0000CE2E0000}"/>
    <cellStyle name="Normal 23 5 3 4" xfId="11950" xr:uid="{00000000-0005-0000-0000-0000CF2E0000}"/>
    <cellStyle name="Normal 23 5 4" xfId="11951" xr:uid="{00000000-0005-0000-0000-0000D02E0000}"/>
    <cellStyle name="Normal 23 5 4 2" xfId="11952" xr:uid="{00000000-0005-0000-0000-0000D12E0000}"/>
    <cellStyle name="Normal 23 5 4 3" xfId="11953" xr:uid="{00000000-0005-0000-0000-0000D22E0000}"/>
    <cellStyle name="Normal 23 5 5" xfId="11954" xr:uid="{00000000-0005-0000-0000-0000D32E0000}"/>
    <cellStyle name="Normal 23 5 6" xfId="11955" xr:uid="{00000000-0005-0000-0000-0000D42E0000}"/>
    <cellStyle name="Normal 23 6" xfId="11956" xr:uid="{00000000-0005-0000-0000-0000D52E0000}"/>
    <cellStyle name="Normal 23 6 2" xfId="11957" xr:uid="{00000000-0005-0000-0000-0000D62E0000}"/>
    <cellStyle name="Normal 23 6 2 2" xfId="11958" xr:uid="{00000000-0005-0000-0000-0000D72E0000}"/>
    <cellStyle name="Normal 23 6 2 2 2" xfId="11959" xr:uid="{00000000-0005-0000-0000-0000D82E0000}"/>
    <cellStyle name="Normal 23 6 2 2 2 2" xfId="11960" xr:uid="{00000000-0005-0000-0000-0000D92E0000}"/>
    <cellStyle name="Normal 23 6 2 2 2 3" xfId="11961" xr:uid="{00000000-0005-0000-0000-0000DA2E0000}"/>
    <cellStyle name="Normal 23 6 2 2 3" xfId="11962" xr:uid="{00000000-0005-0000-0000-0000DB2E0000}"/>
    <cellStyle name="Normal 23 6 2 2 4" xfId="11963" xr:uid="{00000000-0005-0000-0000-0000DC2E0000}"/>
    <cellStyle name="Normal 23 6 2 3" xfId="11964" xr:uid="{00000000-0005-0000-0000-0000DD2E0000}"/>
    <cellStyle name="Normal 23 6 2 3 2" xfId="11965" xr:uid="{00000000-0005-0000-0000-0000DE2E0000}"/>
    <cellStyle name="Normal 23 6 2 3 3" xfId="11966" xr:uid="{00000000-0005-0000-0000-0000DF2E0000}"/>
    <cellStyle name="Normal 23 6 2 4" xfId="11967" xr:uid="{00000000-0005-0000-0000-0000E02E0000}"/>
    <cellStyle name="Normal 23 6 2 5" xfId="11968" xr:uid="{00000000-0005-0000-0000-0000E12E0000}"/>
    <cellStyle name="Normal 23 6 3" xfId="11969" xr:uid="{00000000-0005-0000-0000-0000E22E0000}"/>
    <cellStyle name="Normal 23 6 3 2" xfId="11970" xr:uid="{00000000-0005-0000-0000-0000E32E0000}"/>
    <cellStyle name="Normal 23 6 3 2 2" xfId="11971" xr:uid="{00000000-0005-0000-0000-0000E42E0000}"/>
    <cellStyle name="Normal 23 6 3 2 3" xfId="11972" xr:uid="{00000000-0005-0000-0000-0000E52E0000}"/>
    <cellStyle name="Normal 23 6 3 3" xfId="11973" xr:uid="{00000000-0005-0000-0000-0000E62E0000}"/>
    <cellStyle name="Normal 23 6 3 4" xfId="11974" xr:uid="{00000000-0005-0000-0000-0000E72E0000}"/>
    <cellStyle name="Normal 23 6 4" xfId="11975" xr:uid="{00000000-0005-0000-0000-0000E82E0000}"/>
    <cellStyle name="Normal 23 6 4 2" xfId="11976" xr:uid="{00000000-0005-0000-0000-0000E92E0000}"/>
    <cellStyle name="Normal 23 6 4 3" xfId="11977" xr:uid="{00000000-0005-0000-0000-0000EA2E0000}"/>
    <cellStyle name="Normal 23 6 5" xfId="11978" xr:uid="{00000000-0005-0000-0000-0000EB2E0000}"/>
    <cellStyle name="Normal 23 6 6" xfId="11979" xr:uid="{00000000-0005-0000-0000-0000EC2E0000}"/>
    <cellStyle name="Normal 23 7" xfId="11980" xr:uid="{00000000-0005-0000-0000-0000ED2E0000}"/>
    <cellStyle name="Normal 23 8" xfId="11981" xr:uid="{00000000-0005-0000-0000-0000EE2E0000}"/>
    <cellStyle name="Normal 23 8 2" xfId="11982" xr:uid="{00000000-0005-0000-0000-0000EF2E0000}"/>
    <cellStyle name="Normal 23 8 2 2" xfId="11983" xr:uid="{00000000-0005-0000-0000-0000F02E0000}"/>
    <cellStyle name="Normal 23 8 2 2 2" xfId="11984" xr:uid="{00000000-0005-0000-0000-0000F12E0000}"/>
    <cellStyle name="Normal 23 8 2 2 3" xfId="11985" xr:uid="{00000000-0005-0000-0000-0000F22E0000}"/>
    <cellStyle name="Normal 23 8 2 3" xfId="11986" xr:uid="{00000000-0005-0000-0000-0000F32E0000}"/>
    <cellStyle name="Normal 23 8 2 4" xfId="11987" xr:uid="{00000000-0005-0000-0000-0000F42E0000}"/>
    <cellStyle name="Normal 23 8 3" xfId="11988" xr:uid="{00000000-0005-0000-0000-0000F52E0000}"/>
    <cellStyle name="Normal 23 8 3 2" xfId="11989" xr:uid="{00000000-0005-0000-0000-0000F62E0000}"/>
    <cellStyle name="Normal 23 8 3 3" xfId="11990" xr:uid="{00000000-0005-0000-0000-0000F72E0000}"/>
    <cellStyle name="Normal 23 8 4" xfId="11991" xr:uid="{00000000-0005-0000-0000-0000F82E0000}"/>
    <cellStyle name="Normal 23 8 5" xfId="11992" xr:uid="{00000000-0005-0000-0000-0000F92E0000}"/>
    <cellStyle name="Normal 23 9" xfId="11993" xr:uid="{00000000-0005-0000-0000-0000FA2E0000}"/>
    <cellStyle name="Normal 23 9 2" xfId="11994" xr:uid="{00000000-0005-0000-0000-0000FB2E0000}"/>
    <cellStyle name="Normal 23 9 2 2" xfId="11995" xr:uid="{00000000-0005-0000-0000-0000FC2E0000}"/>
    <cellStyle name="Normal 23 9 2 3" xfId="11996" xr:uid="{00000000-0005-0000-0000-0000FD2E0000}"/>
    <cellStyle name="Normal 23 9 3" xfId="11997" xr:uid="{00000000-0005-0000-0000-0000FE2E0000}"/>
    <cellStyle name="Normal 23 9 4" xfId="11998" xr:uid="{00000000-0005-0000-0000-0000FF2E0000}"/>
    <cellStyle name="Normal 24" xfId="11999" xr:uid="{00000000-0005-0000-0000-0000002F0000}"/>
    <cellStyle name="Normal 24 10" xfId="12000" xr:uid="{00000000-0005-0000-0000-0000012F0000}"/>
    <cellStyle name="Normal 24 10 2" xfId="12001" xr:uid="{00000000-0005-0000-0000-0000022F0000}"/>
    <cellStyle name="Normal 24 10 3" xfId="12002" xr:uid="{00000000-0005-0000-0000-0000032F0000}"/>
    <cellStyle name="Normal 24 11" xfId="12003" xr:uid="{00000000-0005-0000-0000-0000042F0000}"/>
    <cellStyle name="Normal 24 12" xfId="12004" xr:uid="{00000000-0005-0000-0000-0000052F0000}"/>
    <cellStyle name="Normal 24 2" xfId="12005" xr:uid="{00000000-0005-0000-0000-0000062F0000}"/>
    <cellStyle name="Normal 24 2 10" xfId="12006" xr:uid="{00000000-0005-0000-0000-0000072F0000}"/>
    <cellStyle name="Normal 24 2 2" xfId="12007" xr:uid="{00000000-0005-0000-0000-0000082F0000}"/>
    <cellStyle name="Normal 24 2 2 2" xfId="12008" xr:uid="{00000000-0005-0000-0000-0000092F0000}"/>
    <cellStyle name="Normal 24 2 2 2 2" xfId="12009" xr:uid="{00000000-0005-0000-0000-00000A2F0000}"/>
    <cellStyle name="Normal 24 2 2 2 2 2" xfId="12010" xr:uid="{00000000-0005-0000-0000-00000B2F0000}"/>
    <cellStyle name="Normal 24 2 2 2 2 2 2" xfId="12011" xr:uid="{00000000-0005-0000-0000-00000C2F0000}"/>
    <cellStyle name="Normal 24 2 2 2 2 2 3" xfId="12012" xr:uid="{00000000-0005-0000-0000-00000D2F0000}"/>
    <cellStyle name="Normal 24 2 2 2 2 3" xfId="12013" xr:uid="{00000000-0005-0000-0000-00000E2F0000}"/>
    <cellStyle name="Normal 24 2 2 2 2 4" xfId="12014" xr:uid="{00000000-0005-0000-0000-00000F2F0000}"/>
    <cellStyle name="Normal 24 2 2 2 3" xfId="12015" xr:uid="{00000000-0005-0000-0000-0000102F0000}"/>
    <cellStyle name="Normal 24 2 2 2 3 2" xfId="12016" xr:uid="{00000000-0005-0000-0000-0000112F0000}"/>
    <cellStyle name="Normal 24 2 2 2 3 3" xfId="12017" xr:uid="{00000000-0005-0000-0000-0000122F0000}"/>
    <cellStyle name="Normal 24 2 2 2 4" xfId="12018" xr:uid="{00000000-0005-0000-0000-0000132F0000}"/>
    <cellStyle name="Normal 24 2 2 2 5" xfId="12019" xr:uid="{00000000-0005-0000-0000-0000142F0000}"/>
    <cellStyle name="Normal 24 2 2 3" xfId="12020" xr:uid="{00000000-0005-0000-0000-0000152F0000}"/>
    <cellStyle name="Normal 24 2 2 3 2" xfId="12021" xr:uid="{00000000-0005-0000-0000-0000162F0000}"/>
    <cellStyle name="Normal 24 2 2 3 2 2" xfId="12022" xr:uid="{00000000-0005-0000-0000-0000172F0000}"/>
    <cellStyle name="Normal 24 2 2 3 2 3" xfId="12023" xr:uid="{00000000-0005-0000-0000-0000182F0000}"/>
    <cellStyle name="Normal 24 2 2 3 3" xfId="12024" xr:uid="{00000000-0005-0000-0000-0000192F0000}"/>
    <cellStyle name="Normal 24 2 2 3 4" xfId="12025" xr:uid="{00000000-0005-0000-0000-00001A2F0000}"/>
    <cellStyle name="Normal 24 2 2 4" xfId="12026" xr:uid="{00000000-0005-0000-0000-00001B2F0000}"/>
    <cellStyle name="Normal 24 2 2 4 2" xfId="12027" xr:uid="{00000000-0005-0000-0000-00001C2F0000}"/>
    <cellStyle name="Normal 24 2 2 4 3" xfId="12028" xr:uid="{00000000-0005-0000-0000-00001D2F0000}"/>
    <cellStyle name="Normal 24 2 2 5" xfId="12029" xr:uid="{00000000-0005-0000-0000-00001E2F0000}"/>
    <cellStyle name="Normal 24 2 2 6" xfId="12030" xr:uid="{00000000-0005-0000-0000-00001F2F0000}"/>
    <cellStyle name="Normal 24 2 3" xfId="12031" xr:uid="{00000000-0005-0000-0000-0000202F0000}"/>
    <cellStyle name="Normal 24 2 3 2" xfId="12032" xr:uid="{00000000-0005-0000-0000-0000212F0000}"/>
    <cellStyle name="Normal 24 2 3 2 2" xfId="12033" xr:uid="{00000000-0005-0000-0000-0000222F0000}"/>
    <cellStyle name="Normal 24 2 3 2 2 2" xfId="12034" xr:uid="{00000000-0005-0000-0000-0000232F0000}"/>
    <cellStyle name="Normal 24 2 3 2 2 2 2" xfId="12035" xr:uid="{00000000-0005-0000-0000-0000242F0000}"/>
    <cellStyle name="Normal 24 2 3 2 2 2 3" xfId="12036" xr:uid="{00000000-0005-0000-0000-0000252F0000}"/>
    <cellStyle name="Normal 24 2 3 2 2 3" xfId="12037" xr:uid="{00000000-0005-0000-0000-0000262F0000}"/>
    <cellStyle name="Normal 24 2 3 2 2 4" xfId="12038" xr:uid="{00000000-0005-0000-0000-0000272F0000}"/>
    <cellStyle name="Normal 24 2 3 2 3" xfId="12039" xr:uid="{00000000-0005-0000-0000-0000282F0000}"/>
    <cellStyle name="Normal 24 2 3 2 3 2" xfId="12040" xr:uid="{00000000-0005-0000-0000-0000292F0000}"/>
    <cellStyle name="Normal 24 2 3 2 3 3" xfId="12041" xr:uid="{00000000-0005-0000-0000-00002A2F0000}"/>
    <cellStyle name="Normal 24 2 3 2 4" xfId="12042" xr:uid="{00000000-0005-0000-0000-00002B2F0000}"/>
    <cellStyle name="Normal 24 2 3 2 5" xfId="12043" xr:uid="{00000000-0005-0000-0000-00002C2F0000}"/>
    <cellStyle name="Normal 24 2 3 3" xfId="12044" xr:uid="{00000000-0005-0000-0000-00002D2F0000}"/>
    <cellStyle name="Normal 24 2 3 3 2" xfId="12045" xr:uid="{00000000-0005-0000-0000-00002E2F0000}"/>
    <cellStyle name="Normal 24 2 3 3 2 2" xfId="12046" xr:uid="{00000000-0005-0000-0000-00002F2F0000}"/>
    <cellStyle name="Normal 24 2 3 3 2 3" xfId="12047" xr:uid="{00000000-0005-0000-0000-0000302F0000}"/>
    <cellStyle name="Normal 24 2 3 3 3" xfId="12048" xr:uid="{00000000-0005-0000-0000-0000312F0000}"/>
    <cellStyle name="Normal 24 2 3 3 4" xfId="12049" xr:uid="{00000000-0005-0000-0000-0000322F0000}"/>
    <cellStyle name="Normal 24 2 3 4" xfId="12050" xr:uid="{00000000-0005-0000-0000-0000332F0000}"/>
    <cellStyle name="Normal 24 2 3 4 2" xfId="12051" xr:uid="{00000000-0005-0000-0000-0000342F0000}"/>
    <cellStyle name="Normal 24 2 3 4 3" xfId="12052" xr:uid="{00000000-0005-0000-0000-0000352F0000}"/>
    <cellStyle name="Normal 24 2 3 5" xfId="12053" xr:uid="{00000000-0005-0000-0000-0000362F0000}"/>
    <cellStyle name="Normal 24 2 3 6" xfId="12054" xr:uid="{00000000-0005-0000-0000-0000372F0000}"/>
    <cellStyle name="Normal 24 2 4" xfId="12055" xr:uid="{00000000-0005-0000-0000-0000382F0000}"/>
    <cellStyle name="Normal 24 2 4 2" xfId="12056" xr:uid="{00000000-0005-0000-0000-0000392F0000}"/>
    <cellStyle name="Normal 24 2 4 2 2" xfId="12057" xr:uid="{00000000-0005-0000-0000-00003A2F0000}"/>
    <cellStyle name="Normal 24 2 4 2 2 2" xfId="12058" xr:uid="{00000000-0005-0000-0000-00003B2F0000}"/>
    <cellStyle name="Normal 24 2 4 2 2 2 2" xfId="12059" xr:uid="{00000000-0005-0000-0000-00003C2F0000}"/>
    <cellStyle name="Normal 24 2 4 2 2 2 3" xfId="12060" xr:uid="{00000000-0005-0000-0000-00003D2F0000}"/>
    <cellStyle name="Normal 24 2 4 2 2 3" xfId="12061" xr:uid="{00000000-0005-0000-0000-00003E2F0000}"/>
    <cellStyle name="Normal 24 2 4 2 2 4" xfId="12062" xr:uid="{00000000-0005-0000-0000-00003F2F0000}"/>
    <cellStyle name="Normal 24 2 4 2 3" xfId="12063" xr:uid="{00000000-0005-0000-0000-0000402F0000}"/>
    <cellStyle name="Normal 24 2 4 2 3 2" xfId="12064" xr:uid="{00000000-0005-0000-0000-0000412F0000}"/>
    <cellStyle name="Normal 24 2 4 2 3 3" xfId="12065" xr:uid="{00000000-0005-0000-0000-0000422F0000}"/>
    <cellStyle name="Normal 24 2 4 2 4" xfId="12066" xr:uid="{00000000-0005-0000-0000-0000432F0000}"/>
    <cellStyle name="Normal 24 2 4 2 5" xfId="12067" xr:uid="{00000000-0005-0000-0000-0000442F0000}"/>
    <cellStyle name="Normal 24 2 4 3" xfId="12068" xr:uid="{00000000-0005-0000-0000-0000452F0000}"/>
    <cellStyle name="Normal 24 2 4 3 2" xfId="12069" xr:uid="{00000000-0005-0000-0000-0000462F0000}"/>
    <cellStyle name="Normal 24 2 4 3 2 2" xfId="12070" xr:uid="{00000000-0005-0000-0000-0000472F0000}"/>
    <cellStyle name="Normal 24 2 4 3 2 3" xfId="12071" xr:uid="{00000000-0005-0000-0000-0000482F0000}"/>
    <cellStyle name="Normal 24 2 4 3 3" xfId="12072" xr:uid="{00000000-0005-0000-0000-0000492F0000}"/>
    <cellStyle name="Normal 24 2 4 3 4" xfId="12073" xr:uid="{00000000-0005-0000-0000-00004A2F0000}"/>
    <cellStyle name="Normal 24 2 4 4" xfId="12074" xr:uid="{00000000-0005-0000-0000-00004B2F0000}"/>
    <cellStyle name="Normal 24 2 4 4 2" xfId="12075" xr:uid="{00000000-0005-0000-0000-00004C2F0000}"/>
    <cellStyle name="Normal 24 2 4 4 3" xfId="12076" xr:uid="{00000000-0005-0000-0000-00004D2F0000}"/>
    <cellStyle name="Normal 24 2 4 5" xfId="12077" xr:uid="{00000000-0005-0000-0000-00004E2F0000}"/>
    <cellStyle name="Normal 24 2 4 6" xfId="12078" xr:uid="{00000000-0005-0000-0000-00004F2F0000}"/>
    <cellStyle name="Normal 24 2 5" xfId="12079" xr:uid="{00000000-0005-0000-0000-0000502F0000}"/>
    <cellStyle name="Normal 24 2 5 2" xfId="12080" xr:uid="{00000000-0005-0000-0000-0000512F0000}"/>
    <cellStyle name="Normal 24 2 5 2 2" xfId="12081" xr:uid="{00000000-0005-0000-0000-0000522F0000}"/>
    <cellStyle name="Normal 24 2 5 2 2 2" xfId="12082" xr:uid="{00000000-0005-0000-0000-0000532F0000}"/>
    <cellStyle name="Normal 24 2 5 2 2 2 2" xfId="12083" xr:uid="{00000000-0005-0000-0000-0000542F0000}"/>
    <cellStyle name="Normal 24 2 5 2 2 2 3" xfId="12084" xr:uid="{00000000-0005-0000-0000-0000552F0000}"/>
    <cellStyle name="Normal 24 2 5 2 2 3" xfId="12085" xr:uid="{00000000-0005-0000-0000-0000562F0000}"/>
    <cellStyle name="Normal 24 2 5 2 2 4" xfId="12086" xr:uid="{00000000-0005-0000-0000-0000572F0000}"/>
    <cellStyle name="Normal 24 2 5 2 3" xfId="12087" xr:uid="{00000000-0005-0000-0000-0000582F0000}"/>
    <cellStyle name="Normal 24 2 5 2 3 2" xfId="12088" xr:uid="{00000000-0005-0000-0000-0000592F0000}"/>
    <cellStyle name="Normal 24 2 5 2 3 3" xfId="12089" xr:uid="{00000000-0005-0000-0000-00005A2F0000}"/>
    <cellStyle name="Normal 24 2 5 2 4" xfId="12090" xr:uid="{00000000-0005-0000-0000-00005B2F0000}"/>
    <cellStyle name="Normal 24 2 5 2 5" xfId="12091" xr:uid="{00000000-0005-0000-0000-00005C2F0000}"/>
    <cellStyle name="Normal 24 2 5 3" xfId="12092" xr:uid="{00000000-0005-0000-0000-00005D2F0000}"/>
    <cellStyle name="Normal 24 2 5 3 2" xfId="12093" xr:uid="{00000000-0005-0000-0000-00005E2F0000}"/>
    <cellStyle name="Normal 24 2 5 3 2 2" xfId="12094" xr:uid="{00000000-0005-0000-0000-00005F2F0000}"/>
    <cellStyle name="Normal 24 2 5 3 2 3" xfId="12095" xr:uid="{00000000-0005-0000-0000-0000602F0000}"/>
    <cellStyle name="Normal 24 2 5 3 3" xfId="12096" xr:uid="{00000000-0005-0000-0000-0000612F0000}"/>
    <cellStyle name="Normal 24 2 5 3 4" xfId="12097" xr:uid="{00000000-0005-0000-0000-0000622F0000}"/>
    <cellStyle name="Normal 24 2 5 4" xfId="12098" xr:uid="{00000000-0005-0000-0000-0000632F0000}"/>
    <cellStyle name="Normal 24 2 5 4 2" xfId="12099" xr:uid="{00000000-0005-0000-0000-0000642F0000}"/>
    <cellStyle name="Normal 24 2 5 4 3" xfId="12100" xr:uid="{00000000-0005-0000-0000-0000652F0000}"/>
    <cellStyle name="Normal 24 2 5 5" xfId="12101" xr:uid="{00000000-0005-0000-0000-0000662F0000}"/>
    <cellStyle name="Normal 24 2 5 6" xfId="12102" xr:uid="{00000000-0005-0000-0000-0000672F0000}"/>
    <cellStyle name="Normal 24 2 6" xfId="12103" xr:uid="{00000000-0005-0000-0000-0000682F0000}"/>
    <cellStyle name="Normal 24 2 6 2" xfId="12104" xr:uid="{00000000-0005-0000-0000-0000692F0000}"/>
    <cellStyle name="Normal 24 2 6 2 2" xfId="12105" xr:uid="{00000000-0005-0000-0000-00006A2F0000}"/>
    <cellStyle name="Normal 24 2 6 2 2 2" xfId="12106" xr:uid="{00000000-0005-0000-0000-00006B2F0000}"/>
    <cellStyle name="Normal 24 2 6 2 2 3" xfId="12107" xr:uid="{00000000-0005-0000-0000-00006C2F0000}"/>
    <cellStyle name="Normal 24 2 6 2 3" xfId="12108" xr:uid="{00000000-0005-0000-0000-00006D2F0000}"/>
    <cellStyle name="Normal 24 2 6 2 4" xfId="12109" xr:uid="{00000000-0005-0000-0000-00006E2F0000}"/>
    <cellStyle name="Normal 24 2 6 3" xfId="12110" xr:uid="{00000000-0005-0000-0000-00006F2F0000}"/>
    <cellStyle name="Normal 24 2 6 3 2" xfId="12111" xr:uid="{00000000-0005-0000-0000-0000702F0000}"/>
    <cellStyle name="Normal 24 2 6 3 3" xfId="12112" xr:uid="{00000000-0005-0000-0000-0000712F0000}"/>
    <cellStyle name="Normal 24 2 6 4" xfId="12113" xr:uid="{00000000-0005-0000-0000-0000722F0000}"/>
    <cellStyle name="Normal 24 2 6 5" xfId="12114" xr:uid="{00000000-0005-0000-0000-0000732F0000}"/>
    <cellStyle name="Normal 24 2 7" xfId="12115" xr:uid="{00000000-0005-0000-0000-0000742F0000}"/>
    <cellStyle name="Normal 24 2 7 2" xfId="12116" xr:uid="{00000000-0005-0000-0000-0000752F0000}"/>
    <cellStyle name="Normal 24 2 7 2 2" xfId="12117" xr:uid="{00000000-0005-0000-0000-0000762F0000}"/>
    <cellStyle name="Normal 24 2 7 2 3" xfId="12118" xr:uid="{00000000-0005-0000-0000-0000772F0000}"/>
    <cellStyle name="Normal 24 2 7 3" xfId="12119" xr:uid="{00000000-0005-0000-0000-0000782F0000}"/>
    <cellStyle name="Normal 24 2 7 4" xfId="12120" xr:uid="{00000000-0005-0000-0000-0000792F0000}"/>
    <cellStyle name="Normal 24 2 8" xfId="12121" xr:uid="{00000000-0005-0000-0000-00007A2F0000}"/>
    <cellStyle name="Normal 24 2 8 2" xfId="12122" xr:uid="{00000000-0005-0000-0000-00007B2F0000}"/>
    <cellStyle name="Normal 24 2 8 3" xfId="12123" xr:uid="{00000000-0005-0000-0000-00007C2F0000}"/>
    <cellStyle name="Normal 24 2 9" xfId="12124" xr:uid="{00000000-0005-0000-0000-00007D2F0000}"/>
    <cellStyle name="Normal 24 3" xfId="12125" xr:uid="{00000000-0005-0000-0000-00007E2F0000}"/>
    <cellStyle name="Normal 24 3 2" xfId="12126" xr:uid="{00000000-0005-0000-0000-00007F2F0000}"/>
    <cellStyle name="Normal 24 3 2 2" xfId="12127" xr:uid="{00000000-0005-0000-0000-0000802F0000}"/>
    <cellStyle name="Normal 24 3 2 2 2" xfId="12128" xr:uid="{00000000-0005-0000-0000-0000812F0000}"/>
    <cellStyle name="Normal 24 3 2 2 2 2" xfId="12129" xr:uid="{00000000-0005-0000-0000-0000822F0000}"/>
    <cellStyle name="Normal 24 3 2 2 2 3" xfId="12130" xr:uid="{00000000-0005-0000-0000-0000832F0000}"/>
    <cellStyle name="Normal 24 3 2 2 3" xfId="12131" xr:uid="{00000000-0005-0000-0000-0000842F0000}"/>
    <cellStyle name="Normal 24 3 2 2 4" xfId="12132" xr:uid="{00000000-0005-0000-0000-0000852F0000}"/>
    <cellStyle name="Normal 24 3 2 3" xfId="12133" xr:uid="{00000000-0005-0000-0000-0000862F0000}"/>
    <cellStyle name="Normal 24 3 2 3 2" xfId="12134" xr:uid="{00000000-0005-0000-0000-0000872F0000}"/>
    <cellStyle name="Normal 24 3 2 3 3" xfId="12135" xr:uid="{00000000-0005-0000-0000-0000882F0000}"/>
    <cellStyle name="Normal 24 3 2 4" xfId="12136" xr:uid="{00000000-0005-0000-0000-0000892F0000}"/>
    <cellStyle name="Normal 24 3 2 5" xfId="12137" xr:uid="{00000000-0005-0000-0000-00008A2F0000}"/>
    <cellStyle name="Normal 24 3 3" xfId="12138" xr:uid="{00000000-0005-0000-0000-00008B2F0000}"/>
    <cellStyle name="Normal 24 3 3 2" xfId="12139" xr:uid="{00000000-0005-0000-0000-00008C2F0000}"/>
    <cellStyle name="Normal 24 3 3 2 2" xfId="12140" xr:uid="{00000000-0005-0000-0000-00008D2F0000}"/>
    <cellStyle name="Normal 24 3 3 2 3" xfId="12141" xr:uid="{00000000-0005-0000-0000-00008E2F0000}"/>
    <cellStyle name="Normal 24 3 3 3" xfId="12142" xr:uid="{00000000-0005-0000-0000-00008F2F0000}"/>
    <cellStyle name="Normal 24 3 3 4" xfId="12143" xr:uid="{00000000-0005-0000-0000-0000902F0000}"/>
    <cellStyle name="Normal 24 3 4" xfId="12144" xr:uid="{00000000-0005-0000-0000-0000912F0000}"/>
    <cellStyle name="Normal 24 3 4 2" xfId="12145" xr:uid="{00000000-0005-0000-0000-0000922F0000}"/>
    <cellStyle name="Normal 24 3 4 3" xfId="12146" xr:uid="{00000000-0005-0000-0000-0000932F0000}"/>
    <cellStyle name="Normal 24 3 5" xfId="12147" xr:uid="{00000000-0005-0000-0000-0000942F0000}"/>
    <cellStyle name="Normal 24 3 6" xfId="12148" xr:uid="{00000000-0005-0000-0000-0000952F0000}"/>
    <cellStyle name="Normal 24 4" xfId="12149" xr:uid="{00000000-0005-0000-0000-0000962F0000}"/>
    <cellStyle name="Normal 24 4 2" xfId="12150" xr:uid="{00000000-0005-0000-0000-0000972F0000}"/>
    <cellStyle name="Normal 24 4 2 2" xfId="12151" xr:uid="{00000000-0005-0000-0000-0000982F0000}"/>
    <cellStyle name="Normal 24 4 2 2 2" xfId="12152" xr:uid="{00000000-0005-0000-0000-0000992F0000}"/>
    <cellStyle name="Normal 24 4 2 2 2 2" xfId="12153" xr:uid="{00000000-0005-0000-0000-00009A2F0000}"/>
    <cellStyle name="Normal 24 4 2 2 2 3" xfId="12154" xr:uid="{00000000-0005-0000-0000-00009B2F0000}"/>
    <cellStyle name="Normal 24 4 2 2 3" xfId="12155" xr:uid="{00000000-0005-0000-0000-00009C2F0000}"/>
    <cellStyle name="Normal 24 4 2 2 4" xfId="12156" xr:uid="{00000000-0005-0000-0000-00009D2F0000}"/>
    <cellStyle name="Normal 24 4 2 3" xfId="12157" xr:uid="{00000000-0005-0000-0000-00009E2F0000}"/>
    <cellStyle name="Normal 24 4 2 3 2" xfId="12158" xr:uid="{00000000-0005-0000-0000-00009F2F0000}"/>
    <cellStyle name="Normal 24 4 2 3 3" xfId="12159" xr:uid="{00000000-0005-0000-0000-0000A02F0000}"/>
    <cellStyle name="Normal 24 4 2 4" xfId="12160" xr:uid="{00000000-0005-0000-0000-0000A12F0000}"/>
    <cellStyle name="Normal 24 4 2 5" xfId="12161" xr:uid="{00000000-0005-0000-0000-0000A22F0000}"/>
    <cellStyle name="Normal 24 4 3" xfId="12162" xr:uid="{00000000-0005-0000-0000-0000A32F0000}"/>
    <cellStyle name="Normal 24 4 3 2" xfId="12163" xr:uid="{00000000-0005-0000-0000-0000A42F0000}"/>
    <cellStyle name="Normal 24 4 3 2 2" xfId="12164" xr:uid="{00000000-0005-0000-0000-0000A52F0000}"/>
    <cellStyle name="Normal 24 4 3 2 3" xfId="12165" xr:uid="{00000000-0005-0000-0000-0000A62F0000}"/>
    <cellStyle name="Normal 24 4 3 3" xfId="12166" xr:uid="{00000000-0005-0000-0000-0000A72F0000}"/>
    <cellStyle name="Normal 24 4 3 4" xfId="12167" xr:uid="{00000000-0005-0000-0000-0000A82F0000}"/>
    <cellStyle name="Normal 24 4 4" xfId="12168" xr:uid="{00000000-0005-0000-0000-0000A92F0000}"/>
    <cellStyle name="Normal 24 4 4 2" xfId="12169" xr:uid="{00000000-0005-0000-0000-0000AA2F0000}"/>
    <cellStyle name="Normal 24 4 4 3" xfId="12170" xr:uid="{00000000-0005-0000-0000-0000AB2F0000}"/>
    <cellStyle name="Normal 24 4 5" xfId="12171" xr:uid="{00000000-0005-0000-0000-0000AC2F0000}"/>
    <cellStyle name="Normal 24 4 6" xfId="12172" xr:uid="{00000000-0005-0000-0000-0000AD2F0000}"/>
    <cellStyle name="Normal 24 5" xfId="12173" xr:uid="{00000000-0005-0000-0000-0000AE2F0000}"/>
    <cellStyle name="Normal 24 5 2" xfId="12174" xr:uid="{00000000-0005-0000-0000-0000AF2F0000}"/>
    <cellStyle name="Normal 24 5 2 2" xfId="12175" xr:uid="{00000000-0005-0000-0000-0000B02F0000}"/>
    <cellStyle name="Normal 24 5 2 2 2" xfId="12176" xr:uid="{00000000-0005-0000-0000-0000B12F0000}"/>
    <cellStyle name="Normal 24 5 2 2 2 2" xfId="12177" xr:uid="{00000000-0005-0000-0000-0000B22F0000}"/>
    <cellStyle name="Normal 24 5 2 2 2 3" xfId="12178" xr:uid="{00000000-0005-0000-0000-0000B32F0000}"/>
    <cellStyle name="Normal 24 5 2 2 3" xfId="12179" xr:uid="{00000000-0005-0000-0000-0000B42F0000}"/>
    <cellStyle name="Normal 24 5 2 2 4" xfId="12180" xr:uid="{00000000-0005-0000-0000-0000B52F0000}"/>
    <cellStyle name="Normal 24 5 2 3" xfId="12181" xr:uid="{00000000-0005-0000-0000-0000B62F0000}"/>
    <cellStyle name="Normal 24 5 2 3 2" xfId="12182" xr:uid="{00000000-0005-0000-0000-0000B72F0000}"/>
    <cellStyle name="Normal 24 5 2 3 3" xfId="12183" xr:uid="{00000000-0005-0000-0000-0000B82F0000}"/>
    <cellStyle name="Normal 24 5 2 4" xfId="12184" xr:uid="{00000000-0005-0000-0000-0000B92F0000}"/>
    <cellStyle name="Normal 24 5 2 5" xfId="12185" xr:uid="{00000000-0005-0000-0000-0000BA2F0000}"/>
    <cellStyle name="Normal 24 5 3" xfId="12186" xr:uid="{00000000-0005-0000-0000-0000BB2F0000}"/>
    <cellStyle name="Normal 24 5 3 2" xfId="12187" xr:uid="{00000000-0005-0000-0000-0000BC2F0000}"/>
    <cellStyle name="Normal 24 5 3 2 2" xfId="12188" xr:uid="{00000000-0005-0000-0000-0000BD2F0000}"/>
    <cellStyle name="Normal 24 5 3 2 3" xfId="12189" xr:uid="{00000000-0005-0000-0000-0000BE2F0000}"/>
    <cellStyle name="Normal 24 5 3 3" xfId="12190" xr:uid="{00000000-0005-0000-0000-0000BF2F0000}"/>
    <cellStyle name="Normal 24 5 3 4" xfId="12191" xr:uid="{00000000-0005-0000-0000-0000C02F0000}"/>
    <cellStyle name="Normal 24 5 4" xfId="12192" xr:uid="{00000000-0005-0000-0000-0000C12F0000}"/>
    <cellStyle name="Normal 24 5 4 2" xfId="12193" xr:uid="{00000000-0005-0000-0000-0000C22F0000}"/>
    <cellStyle name="Normal 24 5 4 3" xfId="12194" xr:uid="{00000000-0005-0000-0000-0000C32F0000}"/>
    <cellStyle name="Normal 24 5 5" xfId="12195" xr:uid="{00000000-0005-0000-0000-0000C42F0000}"/>
    <cellStyle name="Normal 24 5 6" xfId="12196" xr:uid="{00000000-0005-0000-0000-0000C52F0000}"/>
    <cellStyle name="Normal 24 6" xfId="12197" xr:uid="{00000000-0005-0000-0000-0000C62F0000}"/>
    <cellStyle name="Normal 24 6 2" xfId="12198" xr:uid="{00000000-0005-0000-0000-0000C72F0000}"/>
    <cellStyle name="Normal 24 6 2 2" xfId="12199" xr:uid="{00000000-0005-0000-0000-0000C82F0000}"/>
    <cellStyle name="Normal 24 6 2 2 2" xfId="12200" xr:uid="{00000000-0005-0000-0000-0000C92F0000}"/>
    <cellStyle name="Normal 24 6 2 2 2 2" xfId="12201" xr:uid="{00000000-0005-0000-0000-0000CA2F0000}"/>
    <cellStyle name="Normal 24 6 2 2 2 3" xfId="12202" xr:uid="{00000000-0005-0000-0000-0000CB2F0000}"/>
    <cellStyle name="Normal 24 6 2 2 3" xfId="12203" xr:uid="{00000000-0005-0000-0000-0000CC2F0000}"/>
    <cellStyle name="Normal 24 6 2 2 4" xfId="12204" xr:uid="{00000000-0005-0000-0000-0000CD2F0000}"/>
    <cellStyle name="Normal 24 6 2 3" xfId="12205" xr:uid="{00000000-0005-0000-0000-0000CE2F0000}"/>
    <cellStyle name="Normal 24 6 2 3 2" xfId="12206" xr:uid="{00000000-0005-0000-0000-0000CF2F0000}"/>
    <cellStyle name="Normal 24 6 2 3 3" xfId="12207" xr:uid="{00000000-0005-0000-0000-0000D02F0000}"/>
    <cellStyle name="Normal 24 6 2 4" xfId="12208" xr:uid="{00000000-0005-0000-0000-0000D12F0000}"/>
    <cellStyle name="Normal 24 6 2 5" xfId="12209" xr:uid="{00000000-0005-0000-0000-0000D22F0000}"/>
    <cellStyle name="Normal 24 6 3" xfId="12210" xr:uid="{00000000-0005-0000-0000-0000D32F0000}"/>
    <cellStyle name="Normal 24 6 3 2" xfId="12211" xr:uid="{00000000-0005-0000-0000-0000D42F0000}"/>
    <cellStyle name="Normal 24 6 3 2 2" xfId="12212" xr:uid="{00000000-0005-0000-0000-0000D52F0000}"/>
    <cellStyle name="Normal 24 6 3 2 3" xfId="12213" xr:uid="{00000000-0005-0000-0000-0000D62F0000}"/>
    <cellStyle name="Normal 24 6 3 3" xfId="12214" xr:uid="{00000000-0005-0000-0000-0000D72F0000}"/>
    <cellStyle name="Normal 24 6 3 4" xfId="12215" xr:uid="{00000000-0005-0000-0000-0000D82F0000}"/>
    <cellStyle name="Normal 24 6 4" xfId="12216" xr:uid="{00000000-0005-0000-0000-0000D92F0000}"/>
    <cellStyle name="Normal 24 6 4 2" xfId="12217" xr:uid="{00000000-0005-0000-0000-0000DA2F0000}"/>
    <cellStyle name="Normal 24 6 4 3" xfId="12218" xr:uid="{00000000-0005-0000-0000-0000DB2F0000}"/>
    <cellStyle name="Normal 24 6 5" xfId="12219" xr:uid="{00000000-0005-0000-0000-0000DC2F0000}"/>
    <cellStyle name="Normal 24 6 6" xfId="12220" xr:uid="{00000000-0005-0000-0000-0000DD2F0000}"/>
    <cellStyle name="Normal 24 7" xfId="12221" xr:uid="{00000000-0005-0000-0000-0000DE2F0000}"/>
    <cellStyle name="Normal 24 8" xfId="12222" xr:uid="{00000000-0005-0000-0000-0000DF2F0000}"/>
    <cellStyle name="Normal 24 8 2" xfId="12223" xr:uid="{00000000-0005-0000-0000-0000E02F0000}"/>
    <cellStyle name="Normal 24 8 2 2" xfId="12224" xr:uid="{00000000-0005-0000-0000-0000E12F0000}"/>
    <cellStyle name="Normal 24 8 2 2 2" xfId="12225" xr:uid="{00000000-0005-0000-0000-0000E22F0000}"/>
    <cellStyle name="Normal 24 8 2 2 3" xfId="12226" xr:uid="{00000000-0005-0000-0000-0000E32F0000}"/>
    <cellStyle name="Normal 24 8 2 3" xfId="12227" xr:uid="{00000000-0005-0000-0000-0000E42F0000}"/>
    <cellStyle name="Normal 24 8 2 4" xfId="12228" xr:uid="{00000000-0005-0000-0000-0000E52F0000}"/>
    <cellStyle name="Normal 24 8 3" xfId="12229" xr:uid="{00000000-0005-0000-0000-0000E62F0000}"/>
    <cellStyle name="Normal 24 8 3 2" xfId="12230" xr:uid="{00000000-0005-0000-0000-0000E72F0000}"/>
    <cellStyle name="Normal 24 8 3 3" xfId="12231" xr:uid="{00000000-0005-0000-0000-0000E82F0000}"/>
    <cellStyle name="Normal 24 8 4" xfId="12232" xr:uid="{00000000-0005-0000-0000-0000E92F0000}"/>
    <cellStyle name="Normal 24 8 5" xfId="12233" xr:uid="{00000000-0005-0000-0000-0000EA2F0000}"/>
    <cellStyle name="Normal 24 9" xfId="12234" xr:uid="{00000000-0005-0000-0000-0000EB2F0000}"/>
    <cellStyle name="Normal 24 9 2" xfId="12235" xr:uid="{00000000-0005-0000-0000-0000EC2F0000}"/>
    <cellStyle name="Normal 24 9 2 2" xfId="12236" xr:uid="{00000000-0005-0000-0000-0000ED2F0000}"/>
    <cellStyle name="Normal 24 9 2 3" xfId="12237" xr:uid="{00000000-0005-0000-0000-0000EE2F0000}"/>
    <cellStyle name="Normal 24 9 3" xfId="12238" xr:uid="{00000000-0005-0000-0000-0000EF2F0000}"/>
    <cellStyle name="Normal 24 9 4" xfId="12239" xr:uid="{00000000-0005-0000-0000-0000F02F0000}"/>
    <cellStyle name="Normal 25" xfId="12240" xr:uid="{00000000-0005-0000-0000-0000F12F0000}"/>
    <cellStyle name="Normal 25 10" xfId="12241" xr:uid="{00000000-0005-0000-0000-0000F22F0000}"/>
    <cellStyle name="Normal 25 11" xfId="12242" xr:uid="{00000000-0005-0000-0000-0000F32F0000}"/>
    <cellStyle name="Normal 25 12" xfId="12243" xr:uid="{00000000-0005-0000-0000-0000F42F0000}"/>
    <cellStyle name="Normal 25 13" xfId="12244" xr:uid="{00000000-0005-0000-0000-0000F52F0000}"/>
    <cellStyle name="Normal 25 14" xfId="12245" xr:uid="{00000000-0005-0000-0000-0000F62F0000}"/>
    <cellStyle name="Normal 25 15" xfId="12246" xr:uid="{00000000-0005-0000-0000-0000F72F0000}"/>
    <cellStyle name="Normal 25 16" xfId="12247" xr:uid="{00000000-0005-0000-0000-0000F82F0000}"/>
    <cellStyle name="Normal 25 17" xfId="12248" xr:uid="{00000000-0005-0000-0000-0000F92F0000}"/>
    <cellStyle name="Normal 25 18" xfId="12249" xr:uid="{00000000-0005-0000-0000-0000FA2F0000}"/>
    <cellStyle name="Normal 25 19" xfId="12250" xr:uid="{00000000-0005-0000-0000-0000FB2F0000}"/>
    <cellStyle name="Normal 25 2" xfId="12251" xr:uid="{00000000-0005-0000-0000-0000FC2F0000}"/>
    <cellStyle name="Normal 25 20" xfId="12252" xr:uid="{00000000-0005-0000-0000-0000FD2F0000}"/>
    <cellStyle name="Normal 25 21" xfId="12253" xr:uid="{00000000-0005-0000-0000-0000FE2F0000}"/>
    <cellStyle name="Normal 25 22" xfId="12254" xr:uid="{00000000-0005-0000-0000-0000FF2F0000}"/>
    <cellStyle name="Normal 25 23" xfId="12255" xr:uid="{00000000-0005-0000-0000-000000300000}"/>
    <cellStyle name="Normal 25 3" xfId="12256" xr:uid="{00000000-0005-0000-0000-000001300000}"/>
    <cellStyle name="Normal 25 4" xfId="12257" xr:uid="{00000000-0005-0000-0000-000002300000}"/>
    <cellStyle name="Normal 25 5" xfId="12258" xr:uid="{00000000-0005-0000-0000-000003300000}"/>
    <cellStyle name="Normal 25 6" xfId="12259" xr:uid="{00000000-0005-0000-0000-000004300000}"/>
    <cellStyle name="Normal 25 7" xfId="12260" xr:uid="{00000000-0005-0000-0000-000005300000}"/>
    <cellStyle name="Normal 25 8" xfId="12261" xr:uid="{00000000-0005-0000-0000-000006300000}"/>
    <cellStyle name="Normal 25 9" xfId="12262" xr:uid="{00000000-0005-0000-0000-000007300000}"/>
    <cellStyle name="Normal 26" xfId="12263" xr:uid="{00000000-0005-0000-0000-000008300000}"/>
    <cellStyle name="Normal 26 10" xfId="12264" xr:uid="{00000000-0005-0000-0000-000009300000}"/>
    <cellStyle name="Normal 26 10 2" xfId="12265" xr:uid="{00000000-0005-0000-0000-00000A300000}"/>
    <cellStyle name="Normal 26 10 3" xfId="12266" xr:uid="{00000000-0005-0000-0000-00000B300000}"/>
    <cellStyle name="Normal 26 11" xfId="12267" xr:uid="{00000000-0005-0000-0000-00000C300000}"/>
    <cellStyle name="Normal 26 12" xfId="12268" xr:uid="{00000000-0005-0000-0000-00000D300000}"/>
    <cellStyle name="Normal 26 2" xfId="12269" xr:uid="{00000000-0005-0000-0000-00000E300000}"/>
    <cellStyle name="Normal 26 2 10" xfId="12270" xr:uid="{00000000-0005-0000-0000-00000F300000}"/>
    <cellStyle name="Normal 26 2 2" xfId="12271" xr:uid="{00000000-0005-0000-0000-000010300000}"/>
    <cellStyle name="Normal 26 2 2 2" xfId="12272" xr:uid="{00000000-0005-0000-0000-000011300000}"/>
    <cellStyle name="Normal 26 2 2 2 2" xfId="12273" xr:uid="{00000000-0005-0000-0000-000012300000}"/>
    <cellStyle name="Normal 26 2 2 2 2 2" xfId="12274" xr:uid="{00000000-0005-0000-0000-000013300000}"/>
    <cellStyle name="Normal 26 2 2 2 2 2 2" xfId="12275" xr:uid="{00000000-0005-0000-0000-000014300000}"/>
    <cellStyle name="Normal 26 2 2 2 2 2 3" xfId="12276" xr:uid="{00000000-0005-0000-0000-000015300000}"/>
    <cellStyle name="Normal 26 2 2 2 2 3" xfId="12277" xr:uid="{00000000-0005-0000-0000-000016300000}"/>
    <cellStyle name="Normal 26 2 2 2 2 4" xfId="12278" xr:uid="{00000000-0005-0000-0000-000017300000}"/>
    <cellStyle name="Normal 26 2 2 2 3" xfId="12279" xr:uid="{00000000-0005-0000-0000-000018300000}"/>
    <cellStyle name="Normal 26 2 2 2 3 2" xfId="12280" xr:uid="{00000000-0005-0000-0000-000019300000}"/>
    <cellStyle name="Normal 26 2 2 2 3 3" xfId="12281" xr:uid="{00000000-0005-0000-0000-00001A300000}"/>
    <cellStyle name="Normal 26 2 2 2 4" xfId="12282" xr:uid="{00000000-0005-0000-0000-00001B300000}"/>
    <cellStyle name="Normal 26 2 2 2 5" xfId="12283" xr:uid="{00000000-0005-0000-0000-00001C300000}"/>
    <cellStyle name="Normal 26 2 2 3" xfId="12284" xr:uid="{00000000-0005-0000-0000-00001D300000}"/>
    <cellStyle name="Normal 26 2 2 3 2" xfId="12285" xr:uid="{00000000-0005-0000-0000-00001E300000}"/>
    <cellStyle name="Normal 26 2 2 3 2 2" xfId="12286" xr:uid="{00000000-0005-0000-0000-00001F300000}"/>
    <cellStyle name="Normal 26 2 2 3 2 3" xfId="12287" xr:uid="{00000000-0005-0000-0000-000020300000}"/>
    <cellStyle name="Normal 26 2 2 3 3" xfId="12288" xr:uid="{00000000-0005-0000-0000-000021300000}"/>
    <cellStyle name="Normal 26 2 2 3 4" xfId="12289" xr:uid="{00000000-0005-0000-0000-000022300000}"/>
    <cellStyle name="Normal 26 2 2 4" xfId="12290" xr:uid="{00000000-0005-0000-0000-000023300000}"/>
    <cellStyle name="Normal 26 2 2 4 2" xfId="12291" xr:uid="{00000000-0005-0000-0000-000024300000}"/>
    <cellStyle name="Normal 26 2 2 4 3" xfId="12292" xr:uid="{00000000-0005-0000-0000-000025300000}"/>
    <cellStyle name="Normal 26 2 2 5" xfId="12293" xr:uid="{00000000-0005-0000-0000-000026300000}"/>
    <cellStyle name="Normal 26 2 2 6" xfId="12294" xr:uid="{00000000-0005-0000-0000-000027300000}"/>
    <cellStyle name="Normal 26 2 3" xfId="12295" xr:uid="{00000000-0005-0000-0000-000028300000}"/>
    <cellStyle name="Normal 26 2 3 2" xfId="12296" xr:uid="{00000000-0005-0000-0000-000029300000}"/>
    <cellStyle name="Normal 26 2 3 2 2" xfId="12297" xr:uid="{00000000-0005-0000-0000-00002A300000}"/>
    <cellStyle name="Normal 26 2 3 2 2 2" xfId="12298" xr:uid="{00000000-0005-0000-0000-00002B300000}"/>
    <cellStyle name="Normal 26 2 3 2 2 2 2" xfId="12299" xr:uid="{00000000-0005-0000-0000-00002C300000}"/>
    <cellStyle name="Normal 26 2 3 2 2 2 3" xfId="12300" xr:uid="{00000000-0005-0000-0000-00002D300000}"/>
    <cellStyle name="Normal 26 2 3 2 2 3" xfId="12301" xr:uid="{00000000-0005-0000-0000-00002E300000}"/>
    <cellStyle name="Normal 26 2 3 2 2 4" xfId="12302" xr:uid="{00000000-0005-0000-0000-00002F300000}"/>
    <cellStyle name="Normal 26 2 3 2 3" xfId="12303" xr:uid="{00000000-0005-0000-0000-000030300000}"/>
    <cellStyle name="Normal 26 2 3 2 3 2" xfId="12304" xr:uid="{00000000-0005-0000-0000-000031300000}"/>
    <cellStyle name="Normal 26 2 3 2 3 3" xfId="12305" xr:uid="{00000000-0005-0000-0000-000032300000}"/>
    <cellStyle name="Normal 26 2 3 2 4" xfId="12306" xr:uid="{00000000-0005-0000-0000-000033300000}"/>
    <cellStyle name="Normal 26 2 3 2 5" xfId="12307" xr:uid="{00000000-0005-0000-0000-000034300000}"/>
    <cellStyle name="Normal 26 2 3 3" xfId="12308" xr:uid="{00000000-0005-0000-0000-000035300000}"/>
    <cellStyle name="Normal 26 2 3 3 2" xfId="12309" xr:uid="{00000000-0005-0000-0000-000036300000}"/>
    <cellStyle name="Normal 26 2 3 3 2 2" xfId="12310" xr:uid="{00000000-0005-0000-0000-000037300000}"/>
    <cellStyle name="Normal 26 2 3 3 2 3" xfId="12311" xr:uid="{00000000-0005-0000-0000-000038300000}"/>
    <cellStyle name="Normal 26 2 3 3 3" xfId="12312" xr:uid="{00000000-0005-0000-0000-000039300000}"/>
    <cellStyle name="Normal 26 2 3 3 4" xfId="12313" xr:uid="{00000000-0005-0000-0000-00003A300000}"/>
    <cellStyle name="Normal 26 2 3 4" xfId="12314" xr:uid="{00000000-0005-0000-0000-00003B300000}"/>
    <cellStyle name="Normal 26 2 3 4 2" xfId="12315" xr:uid="{00000000-0005-0000-0000-00003C300000}"/>
    <cellStyle name="Normal 26 2 3 4 3" xfId="12316" xr:uid="{00000000-0005-0000-0000-00003D300000}"/>
    <cellStyle name="Normal 26 2 3 5" xfId="12317" xr:uid="{00000000-0005-0000-0000-00003E300000}"/>
    <cellStyle name="Normal 26 2 3 6" xfId="12318" xr:uid="{00000000-0005-0000-0000-00003F300000}"/>
    <cellStyle name="Normal 26 2 4" xfId="12319" xr:uid="{00000000-0005-0000-0000-000040300000}"/>
    <cellStyle name="Normal 26 2 4 2" xfId="12320" xr:uid="{00000000-0005-0000-0000-000041300000}"/>
    <cellStyle name="Normal 26 2 4 2 2" xfId="12321" xr:uid="{00000000-0005-0000-0000-000042300000}"/>
    <cellStyle name="Normal 26 2 4 2 2 2" xfId="12322" xr:uid="{00000000-0005-0000-0000-000043300000}"/>
    <cellStyle name="Normal 26 2 4 2 2 2 2" xfId="12323" xr:uid="{00000000-0005-0000-0000-000044300000}"/>
    <cellStyle name="Normal 26 2 4 2 2 2 3" xfId="12324" xr:uid="{00000000-0005-0000-0000-000045300000}"/>
    <cellStyle name="Normal 26 2 4 2 2 3" xfId="12325" xr:uid="{00000000-0005-0000-0000-000046300000}"/>
    <cellStyle name="Normal 26 2 4 2 2 4" xfId="12326" xr:uid="{00000000-0005-0000-0000-000047300000}"/>
    <cellStyle name="Normal 26 2 4 2 3" xfId="12327" xr:uid="{00000000-0005-0000-0000-000048300000}"/>
    <cellStyle name="Normal 26 2 4 2 3 2" xfId="12328" xr:uid="{00000000-0005-0000-0000-000049300000}"/>
    <cellStyle name="Normal 26 2 4 2 3 3" xfId="12329" xr:uid="{00000000-0005-0000-0000-00004A300000}"/>
    <cellStyle name="Normal 26 2 4 2 4" xfId="12330" xr:uid="{00000000-0005-0000-0000-00004B300000}"/>
    <cellStyle name="Normal 26 2 4 2 5" xfId="12331" xr:uid="{00000000-0005-0000-0000-00004C300000}"/>
    <cellStyle name="Normal 26 2 4 3" xfId="12332" xr:uid="{00000000-0005-0000-0000-00004D300000}"/>
    <cellStyle name="Normal 26 2 4 3 2" xfId="12333" xr:uid="{00000000-0005-0000-0000-00004E300000}"/>
    <cellStyle name="Normal 26 2 4 3 2 2" xfId="12334" xr:uid="{00000000-0005-0000-0000-00004F300000}"/>
    <cellStyle name="Normal 26 2 4 3 2 3" xfId="12335" xr:uid="{00000000-0005-0000-0000-000050300000}"/>
    <cellStyle name="Normal 26 2 4 3 3" xfId="12336" xr:uid="{00000000-0005-0000-0000-000051300000}"/>
    <cellStyle name="Normal 26 2 4 3 4" xfId="12337" xr:uid="{00000000-0005-0000-0000-000052300000}"/>
    <cellStyle name="Normal 26 2 4 4" xfId="12338" xr:uid="{00000000-0005-0000-0000-000053300000}"/>
    <cellStyle name="Normal 26 2 4 4 2" xfId="12339" xr:uid="{00000000-0005-0000-0000-000054300000}"/>
    <cellStyle name="Normal 26 2 4 4 3" xfId="12340" xr:uid="{00000000-0005-0000-0000-000055300000}"/>
    <cellStyle name="Normal 26 2 4 5" xfId="12341" xr:uid="{00000000-0005-0000-0000-000056300000}"/>
    <cellStyle name="Normal 26 2 4 6" xfId="12342" xr:uid="{00000000-0005-0000-0000-000057300000}"/>
    <cellStyle name="Normal 26 2 5" xfId="12343" xr:uid="{00000000-0005-0000-0000-000058300000}"/>
    <cellStyle name="Normal 26 2 5 2" xfId="12344" xr:uid="{00000000-0005-0000-0000-000059300000}"/>
    <cellStyle name="Normal 26 2 5 2 2" xfId="12345" xr:uid="{00000000-0005-0000-0000-00005A300000}"/>
    <cellStyle name="Normal 26 2 5 2 2 2" xfId="12346" xr:uid="{00000000-0005-0000-0000-00005B300000}"/>
    <cellStyle name="Normal 26 2 5 2 2 2 2" xfId="12347" xr:uid="{00000000-0005-0000-0000-00005C300000}"/>
    <cellStyle name="Normal 26 2 5 2 2 2 3" xfId="12348" xr:uid="{00000000-0005-0000-0000-00005D300000}"/>
    <cellStyle name="Normal 26 2 5 2 2 3" xfId="12349" xr:uid="{00000000-0005-0000-0000-00005E300000}"/>
    <cellStyle name="Normal 26 2 5 2 2 4" xfId="12350" xr:uid="{00000000-0005-0000-0000-00005F300000}"/>
    <cellStyle name="Normal 26 2 5 2 3" xfId="12351" xr:uid="{00000000-0005-0000-0000-000060300000}"/>
    <cellStyle name="Normal 26 2 5 2 3 2" xfId="12352" xr:uid="{00000000-0005-0000-0000-000061300000}"/>
    <cellStyle name="Normal 26 2 5 2 3 3" xfId="12353" xr:uid="{00000000-0005-0000-0000-000062300000}"/>
    <cellStyle name="Normal 26 2 5 2 4" xfId="12354" xr:uid="{00000000-0005-0000-0000-000063300000}"/>
    <cellStyle name="Normal 26 2 5 2 5" xfId="12355" xr:uid="{00000000-0005-0000-0000-000064300000}"/>
    <cellStyle name="Normal 26 2 5 3" xfId="12356" xr:uid="{00000000-0005-0000-0000-000065300000}"/>
    <cellStyle name="Normal 26 2 5 3 2" xfId="12357" xr:uid="{00000000-0005-0000-0000-000066300000}"/>
    <cellStyle name="Normal 26 2 5 3 2 2" xfId="12358" xr:uid="{00000000-0005-0000-0000-000067300000}"/>
    <cellStyle name="Normal 26 2 5 3 2 3" xfId="12359" xr:uid="{00000000-0005-0000-0000-000068300000}"/>
    <cellStyle name="Normal 26 2 5 3 3" xfId="12360" xr:uid="{00000000-0005-0000-0000-000069300000}"/>
    <cellStyle name="Normal 26 2 5 3 4" xfId="12361" xr:uid="{00000000-0005-0000-0000-00006A300000}"/>
    <cellStyle name="Normal 26 2 5 4" xfId="12362" xr:uid="{00000000-0005-0000-0000-00006B300000}"/>
    <cellStyle name="Normal 26 2 5 4 2" xfId="12363" xr:uid="{00000000-0005-0000-0000-00006C300000}"/>
    <cellStyle name="Normal 26 2 5 4 3" xfId="12364" xr:uid="{00000000-0005-0000-0000-00006D300000}"/>
    <cellStyle name="Normal 26 2 5 5" xfId="12365" xr:uid="{00000000-0005-0000-0000-00006E300000}"/>
    <cellStyle name="Normal 26 2 5 6" xfId="12366" xr:uid="{00000000-0005-0000-0000-00006F300000}"/>
    <cellStyle name="Normal 26 2 6" xfId="12367" xr:uid="{00000000-0005-0000-0000-000070300000}"/>
    <cellStyle name="Normal 26 2 6 2" xfId="12368" xr:uid="{00000000-0005-0000-0000-000071300000}"/>
    <cellStyle name="Normal 26 2 6 2 2" xfId="12369" xr:uid="{00000000-0005-0000-0000-000072300000}"/>
    <cellStyle name="Normal 26 2 6 2 2 2" xfId="12370" xr:uid="{00000000-0005-0000-0000-000073300000}"/>
    <cellStyle name="Normal 26 2 6 2 2 3" xfId="12371" xr:uid="{00000000-0005-0000-0000-000074300000}"/>
    <cellStyle name="Normal 26 2 6 2 3" xfId="12372" xr:uid="{00000000-0005-0000-0000-000075300000}"/>
    <cellStyle name="Normal 26 2 6 2 4" xfId="12373" xr:uid="{00000000-0005-0000-0000-000076300000}"/>
    <cellStyle name="Normal 26 2 6 3" xfId="12374" xr:uid="{00000000-0005-0000-0000-000077300000}"/>
    <cellStyle name="Normal 26 2 6 3 2" xfId="12375" xr:uid="{00000000-0005-0000-0000-000078300000}"/>
    <cellStyle name="Normal 26 2 6 3 3" xfId="12376" xr:uid="{00000000-0005-0000-0000-000079300000}"/>
    <cellStyle name="Normal 26 2 6 4" xfId="12377" xr:uid="{00000000-0005-0000-0000-00007A300000}"/>
    <cellStyle name="Normal 26 2 6 5" xfId="12378" xr:uid="{00000000-0005-0000-0000-00007B300000}"/>
    <cellStyle name="Normal 26 2 7" xfId="12379" xr:uid="{00000000-0005-0000-0000-00007C300000}"/>
    <cellStyle name="Normal 26 2 7 2" xfId="12380" xr:uid="{00000000-0005-0000-0000-00007D300000}"/>
    <cellStyle name="Normal 26 2 7 2 2" xfId="12381" xr:uid="{00000000-0005-0000-0000-00007E300000}"/>
    <cellStyle name="Normal 26 2 7 2 3" xfId="12382" xr:uid="{00000000-0005-0000-0000-00007F300000}"/>
    <cellStyle name="Normal 26 2 7 3" xfId="12383" xr:uid="{00000000-0005-0000-0000-000080300000}"/>
    <cellStyle name="Normal 26 2 7 4" xfId="12384" xr:uid="{00000000-0005-0000-0000-000081300000}"/>
    <cellStyle name="Normal 26 2 8" xfId="12385" xr:uid="{00000000-0005-0000-0000-000082300000}"/>
    <cellStyle name="Normal 26 2 8 2" xfId="12386" xr:uid="{00000000-0005-0000-0000-000083300000}"/>
    <cellStyle name="Normal 26 2 8 3" xfId="12387" xr:uid="{00000000-0005-0000-0000-000084300000}"/>
    <cellStyle name="Normal 26 2 9" xfId="12388" xr:uid="{00000000-0005-0000-0000-000085300000}"/>
    <cellStyle name="Normal 26 3" xfId="12389" xr:uid="{00000000-0005-0000-0000-000086300000}"/>
    <cellStyle name="Normal 26 3 2" xfId="12390" xr:uid="{00000000-0005-0000-0000-000087300000}"/>
    <cellStyle name="Normal 26 3 2 2" xfId="12391" xr:uid="{00000000-0005-0000-0000-000088300000}"/>
    <cellStyle name="Normal 26 3 2 2 2" xfId="12392" xr:uid="{00000000-0005-0000-0000-000089300000}"/>
    <cellStyle name="Normal 26 3 2 2 2 2" xfId="12393" xr:uid="{00000000-0005-0000-0000-00008A300000}"/>
    <cellStyle name="Normal 26 3 2 2 2 3" xfId="12394" xr:uid="{00000000-0005-0000-0000-00008B300000}"/>
    <cellStyle name="Normal 26 3 2 2 3" xfId="12395" xr:uid="{00000000-0005-0000-0000-00008C300000}"/>
    <cellStyle name="Normal 26 3 2 2 4" xfId="12396" xr:uid="{00000000-0005-0000-0000-00008D300000}"/>
    <cellStyle name="Normal 26 3 2 3" xfId="12397" xr:uid="{00000000-0005-0000-0000-00008E300000}"/>
    <cellStyle name="Normal 26 3 2 3 2" xfId="12398" xr:uid="{00000000-0005-0000-0000-00008F300000}"/>
    <cellStyle name="Normal 26 3 2 3 3" xfId="12399" xr:uid="{00000000-0005-0000-0000-000090300000}"/>
    <cellStyle name="Normal 26 3 2 4" xfId="12400" xr:uid="{00000000-0005-0000-0000-000091300000}"/>
    <cellStyle name="Normal 26 3 2 5" xfId="12401" xr:uid="{00000000-0005-0000-0000-000092300000}"/>
    <cellStyle name="Normal 26 3 3" xfId="12402" xr:uid="{00000000-0005-0000-0000-000093300000}"/>
    <cellStyle name="Normal 26 3 3 2" xfId="12403" xr:uid="{00000000-0005-0000-0000-000094300000}"/>
    <cellStyle name="Normal 26 3 3 2 2" xfId="12404" xr:uid="{00000000-0005-0000-0000-000095300000}"/>
    <cellStyle name="Normal 26 3 3 2 3" xfId="12405" xr:uid="{00000000-0005-0000-0000-000096300000}"/>
    <cellStyle name="Normal 26 3 3 3" xfId="12406" xr:uid="{00000000-0005-0000-0000-000097300000}"/>
    <cellStyle name="Normal 26 3 3 4" xfId="12407" xr:uid="{00000000-0005-0000-0000-000098300000}"/>
    <cellStyle name="Normal 26 3 4" xfId="12408" xr:uid="{00000000-0005-0000-0000-000099300000}"/>
    <cellStyle name="Normal 26 3 4 2" xfId="12409" xr:uid="{00000000-0005-0000-0000-00009A300000}"/>
    <cellStyle name="Normal 26 3 4 3" xfId="12410" xr:uid="{00000000-0005-0000-0000-00009B300000}"/>
    <cellStyle name="Normal 26 3 5" xfId="12411" xr:uid="{00000000-0005-0000-0000-00009C300000}"/>
    <cellStyle name="Normal 26 3 6" xfId="12412" xr:uid="{00000000-0005-0000-0000-00009D300000}"/>
    <cellStyle name="Normal 26 4" xfId="12413" xr:uid="{00000000-0005-0000-0000-00009E300000}"/>
    <cellStyle name="Normal 26 4 2" xfId="12414" xr:uid="{00000000-0005-0000-0000-00009F300000}"/>
    <cellStyle name="Normal 26 4 2 2" xfId="12415" xr:uid="{00000000-0005-0000-0000-0000A0300000}"/>
    <cellStyle name="Normal 26 4 2 2 2" xfId="12416" xr:uid="{00000000-0005-0000-0000-0000A1300000}"/>
    <cellStyle name="Normal 26 4 2 2 2 2" xfId="12417" xr:uid="{00000000-0005-0000-0000-0000A2300000}"/>
    <cellStyle name="Normal 26 4 2 2 2 3" xfId="12418" xr:uid="{00000000-0005-0000-0000-0000A3300000}"/>
    <cellStyle name="Normal 26 4 2 2 3" xfId="12419" xr:uid="{00000000-0005-0000-0000-0000A4300000}"/>
    <cellStyle name="Normal 26 4 2 2 4" xfId="12420" xr:uid="{00000000-0005-0000-0000-0000A5300000}"/>
    <cellStyle name="Normal 26 4 2 3" xfId="12421" xr:uid="{00000000-0005-0000-0000-0000A6300000}"/>
    <cellStyle name="Normal 26 4 2 3 2" xfId="12422" xr:uid="{00000000-0005-0000-0000-0000A7300000}"/>
    <cellStyle name="Normal 26 4 2 3 3" xfId="12423" xr:uid="{00000000-0005-0000-0000-0000A8300000}"/>
    <cellStyle name="Normal 26 4 2 4" xfId="12424" xr:uid="{00000000-0005-0000-0000-0000A9300000}"/>
    <cellStyle name="Normal 26 4 2 5" xfId="12425" xr:uid="{00000000-0005-0000-0000-0000AA300000}"/>
    <cellStyle name="Normal 26 4 3" xfId="12426" xr:uid="{00000000-0005-0000-0000-0000AB300000}"/>
    <cellStyle name="Normal 26 4 3 2" xfId="12427" xr:uid="{00000000-0005-0000-0000-0000AC300000}"/>
    <cellStyle name="Normal 26 4 3 2 2" xfId="12428" xr:uid="{00000000-0005-0000-0000-0000AD300000}"/>
    <cellStyle name="Normal 26 4 3 2 3" xfId="12429" xr:uid="{00000000-0005-0000-0000-0000AE300000}"/>
    <cellStyle name="Normal 26 4 3 3" xfId="12430" xr:uid="{00000000-0005-0000-0000-0000AF300000}"/>
    <cellStyle name="Normal 26 4 3 4" xfId="12431" xr:uid="{00000000-0005-0000-0000-0000B0300000}"/>
    <cellStyle name="Normal 26 4 4" xfId="12432" xr:uid="{00000000-0005-0000-0000-0000B1300000}"/>
    <cellStyle name="Normal 26 4 4 2" xfId="12433" xr:uid="{00000000-0005-0000-0000-0000B2300000}"/>
    <cellStyle name="Normal 26 4 4 3" xfId="12434" xr:uid="{00000000-0005-0000-0000-0000B3300000}"/>
    <cellStyle name="Normal 26 4 5" xfId="12435" xr:uid="{00000000-0005-0000-0000-0000B4300000}"/>
    <cellStyle name="Normal 26 4 6" xfId="12436" xr:uid="{00000000-0005-0000-0000-0000B5300000}"/>
    <cellStyle name="Normal 26 5" xfId="12437" xr:uid="{00000000-0005-0000-0000-0000B6300000}"/>
    <cellStyle name="Normal 26 5 2" xfId="12438" xr:uid="{00000000-0005-0000-0000-0000B7300000}"/>
    <cellStyle name="Normal 26 5 2 2" xfId="12439" xr:uid="{00000000-0005-0000-0000-0000B8300000}"/>
    <cellStyle name="Normal 26 5 2 2 2" xfId="12440" xr:uid="{00000000-0005-0000-0000-0000B9300000}"/>
    <cellStyle name="Normal 26 5 2 2 2 2" xfId="12441" xr:uid="{00000000-0005-0000-0000-0000BA300000}"/>
    <cellStyle name="Normal 26 5 2 2 2 3" xfId="12442" xr:uid="{00000000-0005-0000-0000-0000BB300000}"/>
    <cellStyle name="Normal 26 5 2 2 3" xfId="12443" xr:uid="{00000000-0005-0000-0000-0000BC300000}"/>
    <cellStyle name="Normal 26 5 2 2 4" xfId="12444" xr:uid="{00000000-0005-0000-0000-0000BD300000}"/>
    <cellStyle name="Normal 26 5 2 3" xfId="12445" xr:uid="{00000000-0005-0000-0000-0000BE300000}"/>
    <cellStyle name="Normal 26 5 2 3 2" xfId="12446" xr:uid="{00000000-0005-0000-0000-0000BF300000}"/>
    <cellStyle name="Normal 26 5 2 3 3" xfId="12447" xr:uid="{00000000-0005-0000-0000-0000C0300000}"/>
    <cellStyle name="Normal 26 5 2 4" xfId="12448" xr:uid="{00000000-0005-0000-0000-0000C1300000}"/>
    <cellStyle name="Normal 26 5 2 5" xfId="12449" xr:uid="{00000000-0005-0000-0000-0000C2300000}"/>
    <cellStyle name="Normal 26 5 3" xfId="12450" xr:uid="{00000000-0005-0000-0000-0000C3300000}"/>
    <cellStyle name="Normal 26 5 3 2" xfId="12451" xr:uid="{00000000-0005-0000-0000-0000C4300000}"/>
    <cellStyle name="Normal 26 5 3 2 2" xfId="12452" xr:uid="{00000000-0005-0000-0000-0000C5300000}"/>
    <cellStyle name="Normal 26 5 3 2 3" xfId="12453" xr:uid="{00000000-0005-0000-0000-0000C6300000}"/>
    <cellStyle name="Normal 26 5 3 3" xfId="12454" xr:uid="{00000000-0005-0000-0000-0000C7300000}"/>
    <cellStyle name="Normal 26 5 3 4" xfId="12455" xr:uid="{00000000-0005-0000-0000-0000C8300000}"/>
    <cellStyle name="Normal 26 5 4" xfId="12456" xr:uid="{00000000-0005-0000-0000-0000C9300000}"/>
    <cellStyle name="Normal 26 5 4 2" xfId="12457" xr:uid="{00000000-0005-0000-0000-0000CA300000}"/>
    <cellStyle name="Normal 26 5 4 3" xfId="12458" xr:uid="{00000000-0005-0000-0000-0000CB300000}"/>
    <cellStyle name="Normal 26 5 5" xfId="12459" xr:uid="{00000000-0005-0000-0000-0000CC300000}"/>
    <cellStyle name="Normal 26 5 6" xfId="12460" xr:uid="{00000000-0005-0000-0000-0000CD300000}"/>
    <cellStyle name="Normal 26 6" xfId="12461" xr:uid="{00000000-0005-0000-0000-0000CE300000}"/>
    <cellStyle name="Normal 26 6 2" xfId="12462" xr:uid="{00000000-0005-0000-0000-0000CF300000}"/>
    <cellStyle name="Normal 26 6 2 2" xfId="12463" xr:uid="{00000000-0005-0000-0000-0000D0300000}"/>
    <cellStyle name="Normal 26 6 2 2 2" xfId="12464" xr:uid="{00000000-0005-0000-0000-0000D1300000}"/>
    <cellStyle name="Normal 26 6 2 2 2 2" xfId="12465" xr:uid="{00000000-0005-0000-0000-0000D2300000}"/>
    <cellStyle name="Normal 26 6 2 2 2 3" xfId="12466" xr:uid="{00000000-0005-0000-0000-0000D3300000}"/>
    <cellStyle name="Normal 26 6 2 2 3" xfId="12467" xr:uid="{00000000-0005-0000-0000-0000D4300000}"/>
    <cellStyle name="Normal 26 6 2 2 4" xfId="12468" xr:uid="{00000000-0005-0000-0000-0000D5300000}"/>
    <cellStyle name="Normal 26 6 2 3" xfId="12469" xr:uid="{00000000-0005-0000-0000-0000D6300000}"/>
    <cellStyle name="Normal 26 6 2 3 2" xfId="12470" xr:uid="{00000000-0005-0000-0000-0000D7300000}"/>
    <cellStyle name="Normal 26 6 2 3 3" xfId="12471" xr:uid="{00000000-0005-0000-0000-0000D8300000}"/>
    <cellStyle name="Normal 26 6 2 4" xfId="12472" xr:uid="{00000000-0005-0000-0000-0000D9300000}"/>
    <cellStyle name="Normal 26 6 2 5" xfId="12473" xr:uid="{00000000-0005-0000-0000-0000DA300000}"/>
    <cellStyle name="Normal 26 6 3" xfId="12474" xr:uid="{00000000-0005-0000-0000-0000DB300000}"/>
    <cellStyle name="Normal 26 6 3 2" xfId="12475" xr:uid="{00000000-0005-0000-0000-0000DC300000}"/>
    <cellStyle name="Normal 26 6 3 2 2" xfId="12476" xr:uid="{00000000-0005-0000-0000-0000DD300000}"/>
    <cellStyle name="Normal 26 6 3 2 3" xfId="12477" xr:uid="{00000000-0005-0000-0000-0000DE300000}"/>
    <cellStyle name="Normal 26 6 3 3" xfId="12478" xr:uid="{00000000-0005-0000-0000-0000DF300000}"/>
    <cellStyle name="Normal 26 6 3 4" xfId="12479" xr:uid="{00000000-0005-0000-0000-0000E0300000}"/>
    <cellStyle name="Normal 26 6 4" xfId="12480" xr:uid="{00000000-0005-0000-0000-0000E1300000}"/>
    <cellStyle name="Normal 26 6 4 2" xfId="12481" xr:uid="{00000000-0005-0000-0000-0000E2300000}"/>
    <cellStyle name="Normal 26 6 4 3" xfId="12482" xr:uid="{00000000-0005-0000-0000-0000E3300000}"/>
    <cellStyle name="Normal 26 6 5" xfId="12483" xr:uid="{00000000-0005-0000-0000-0000E4300000}"/>
    <cellStyle name="Normal 26 6 6" xfId="12484" xr:uid="{00000000-0005-0000-0000-0000E5300000}"/>
    <cellStyle name="Normal 26 7" xfId="12485" xr:uid="{00000000-0005-0000-0000-0000E6300000}"/>
    <cellStyle name="Normal 26 8" xfId="12486" xr:uid="{00000000-0005-0000-0000-0000E7300000}"/>
    <cellStyle name="Normal 26 8 2" xfId="12487" xr:uid="{00000000-0005-0000-0000-0000E8300000}"/>
    <cellStyle name="Normal 26 8 2 2" xfId="12488" xr:uid="{00000000-0005-0000-0000-0000E9300000}"/>
    <cellStyle name="Normal 26 8 2 2 2" xfId="12489" xr:uid="{00000000-0005-0000-0000-0000EA300000}"/>
    <cellStyle name="Normal 26 8 2 2 3" xfId="12490" xr:uid="{00000000-0005-0000-0000-0000EB300000}"/>
    <cellStyle name="Normal 26 8 2 3" xfId="12491" xr:uid="{00000000-0005-0000-0000-0000EC300000}"/>
    <cellStyle name="Normal 26 8 2 4" xfId="12492" xr:uid="{00000000-0005-0000-0000-0000ED300000}"/>
    <cellStyle name="Normal 26 8 3" xfId="12493" xr:uid="{00000000-0005-0000-0000-0000EE300000}"/>
    <cellStyle name="Normal 26 8 3 2" xfId="12494" xr:uid="{00000000-0005-0000-0000-0000EF300000}"/>
    <cellStyle name="Normal 26 8 3 3" xfId="12495" xr:uid="{00000000-0005-0000-0000-0000F0300000}"/>
    <cellStyle name="Normal 26 8 4" xfId="12496" xr:uid="{00000000-0005-0000-0000-0000F1300000}"/>
    <cellStyle name="Normal 26 8 5" xfId="12497" xr:uid="{00000000-0005-0000-0000-0000F2300000}"/>
    <cellStyle name="Normal 26 9" xfId="12498" xr:uid="{00000000-0005-0000-0000-0000F3300000}"/>
    <cellStyle name="Normal 26 9 2" xfId="12499" xr:uid="{00000000-0005-0000-0000-0000F4300000}"/>
    <cellStyle name="Normal 26 9 2 2" xfId="12500" xr:uid="{00000000-0005-0000-0000-0000F5300000}"/>
    <cellStyle name="Normal 26 9 2 3" xfId="12501" xr:uid="{00000000-0005-0000-0000-0000F6300000}"/>
    <cellStyle name="Normal 26 9 3" xfId="12502" xr:uid="{00000000-0005-0000-0000-0000F7300000}"/>
    <cellStyle name="Normal 26 9 4" xfId="12503" xr:uid="{00000000-0005-0000-0000-0000F8300000}"/>
    <cellStyle name="Normal 27" xfId="12504" xr:uid="{00000000-0005-0000-0000-0000F9300000}"/>
    <cellStyle name="Normal 28" xfId="12505" xr:uid="{00000000-0005-0000-0000-0000FA300000}"/>
    <cellStyle name="Normal 28 2" xfId="12506" xr:uid="{00000000-0005-0000-0000-0000FB300000}"/>
    <cellStyle name="Normal 29" xfId="12507" xr:uid="{00000000-0005-0000-0000-0000FC300000}"/>
    <cellStyle name="Normal 29 2" xfId="12508" xr:uid="{00000000-0005-0000-0000-0000FD300000}"/>
    <cellStyle name="Normal 3" xfId="16" xr:uid="{00000000-0005-0000-0000-0000FE300000}"/>
    <cellStyle name="Normal 3 10" xfId="12509" xr:uid="{00000000-0005-0000-0000-0000FF300000}"/>
    <cellStyle name="Normal 3 10 2" xfId="12510" xr:uid="{00000000-0005-0000-0000-000000310000}"/>
    <cellStyle name="Normal 3 10 2 2" xfId="12511" xr:uid="{00000000-0005-0000-0000-000001310000}"/>
    <cellStyle name="Normal 3 10 2 2 2" xfId="12512" xr:uid="{00000000-0005-0000-0000-000002310000}"/>
    <cellStyle name="Normal 3 10 2 2 2 2" xfId="12513" xr:uid="{00000000-0005-0000-0000-000003310000}"/>
    <cellStyle name="Normal 3 10 2 2 2 3" xfId="12514" xr:uid="{00000000-0005-0000-0000-000004310000}"/>
    <cellStyle name="Normal 3 10 2 2 3" xfId="12515" xr:uid="{00000000-0005-0000-0000-000005310000}"/>
    <cellStyle name="Normal 3 10 2 2 4" xfId="12516" xr:uid="{00000000-0005-0000-0000-000006310000}"/>
    <cellStyle name="Normal 3 10 2 3" xfId="12517" xr:uid="{00000000-0005-0000-0000-000007310000}"/>
    <cellStyle name="Normal 3 10 2 3 2" xfId="12518" xr:uid="{00000000-0005-0000-0000-000008310000}"/>
    <cellStyle name="Normal 3 10 2 3 3" xfId="12519" xr:uid="{00000000-0005-0000-0000-000009310000}"/>
    <cellStyle name="Normal 3 10 2 4" xfId="12520" xr:uid="{00000000-0005-0000-0000-00000A310000}"/>
    <cellStyle name="Normal 3 10 2 5" xfId="12521" xr:uid="{00000000-0005-0000-0000-00000B310000}"/>
    <cellStyle name="Normal 3 10 3" xfId="12522" xr:uid="{00000000-0005-0000-0000-00000C310000}"/>
    <cellStyle name="Normal 3 10 3 2" xfId="12523" xr:uid="{00000000-0005-0000-0000-00000D310000}"/>
    <cellStyle name="Normal 3 10 3 2 2" xfId="12524" xr:uid="{00000000-0005-0000-0000-00000E310000}"/>
    <cellStyle name="Normal 3 10 3 2 3" xfId="12525" xr:uid="{00000000-0005-0000-0000-00000F310000}"/>
    <cellStyle name="Normal 3 10 3 3" xfId="12526" xr:uid="{00000000-0005-0000-0000-000010310000}"/>
    <cellStyle name="Normal 3 10 3 4" xfId="12527" xr:uid="{00000000-0005-0000-0000-000011310000}"/>
    <cellStyle name="Normal 3 10 4" xfId="12528" xr:uid="{00000000-0005-0000-0000-000012310000}"/>
    <cellStyle name="Normal 3 10 4 2" xfId="12529" xr:uid="{00000000-0005-0000-0000-000013310000}"/>
    <cellStyle name="Normal 3 10 4 3" xfId="12530" xr:uid="{00000000-0005-0000-0000-000014310000}"/>
    <cellStyle name="Normal 3 10 5" xfId="12531" xr:uid="{00000000-0005-0000-0000-000015310000}"/>
    <cellStyle name="Normal 3 10 6" xfId="12532" xr:uid="{00000000-0005-0000-0000-000016310000}"/>
    <cellStyle name="Normal 3 11" xfId="12533" xr:uid="{00000000-0005-0000-0000-000017310000}"/>
    <cellStyle name="Normal 3 11 2" xfId="12534" xr:uid="{00000000-0005-0000-0000-000018310000}"/>
    <cellStyle name="Normal 3 11 2 2" xfId="12535" xr:uid="{00000000-0005-0000-0000-000019310000}"/>
    <cellStyle name="Normal 3 11 2 2 2" xfId="12536" xr:uid="{00000000-0005-0000-0000-00001A310000}"/>
    <cellStyle name="Normal 3 11 2 2 2 2" xfId="12537" xr:uid="{00000000-0005-0000-0000-00001B310000}"/>
    <cellStyle name="Normal 3 11 2 2 2 3" xfId="12538" xr:uid="{00000000-0005-0000-0000-00001C310000}"/>
    <cellStyle name="Normal 3 11 2 2 3" xfId="12539" xr:uid="{00000000-0005-0000-0000-00001D310000}"/>
    <cellStyle name="Normal 3 11 2 2 4" xfId="12540" xr:uid="{00000000-0005-0000-0000-00001E310000}"/>
    <cellStyle name="Normal 3 11 2 3" xfId="12541" xr:uid="{00000000-0005-0000-0000-00001F310000}"/>
    <cellStyle name="Normal 3 11 2 3 2" xfId="12542" xr:uid="{00000000-0005-0000-0000-000020310000}"/>
    <cellStyle name="Normal 3 11 2 3 3" xfId="12543" xr:uid="{00000000-0005-0000-0000-000021310000}"/>
    <cellStyle name="Normal 3 11 2 4" xfId="12544" xr:uid="{00000000-0005-0000-0000-000022310000}"/>
    <cellStyle name="Normal 3 11 2 5" xfId="12545" xr:uid="{00000000-0005-0000-0000-000023310000}"/>
    <cellStyle name="Normal 3 11 3" xfId="12546" xr:uid="{00000000-0005-0000-0000-000024310000}"/>
    <cellStyle name="Normal 3 11 3 2" xfId="12547" xr:uid="{00000000-0005-0000-0000-000025310000}"/>
    <cellStyle name="Normal 3 11 3 2 2" xfId="12548" xr:uid="{00000000-0005-0000-0000-000026310000}"/>
    <cellStyle name="Normal 3 11 3 2 3" xfId="12549" xr:uid="{00000000-0005-0000-0000-000027310000}"/>
    <cellStyle name="Normal 3 11 3 3" xfId="12550" xr:uid="{00000000-0005-0000-0000-000028310000}"/>
    <cellStyle name="Normal 3 11 3 4" xfId="12551" xr:uid="{00000000-0005-0000-0000-000029310000}"/>
    <cellStyle name="Normal 3 11 4" xfId="12552" xr:uid="{00000000-0005-0000-0000-00002A310000}"/>
    <cellStyle name="Normal 3 11 4 2" xfId="12553" xr:uid="{00000000-0005-0000-0000-00002B310000}"/>
    <cellStyle name="Normal 3 11 4 3" xfId="12554" xr:uid="{00000000-0005-0000-0000-00002C310000}"/>
    <cellStyle name="Normal 3 11 5" xfId="12555" xr:uid="{00000000-0005-0000-0000-00002D310000}"/>
    <cellStyle name="Normal 3 11 6" xfId="12556" xr:uid="{00000000-0005-0000-0000-00002E310000}"/>
    <cellStyle name="Normal 3 12" xfId="12557" xr:uid="{00000000-0005-0000-0000-00002F310000}"/>
    <cellStyle name="Normal 3 12 2" xfId="12558" xr:uid="{00000000-0005-0000-0000-000030310000}"/>
    <cellStyle name="Normal 3 12 2 2" xfId="12559" xr:uid="{00000000-0005-0000-0000-000031310000}"/>
    <cellStyle name="Normal 3 12 2 2 2" xfId="12560" xr:uid="{00000000-0005-0000-0000-000032310000}"/>
    <cellStyle name="Normal 3 12 2 2 2 2" xfId="12561" xr:uid="{00000000-0005-0000-0000-000033310000}"/>
    <cellStyle name="Normal 3 12 2 2 2 3" xfId="12562" xr:uid="{00000000-0005-0000-0000-000034310000}"/>
    <cellStyle name="Normal 3 12 2 2 3" xfId="12563" xr:uid="{00000000-0005-0000-0000-000035310000}"/>
    <cellStyle name="Normal 3 12 2 2 4" xfId="12564" xr:uid="{00000000-0005-0000-0000-000036310000}"/>
    <cellStyle name="Normal 3 12 2 3" xfId="12565" xr:uid="{00000000-0005-0000-0000-000037310000}"/>
    <cellStyle name="Normal 3 12 2 3 2" xfId="12566" xr:uid="{00000000-0005-0000-0000-000038310000}"/>
    <cellStyle name="Normal 3 12 2 3 3" xfId="12567" xr:uid="{00000000-0005-0000-0000-000039310000}"/>
    <cellStyle name="Normal 3 12 2 4" xfId="12568" xr:uid="{00000000-0005-0000-0000-00003A310000}"/>
    <cellStyle name="Normal 3 12 2 5" xfId="12569" xr:uid="{00000000-0005-0000-0000-00003B310000}"/>
    <cellStyle name="Normal 3 12 3" xfId="12570" xr:uid="{00000000-0005-0000-0000-00003C310000}"/>
    <cellStyle name="Normal 3 12 3 2" xfId="12571" xr:uid="{00000000-0005-0000-0000-00003D310000}"/>
    <cellStyle name="Normal 3 12 3 2 2" xfId="12572" xr:uid="{00000000-0005-0000-0000-00003E310000}"/>
    <cellStyle name="Normal 3 12 3 2 3" xfId="12573" xr:uid="{00000000-0005-0000-0000-00003F310000}"/>
    <cellStyle name="Normal 3 12 3 3" xfId="12574" xr:uid="{00000000-0005-0000-0000-000040310000}"/>
    <cellStyle name="Normal 3 12 3 4" xfId="12575" xr:uid="{00000000-0005-0000-0000-000041310000}"/>
    <cellStyle name="Normal 3 12 4" xfId="12576" xr:uid="{00000000-0005-0000-0000-000042310000}"/>
    <cellStyle name="Normal 3 12 4 2" xfId="12577" xr:uid="{00000000-0005-0000-0000-000043310000}"/>
    <cellStyle name="Normal 3 12 4 3" xfId="12578" xr:uid="{00000000-0005-0000-0000-000044310000}"/>
    <cellStyle name="Normal 3 12 5" xfId="12579" xr:uid="{00000000-0005-0000-0000-000045310000}"/>
    <cellStyle name="Normal 3 12 6" xfId="12580" xr:uid="{00000000-0005-0000-0000-000046310000}"/>
    <cellStyle name="Normal 3 13" xfId="12581" xr:uid="{00000000-0005-0000-0000-000047310000}"/>
    <cellStyle name="Normal 3 13 2" xfId="12582" xr:uid="{00000000-0005-0000-0000-000048310000}"/>
    <cellStyle name="Normal 3 13 2 2" xfId="12583" xr:uid="{00000000-0005-0000-0000-000049310000}"/>
    <cellStyle name="Normal 3 13 2 2 2" xfId="12584" xr:uid="{00000000-0005-0000-0000-00004A310000}"/>
    <cellStyle name="Normal 3 13 2 2 2 2" xfId="12585" xr:uid="{00000000-0005-0000-0000-00004B310000}"/>
    <cellStyle name="Normal 3 13 2 2 2 3" xfId="12586" xr:uid="{00000000-0005-0000-0000-00004C310000}"/>
    <cellStyle name="Normal 3 13 2 2 3" xfId="12587" xr:uid="{00000000-0005-0000-0000-00004D310000}"/>
    <cellStyle name="Normal 3 13 2 2 4" xfId="12588" xr:uid="{00000000-0005-0000-0000-00004E310000}"/>
    <cellStyle name="Normal 3 13 2 3" xfId="12589" xr:uid="{00000000-0005-0000-0000-00004F310000}"/>
    <cellStyle name="Normal 3 13 2 3 2" xfId="12590" xr:uid="{00000000-0005-0000-0000-000050310000}"/>
    <cellStyle name="Normal 3 13 2 3 3" xfId="12591" xr:uid="{00000000-0005-0000-0000-000051310000}"/>
    <cellStyle name="Normal 3 13 2 4" xfId="12592" xr:uid="{00000000-0005-0000-0000-000052310000}"/>
    <cellStyle name="Normal 3 13 2 5" xfId="12593" xr:uid="{00000000-0005-0000-0000-000053310000}"/>
    <cellStyle name="Normal 3 13 3" xfId="12594" xr:uid="{00000000-0005-0000-0000-000054310000}"/>
    <cellStyle name="Normal 3 13 3 2" xfId="12595" xr:uid="{00000000-0005-0000-0000-000055310000}"/>
    <cellStyle name="Normal 3 13 3 2 2" xfId="12596" xr:uid="{00000000-0005-0000-0000-000056310000}"/>
    <cellStyle name="Normal 3 13 3 2 3" xfId="12597" xr:uid="{00000000-0005-0000-0000-000057310000}"/>
    <cellStyle name="Normal 3 13 3 3" xfId="12598" xr:uid="{00000000-0005-0000-0000-000058310000}"/>
    <cellStyle name="Normal 3 13 3 4" xfId="12599" xr:uid="{00000000-0005-0000-0000-000059310000}"/>
    <cellStyle name="Normal 3 13 4" xfId="12600" xr:uid="{00000000-0005-0000-0000-00005A310000}"/>
    <cellStyle name="Normal 3 13 4 2" xfId="12601" xr:uid="{00000000-0005-0000-0000-00005B310000}"/>
    <cellStyle name="Normal 3 13 4 3" xfId="12602" xr:uid="{00000000-0005-0000-0000-00005C310000}"/>
    <cellStyle name="Normal 3 13 5" xfId="12603" xr:uid="{00000000-0005-0000-0000-00005D310000}"/>
    <cellStyle name="Normal 3 13 6" xfId="12604" xr:uid="{00000000-0005-0000-0000-00005E310000}"/>
    <cellStyle name="Normal 3 14" xfId="12605" xr:uid="{00000000-0005-0000-0000-00005F310000}"/>
    <cellStyle name="Normal 3 14 2" xfId="12606" xr:uid="{00000000-0005-0000-0000-000060310000}"/>
    <cellStyle name="Normal 3 14 2 2" xfId="12607" xr:uid="{00000000-0005-0000-0000-000061310000}"/>
    <cellStyle name="Normal 3 14 2 2 2" xfId="12608" xr:uid="{00000000-0005-0000-0000-000062310000}"/>
    <cellStyle name="Normal 3 14 2 2 2 2" xfId="12609" xr:uid="{00000000-0005-0000-0000-000063310000}"/>
    <cellStyle name="Normal 3 14 2 2 2 3" xfId="12610" xr:uid="{00000000-0005-0000-0000-000064310000}"/>
    <cellStyle name="Normal 3 14 2 2 3" xfId="12611" xr:uid="{00000000-0005-0000-0000-000065310000}"/>
    <cellStyle name="Normal 3 14 2 2 4" xfId="12612" xr:uid="{00000000-0005-0000-0000-000066310000}"/>
    <cellStyle name="Normal 3 14 2 3" xfId="12613" xr:uid="{00000000-0005-0000-0000-000067310000}"/>
    <cellStyle name="Normal 3 14 2 3 2" xfId="12614" xr:uid="{00000000-0005-0000-0000-000068310000}"/>
    <cellStyle name="Normal 3 14 2 3 3" xfId="12615" xr:uid="{00000000-0005-0000-0000-000069310000}"/>
    <cellStyle name="Normal 3 14 2 4" xfId="12616" xr:uid="{00000000-0005-0000-0000-00006A310000}"/>
    <cellStyle name="Normal 3 14 2 5" xfId="12617" xr:uid="{00000000-0005-0000-0000-00006B310000}"/>
    <cellStyle name="Normal 3 14 3" xfId="12618" xr:uid="{00000000-0005-0000-0000-00006C310000}"/>
    <cellStyle name="Normal 3 14 3 2" xfId="12619" xr:uid="{00000000-0005-0000-0000-00006D310000}"/>
    <cellStyle name="Normal 3 14 3 2 2" xfId="12620" xr:uid="{00000000-0005-0000-0000-00006E310000}"/>
    <cellStyle name="Normal 3 14 3 2 3" xfId="12621" xr:uid="{00000000-0005-0000-0000-00006F310000}"/>
    <cellStyle name="Normal 3 14 3 3" xfId="12622" xr:uid="{00000000-0005-0000-0000-000070310000}"/>
    <cellStyle name="Normal 3 14 3 4" xfId="12623" xr:uid="{00000000-0005-0000-0000-000071310000}"/>
    <cellStyle name="Normal 3 14 4" xfId="12624" xr:uid="{00000000-0005-0000-0000-000072310000}"/>
    <cellStyle name="Normal 3 14 4 2" xfId="12625" xr:uid="{00000000-0005-0000-0000-000073310000}"/>
    <cellStyle name="Normal 3 14 4 3" xfId="12626" xr:uid="{00000000-0005-0000-0000-000074310000}"/>
    <cellStyle name="Normal 3 14 5" xfId="12627" xr:uid="{00000000-0005-0000-0000-000075310000}"/>
    <cellStyle name="Normal 3 14 6" xfId="12628" xr:uid="{00000000-0005-0000-0000-000076310000}"/>
    <cellStyle name="Normal 3 15" xfId="12629" xr:uid="{00000000-0005-0000-0000-000077310000}"/>
    <cellStyle name="Normal 3 15 2" xfId="12630" xr:uid="{00000000-0005-0000-0000-000078310000}"/>
    <cellStyle name="Normal 3 15 2 2" xfId="12631" xr:uid="{00000000-0005-0000-0000-000079310000}"/>
    <cellStyle name="Normal 3 15 2 2 2" xfId="12632" xr:uid="{00000000-0005-0000-0000-00007A310000}"/>
    <cellStyle name="Normal 3 15 2 2 2 2" xfId="12633" xr:uid="{00000000-0005-0000-0000-00007B310000}"/>
    <cellStyle name="Normal 3 15 2 2 2 3" xfId="12634" xr:uid="{00000000-0005-0000-0000-00007C310000}"/>
    <cellStyle name="Normal 3 15 2 2 3" xfId="12635" xr:uid="{00000000-0005-0000-0000-00007D310000}"/>
    <cellStyle name="Normal 3 15 2 2 4" xfId="12636" xr:uid="{00000000-0005-0000-0000-00007E310000}"/>
    <cellStyle name="Normal 3 15 2 3" xfId="12637" xr:uid="{00000000-0005-0000-0000-00007F310000}"/>
    <cellStyle name="Normal 3 15 2 3 2" xfId="12638" xr:uid="{00000000-0005-0000-0000-000080310000}"/>
    <cellStyle name="Normal 3 15 2 3 3" xfId="12639" xr:uid="{00000000-0005-0000-0000-000081310000}"/>
    <cellStyle name="Normal 3 15 2 4" xfId="12640" xr:uid="{00000000-0005-0000-0000-000082310000}"/>
    <cellStyle name="Normal 3 15 2 5" xfId="12641" xr:uid="{00000000-0005-0000-0000-000083310000}"/>
    <cellStyle name="Normal 3 15 3" xfId="12642" xr:uid="{00000000-0005-0000-0000-000084310000}"/>
    <cellStyle name="Normal 3 15 3 2" xfId="12643" xr:uid="{00000000-0005-0000-0000-000085310000}"/>
    <cellStyle name="Normal 3 15 3 2 2" xfId="12644" xr:uid="{00000000-0005-0000-0000-000086310000}"/>
    <cellStyle name="Normal 3 15 3 2 3" xfId="12645" xr:uid="{00000000-0005-0000-0000-000087310000}"/>
    <cellStyle name="Normal 3 15 3 3" xfId="12646" xr:uid="{00000000-0005-0000-0000-000088310000}"/>
    <cellStyle name="Normal 3 15 3 4" xfId="12647" xr:uid="{00000000-0005-0000-0000-000089310000}"/>
    <cellStyle name="Normal 3 15 4" xfId="12648" xr:uid="{00000000-0005-0000-0000-00008A310000}"/>
    <cellStyle name="Normal 3 15 4 2" xfId="12649" xr:uid="{00000000-0005-0000-0000-00008B310000}"/>
    <cellStyle name="Normal 3 15 4 3" xfId="12650" xr:uid="{00000000-0005-0000-0000-00008C310000}"/>
    <cellStyle name="Normal 3 15 5" xfId="12651" xr:uid="{00000000-0005-0000-0000-00008D310000}"/>
    <cellStyle name="Normal 3 15 6" xfId="12652" xr:uid="{00000000-0005-0000-0000-00008E310000}"/>
    <cellStyle name="Normal 3 16" xfId="12653" xr:uid="{00000000-0005-0000-0000-00008F310000}"/>
    <cellStyle name="Normal 3 16 2" xfId="12654" xr:uid="{00000000-0005-0000-0000-000090310000}"/>
    <cellStyle name="Normal 3 16 2 2" xfId="12655" xr:uid="{00000000-0005-0000-0000-000091310000}"/>
    <cellStyle name="Normal 3 16 2 2 2" xfId="12656" xr:uid="{00000000-0005-0000-0000-000092310000}"/>
    <cellStyle name="Normal 3 16 2 2 2 2" xfId="12657" xr:uid="{00000000-0005-0000-0000-000093310000}"/>
    <cellStyle name="Normal 3 16 2 2 2 3" xfId="12658" xr:uid="{00000000-0005-0000-0000-000094310000}"/>
    <cellStyle name="Normal 3 16 2 2 3" xfId="12659" xr:uid="{00000000-0005-0000-0000-000095310000}"/>
    <cellStyle name="Normal 3 16 2 2 4" xfId="12660" xr:uid="{00000000-0005-0000-0000-000096310000}"/>
    <cellStyle name="Normal 3 16 2 3" xfId="12661" xr:uid="{00000000-0005-0000-0000-000097310000}"/>
    <cellStyle name="Normal 3 16 2 3 2" xfId="12662" xr:uid="{00000000-0005-0000-0000-000098310000}"/>
    <cellStyle name="Normal 3 16 2 3 3" xfId="12663" xr:uid="{00000000-0005-0000-0000-000099310000}"/>
    <cellStyle name="Normal 3 16 2 4" xfId="12664" xr:uid="{00000000-0005-0000-0000-00009A310000}"/>
    <cellStyle name="Normal 3 16 2 5" xfId="12665" xr:uid="{00000000-0005-0000-0000-00009B310000}"/>
    <cellStyle name="Normal 3 16 3" xfId="12666" xr:uid="{00000000-0005-0000-0000-00009C310000}"/>
    <cellStyle name="Normal 3 16 3 2" xfId="12667" xr:uid="{00000000-0005-0000-0000-00009D310000}"/>
    <cellStyle name="Normal 3 16 3 2 2" xfId="12668" xr:uid="{00000000-0005-0000-0000-00009E310000}"/>
    <cellStyle name="Normal 3 16 3 2 3" xfId="12669" xr:uid="{00000000-0005-0000-0000-00009F310000}"/>
    <cellStyle name="Normal 3 16 3 3" xfId="12670" xr:uid="{00000000-0005-0000-0000-0000A0310000}"/>
    <cellStyle name="Normal 3 16 3 4" xfId="12671" xr:uid="{00000000-0005-0000-0000-0000A1310000}"/>
    <cellStyle name="Normal 3 16 4" xfId="12672" xr:uid="{00000000-0005-0000-0000-0000A2310000}"/>
    <cellStyle name="Normal 3 16 4 2" xfId="12673" xr:uid="{00000000-0005-0000-0000-0000A3310000}"/>
    <cellStyle name="Normal 3 16 4 3" xfId="12674" xr:uid="{00000000-0005-0000-0000-0000A4310000}"/>
    <cellStyle name="Normal 3 16 5" xfId="12675" xr:uid="{00000000-0005-0000-0000-0000A5310000}"/>
    <cellStyle name="Normal 3 16 6" xfId="12676" xr:uid="{00000000-0005-0000-0000-0000A6310000}"/>
    <cellStyle name="Normal 3 17" xfId="12677" xr:uid="{00000000-0005-0000-0000-0000A7310000}"/>
    <cellStyle name="Normal 3 17 2" xfId="12678" xr:uid="{00000000-0005-0000-0000-0000A8310000}"/>
    <cellStyle name="Normal 3 17 2 2" xfId="12679" xr:uid="{00000000-0005-0000-0000-0000A9310000}"/>
    <cellStyle name="Normal 3 17 2 2 2" xfId="12680" xr:uid="{00000000-0005-0000-0000-0000AA310000}"/>
    <cellStyle name="Normal 3 17 2 2 2 2" xfId="12681" xr:uid="{00000000-0005-0000-0000-0000AB310000}"/>
    <cellStyle name="Normal 3 17 2 2 2 3" xfId="12682" xr:uid="{00000000-0005-0000-0000-0000AC310000}"/>
    <cellStyle name="Normal 3 17 2 2 3" xfId="12683" xr:uid="{00000000-0005-0000-0000-0000AD310000}"/>
    <cellStyle name="Normal 3 17 2 2 4" xfId="12684" xr:uid="{00000000-0005-0000-0000-0000AE310000}"/>
    <cellStyle name="Normal 3 17 2 3" xfId="12685" xr:uid="{00000000-0005-0000-0000-0000AF310000}"/>
    <cellStyle name="Normal 3 17 2 3 2" xfId="12686" xr:uid="{00000000-0005-0000-0000-0000B0310000}"/>
    <cellStyle name="Normal 3 17 2 3 3" xfId="12687" xr:uid="{00000000-0005-0000-0000-0000B1310000}"/>
    <cellStyle name="Normal 3 17 2 4" xfId="12688" xr:uid="{00000000-0005-0000-0000-0000B2310000}"/>
    <cellStyle name="Normal 3 17 2 5" xfId="12689" xr:uid="{00000000-0005-0000-0000-0000B3310000}"/>
    <cellStyle name="Normal 3 17 3" xfId="12690" xr:uid="{00000000-0005-0000-0000-0000B4310000}"/>
    <cellStyle name="Normal 3 17 3 2" xfId="12691" xr:uid="{00000000-0005-0000-0000-0000B5310000}"/>
    <cellStyle name="Normal 3 17 3 2 2" xfId="12692" xr:uid="{00000000-0005-0000-0000-0000B6310000}"/>
    <cellStyle name="Normal 3 17 3 2 3" xfId="12693" xr:uid="{00000000-0005-0000-0000-0000B7310000}"/>
    <cellStyle name="Normal 3 17 3 3" xfId="12694" xr:uid="{00000000-0005-0000-0000-0000B8310000}"/>
    <cellStyle name="Normal 3 17 3 4" xfId="12695" xr:uid="{00000000-0005-0000-0000-0000B9310000}"/>
    <cellStyle name="Normal 3 17 4" xfId="12696" xr:uid="{00000000-0005-0000-0000-0000BA310000}"/>
    <cellStyle name="Normal 3 17 4 2" xfId="12697" xr:uid="{00000000-0005-0000-0000-0000BB310000}"/>
    <cellStyle name="Normal 3 17 4 3" xfId="12698" xr:uid="{00000000-0005-0000-0000-0000BC310000}"/>
    <cellStyle name="Normal 3 17 5" xfId="12699" xr:uid="{00000000-0005-0000-0000-0000BD310000}"/>
    <cellStyle name="Normal 3 17 6" xfId="12700" xr:uid="{00000000-0005-0000-0000-0000BE310000}"/>
    <cellStyle name="Normal 3 18" xfId="12701" xr:uid="{00000000-0005-0000-0000-0000BF310000}"/>
    <cellStyle name="Normal 3 18 2" xfId="12702" xr:uid="{00000000-0005-0000-0000-0000C0310000}"/>
    <cellStyle name="Normal 3 18 2 2" xfId="12703" xr:uid="{00000000-0005-0000-0000-0000C1310000}"/>
    <cellStyle name="Normal 3 18 2 2 2" xfId="12704" xr:uid="{00000000-0005-0000-0000-0000C2310000}"/>
    <cellStyle name="Normal 3 18 2 2 2 2" xfId="12705" xr:uid="{00000000-0005-0000-0000-0000C3310000}"/>
    <cellStyle name="Normal 3 18 2 2 2 3" xfId="12706" xr:uid="{00000000-0005-0000-0000-0000C4310000}"/>
    <cellStyle name="Normal 3 18 2 2 3" xfId="12707" xr:uid="{00000000-0005-0000-0000-0000C5310000}"/>
    <cellStyle name="Normal 3 18 2 2 4" xfId="12708" xr:uid="{00000000-0005-0000-0000-0000C6310000}"/>
    <cellStyle name="Normal 3 18 2 3" xfId="12709" xr:uid="{00000000-0005-0000-0000-0000C7310000}"/>
    <cellStyle name="Normal 3 18 2 3 2" xfId="12710" xr:uid="{00000000-0005-0000-0000-0000C8310000}"/>
    <cellStyle name="Normal 3 18 2 3 3" xfId="12711" xr:uid="{00000000-0005-0000-0000-0000C9310000}"/>
    <cellStyle name="Normal 3 18 2 4" xfId="12712" xr:uid="{00000000-0005-0000-0000-0000CA310000}"/>
    <cellStyle name="Normal 3 18 2 5" xfId="12713" xr:uid="{00000000-0005-0000-0000-0000CB310000}"/>
    <cellStyle name="Normal 3 18 3" xfId="12714" xr:uid="{00000000-0005-0000-0000-0000CC310000}"/>
    <cellStyle name="Normal 3 18 3 2" xfId="12715" xr:uid="{00000000-0005-0000-0000-0000CD310000}"/>
    <cellStyle name="Normal 3 18 3 2 2" xfId="12716" xr:uid="{00000000-0005-0000-0000-0000CE310000}"/>
    <cellStyle name="Normal 3 18 3 2 3" xfId="12717" xr:uid="{00000000-0005-0000-0000-0000CF310000}"/>
    <cellStyle name="Normal 3 18 3 3" xfId="12718" xr:uid="{00000000-0005-0000-0000-0000D0310000}"/>
    <cellStyle name="Normal 3 18 3 4" xfId="12719" xr:uid="{00000000-0005-0000-0000-0000D1310000}"/>
    <cellStyle name="Normal 3 18 4" xfId="12720" xr:uid="{00000000-0005-0000-0000-0000D2310000}"/>
    <cellStyle name="Normal 3 18 4 2" xfId="12721" xr:uid="{00000000-0005-0000-0000-0000D3310000}"/>
    <cellStyle name="Normal 3 18 4 3" xfId="12722" xr:uid="{00000000-0005-0000-0000-0000D4310000}"/>
    <cellStyle name="Normal 3 18 5" xfId="12723" xr:uid="{00000000-0005-0000-0000-0000D5310000}"/>
    <cellStyle name="Normal 3 18 6" xfId="12724" xr:uid="{00000000-0005-0000-0000-0000D6310000}"/>
    <cellStyle name="Normal 3 19" xfId="12725" xr:uid="{00000000-0005-0000-0000-0000D7310000}"/>
    <cellStyle name="Normal 3 19 2" xfId="12726" xr:uid="{00000000-0005-0000-0000-0000D8310000}"/>
    <cellStyle name="Normal 3 19 2 2" xfId="12727" xr:uid="{00000000-0005-0000-0000-0000D9310000}"/>
    <cellStyle name="Normal 3 19 2 2 2" xfId="12728" xr:uid="{00000000-0005-0000-0000-0000DA310000}"/>
    <cellStyle name="Normal 3 19 2 2 2 2" xfId="12729" xr:uid="{00000000-0005-0000-0000-0000DB310000}"/>
    <cellStyle name="Normal 3 19 2 2 2 3" xfId="12730" xr:uid="{00000000-0005-0000-0000-0000DC310000}"/>
    <cellStyle name="Normal 3 19 2 2 3" xfId="12731" xr:uid="{00000000-0005-0000-0000-0000DD310000}"/>
    <cellStyle name="Normal 3 19 2 2 4" xfId="12732" xr:uid="{00000000-0005-0000-0000-0000DE310000}"/>
    <cellStyle name="Normal 3 19 2 3" xfId="12733" xr:uid="{00000000-0005-0000-0000-0000DF310000}"/>
    <cellStyle name="Normal 3 19 2 3 2" xfId="12734" xr:uid="{00000000-0005-0000-0000-0000E0310000}"/>
    <cellStyle name="Normal 3 19 2 3 3" xfId="12735" xr:uid="{00000000-0005-0000-0000-0000E1310000}"/>
    <cellStyle name="Normal 3 19 2 4" xfId="12736" xr:uid="{00000000-0005-0000-0000-0000E2310000}"/>
    <cellStyle name="Normal 3 19 2 5" xfId="12737" xr:uid="{00000000-0005-0000-0000-0000E3310000}"/>
    <cellStyle name="Normal 3 19 3" xfId="12738" xr:uid="{00000000-0005-0000-0000-0000E4310000}"/>
    <cellStyle name="Normal 3 19 3 2" xfId="12739" xr:uid="{00000000-0005-0000-0000-0000E5310000}"/>
    <cellStyle name="Normal 3 19 3 2 2" xfId="12740" xr:uid="{00000000-0005-0000-0000-0000E6310000}"/>
    <cellStyle name="Normal 3 19 3 2 3" xfId="12741" xr:uid="{00000000-0005-0000-0000-0000E7310000}"/>
    <cellStyle name="Normal 3 19 3 3" xfId="12742" xr:uid="{00000000-0005-0000-0000-0000E8310000}"/>
    <cellStyle name="Normal 3 19 3 4" xfId="12743" xr:uid="{00000000-0005-0000-0000-0000E9310000}"/>
    <cellStyle name="Normal 3 19 4" xfId="12744" xr:uid="{00000000-0005-0000-0000-0000EA310000}"/>
    <cellStyle name="Normal 3 19 4 2" xfId="12745" xr:uid="{00000000-0005-0000-0000-0000EB310000}"/>
    <cellStyle name="Normal 3 19 4 3" xfId="12746" xr:uid="{00000000-0005-0000-0000-0000EC310000}"/>
    <cellStyle name="Normal 3 19 5" xfId="12747" xr:uid="{00000000-0005-0000-0000-0000ED310000}"/>
    <cellStyle name="Normal 3 19 6" xfId="12748" xr:uid="{00000000-0005-0000-0000-0000EE310000}"/>
    <cellStyle name="Normal 3 2" xfId="27" xr:uid="{00000000-0005-0000-0000-0000EF310000}"/>
    <cellStyle name="Normal 3 2 2" xfId="12749" xr:uid="{00000000-0005-0000-0000-0000F0310000}"/>
    <cellStyle name="Normal 3 2 2 2" xfId="12750" xr:uid="{00000000-0005-0000-0000-0000F1310000}"/>
    <cellStyle name="Normal 3 2 2 2 2" xfId="12751" xr:uid="{00000000-0005-0000-0000-0000F2310000}"/>
    <cellStyle name="Normal 3 2 2 2 2 2" xfId="12752" xr:uid="{00000000-0005-0000-0000-0000F3310000}"/>
    <cellStyle name="Normal 3 2 2 2 2 2 2" xfId="12753" xr:uid="{00000000-0005-0000-0000-0000F4310000}"/>
    <cellStyle name="Normal 3 2 2 2 2 2 3" xfId="12754" xr:uid="{00000000-0005-0000-0000-0000F5310000}"/>
    <cellStyle name="Normal 3 2 2 2 2 3" xfId="12755" xr:uid="{00000000-0005-0000-0000-0000F6310000}"/>
    <cellStyle name="Normal 3 2 2 2 2 4" xfId="12756" xr:uid="{00000000-0005-0000-0000-0000F7310000}"/>
    <cellStyle name="Normal 3 2 2 2 3" xfId="12757" xr:uid="{00000000-0005-0000-0000-0000F8310000}"/>
    <cellStyle name="Normal 3 2 2 2 3 2" xfId="12758" xr:uid="{00000000-0005-0000-0000-0000F9310000}"/>
    <cellStyle name="Normal 3 2 2 2 3 3" xfId="12759" xr:uid="{00000000-0005-0000-0000-0000FA310000}"/>
    <cellStyle name="Normal 3 2 2 2 4" xfId="12760" xr:uid="{00000000-0005-0000-0000-0000FB310000}"/>
    <cellStyle name="Normal 3 2 2 2 5" xfId="12761" xr:uid="{00000000-0005-0000-0000-0000FC310000}"/>
    <cellStyle name="Normal 3 2 2 3" xfId="12762" xr:uid="{00000000-0005-0000-0000-0000FD310000}"/>
    <cellStyle name="Normal 3 2 2 3 2" xfId="12763" xr:uid="{00000000-0005-0000-0000-0000FE310000}"/>
    <cellStyle name="Normal 3 2 2 3 2 2" xfId="12764" xr:uid="{00000000-0005-0000-0000-0000FF310000}"/>
    <cellStyle name="Normal 3 2 2 3 2 3" xfId="12765" xr:uid="{00000000-0005-0000-0000-000000320000}"/>
    <cellStyle name="Normal 3 2 2 3 3" xfId="12766" xr:uid="{00000000-0005-0000-0000-000001320000}"/>
    <cellStyle name="Normal 3 2 2 3 4" xfId="12767" xr:uid="{00000000-0005-0000-0000-000002320000}"/>
    <cellStyle name="Normal 3 2 2 4" xfId="12768" xr:uid="{00000000-0005-0000-0000-000003320000}"/>
    <cellStyle name="Normal 3 2 2 4 2" xfId="12769" xr:uid="{00000000-0005-0000-0000-000004320000}"/>
    <cellStyle name="Normal 3 2 2 4 3" xfId="12770" xr:uid="{00000000-0005-0000-0000-000005320000}"/>
    <cellStyle name="Normal 3 2 2 5" xfId="12771" xr:uid="{00000000-0005-0000-0000-000006320000}"/>
    <cellStyle name="Normal 3 2 2 6" xfId="12772" xr:uid="{00000000-0005-0000-0000-000007320000}"/>
    <cellStyle name="Normal 3 2 3" xfId="12773" xr:uid="{00000000-0005-0000-0000-000008320000}"/>
    <cellStyle name="Normal 3 2 3 2" xfId="12774" xr:uid="{00000000-0005-0000-0000-000009320000}"/>
    <cellStyle name="Normal 3 2 3 2 2" xfId="12775" xr:uid="{00000000-0005-0000-0000-00000A320000}"/>
    <cellStyle name="Normal 3 2 3 2 2 2" xfId="12776" xr:uid="{00000000-0005-0000-0000-00000B320000}"/>
    <cellStyle name="Normal 3 2 3 2 2 2 2" xfId="12777" xr:uid="{00000000-0005-0000-0000-00000C320000}"/>
    <cellStyle name="Normal 3 2 3 2 2 2 3" xfId="12778" xr:uid="{00000000-0005-0000-0000-00000D320000}"/>
    <cellStyle name="Normal 3 2 3 2 2 3" xfId="12779" xr:uid="{00000000-0005-0000-0000-00000E320000}"/>
    <cellStyle name="Normal 3 2 3 2 2 4" xfId="12780" xr:uid="{00000000-0005-0000-0000-00000F320000}"/>
    <cellStyle name="Normal 3 2 3 2 3" xfId="12781" xr:uid="{00000000-0005-0000-0000-000010320000}"/>
    <cellStyle name="Normal 3 2 3 2 3 2" xfId="12782" xr:uid="{00000000-0005-0000-0000-000011320000}"/>
    <cellStyle name="Normal 3 2 3 2 3 3" xfId="12783" xr:uid="{00000000-0005-0000-0000-000012320000}"/>
    <cellStyle name="Normal 3 2 3 2 4" xfId="12784" xr:uid="{00000000-0005-0000-0000-000013320000}"/>
    <cellStyle name="Normal 3 2 3 2 5" xfId="12785" xr:uid="{00000000-0005-0000-0000-000014320000}"/>
    <cellStyle name="Normal 3 2 3 3" xfId="12786" xr:uid="{00000000-0005-0000-0000-000015320000}"/>
    <cellStyle name="Normal 3 2 3 3 2" xfId="12787" xr:uid="{00000000-0005-0000-0000-000016320000}"/>
    <cellStyle name="Normal 3 2 3 3 2 2" xfId="12788" xr:uid="{00000000-0005-0000-0000-000017320000}"/>
    <cellStyle name="Normal 3 2 3 3 2 3" xfId="12789" xr:uid="{00000000-0005-0000-0000-000018320000}"/>
    <cellStyle name="Normal 3 2 3 3 3" xfId="12790" xr:uid="{00000000-0005-0000-0000-000019320000}"/>
    <cellStyle name="Normal 3 2 3 3 4" xfId="12791" xr:uid="{00000000-0005-0000-0000-00001A320000}"/>
    <cellStyle name="Normal 3 2 3 4" xfId="12792" xr:uid="{00000000-0005-0000-0000-00001B320000}"/>
    <cellStyle name="Normal 3 2 3 4 2" xfId="12793" xr:uid="{00000000-0005-0000-0000-00001C320000}"/>
    <cellStyle name="Normal 3 2 3 4 3" xfId="12794" xr:uid="{00000000-0005-0000-0000-00001D320000}"/>
    <cellStyle name="Normal 3 2 3 5" xfId="12795" xr:uid="{00000000-0005-0000-0000-00001E320000}"/>
    <cellStyle name="Normal 3 2 3 6" xfId="12796" xr:uid="{00000000-0005-0000-0000-00001F320000}"/>
    <cellStyle name="Normal 3 2 4" xfId="12797" xr:uid="{00000000-0005-0000-0000-000020320000}"/>
    <cellStyle name="Normal 3 2 4 2" xfId="12798" xr:uid="{00000000-0005-0000-0000-000021320000}"/>
    <cellStyle name="Normal 3 2 4 2 2" xfId="12799" xr:uid="{00000000-0005-0000-0000-000022320000}"/>
    <cellStyle name="Normal 3 2 4 2 2 2" xfId="12800" xr:uid="{00000000-0005-0000-0000-000023320000}"/>
    <cellStyle name="Normal 3 2 4 2 2 2 2" xfId="12801" xr:uid="{00000000-0005-0000-0000-000024320000}"/>
    <cellStyle name="Normal 3 2 4 2 2 2 3" xfId="12802" xr:uid="{00000000-0005-0000-0000-000025320000}"/>
    <cellStyle name="Normal 3 2 4 2 2 3" xfId="12803" xr:uid="{00000000-0005-0000-0000-000026320000}"/>
    <cellStyle name="Normal 3 2 4 2 2 4" xfId="12804" xr:uid="{00000000-0005-0000-0000-000027320000}"/>
    <cellStyle name="Normal 3 2 4 2 3" xfId="12805" xr:uid="{00000000-0005-0000-0000-000028320000}"/>
    <cellStyle name="Normal 3 2 4 2 3 2" xfId="12806" xr:uid="{00000000-0005-0000-0000-000029320000}"/>
    <cellStyle name="Normal 3 2 4 2 3 3" xfId="12807" xr:uid="{00000000-0005-0000-0000-00002A320000}"/>
    <cellStyle name="Normal 3 2 4 2 4" xfId="12808" xr:uid="{00000000-0005-0000-0000-00002B320000}"/>
    <cellStyle name="Normal 3 2 4 2 5" xfId="12809" xr:uid="{00000000-0005-0000-0000-00002C320000}"/>
    <cellStyle name="Normal 3 2 4 3" xfId="12810" xr:uid="{00000000-0005-0000-0000-00002D320000}"/>
    <cellStyle name="Normal 3 2 4 3 2" xfId="12811" xr:uid="{00000000-0005-0000-0000-00002E320000}"/>
    <cellStyle name="Normal 3 2 4 3 2 2" xfId="12812" xr:uid="{00000000-0005-0000-0000-00002F320000}"/>
    <cellStyle name="Normal 3 2 4 3 2 3" xfId="12813" xr:uid="{00000000-0005-0000-0000-000030320000}"/>
    <cellStyle name="Normal 3 2 4 3 3" xfId="12814" xr:uid="{00000000-0005-0000-0000-000031320000}"/>
    <cellStyle name="Normal 3 2 4 3 4" xfId="12815" xr:uid="{00000000-0005-0000-0000-000032320000}"/>
    <cellStyle name="Normal 3 2 4 4" xfId="12816" xr:uid="{00000000-0005-0000-0000-000033320000}"/>
    <cellStyle name="Normal 3 2 4 4 2" xfId="12817" xr:uid="{00000000-0005-0000-0000-000034320000}"/>
    <cellStyle name="Normal 3 2 4 4 3" xfId="12818" xr:uid="{00000000-0005-0000-0000-000035320000}"/>
    <cellStyle name="Normal 3 2 4 5" xfId="12819" xr:uid="{00000000-0005-0000-0000-000036320000}"/>
    <cellStyle name="Normal 3 2 4 6" xfId="12820" xr:uid="{00000000-0005-0000-0000-000037320000}"/>
    <cellStyle name="Normal 3 2 5" xfId="12821" xr:uid="{00000000-0005-0000-0000-000038320000}"/>
    <cellStyle name="Normal 3 2 5 2" xfId="12822" xr:uid="{00000000-0005-0000-0000-000039320000}"/>
    <cellStyle name="Normal 3 2 5 2 2" xfId="12823" xr:uid="{00000000-0005-0000-0000-00003A320000}"/>
    <cellStyle name="Normal 3 2 5 2 2 2" xfId="12824" xr:uid="{00000000-0005-0000-0000-00003B320000}"/>
    <cellStyle name="Normal 3 2 5 2 2 2 2" xfId="12825" xr:uid="{00000000-0005-0000-0000-00003C320000}"/>
    <cellStyle name="Normal 3 2 5 2 2 2 3" xfId="12826" xr:uid="{00000000-0005-0000-0000-00003D320000}"/>
    <cellStyle name="Normal 3 2 5 2 2 3" xfId="12827" xr:uid="{00000000-0005-0000-0000-00003E320000}"/>
    <cellStyle name="Normal 3 2 5 2 2 4" xfId="12828" xr:uid="{00000000-0005-0000-0000-00003F320000}"/>
    <cellStyle name="Normal 3 2 5 2 3" xfId="12829" xr:uid="{00000000-0005-0000-0000-000040320000}"/>
    <cellStyle name="Normal 3 2 5 2 3 2" xfId="12830" xr:uid="{00000000-0005-0000-0000-000041320000}"/>
    <cellStyle name="Normal 3 2 5 2 3 3" xfId="12831" xr:uid="{00000000-0005-0000-0000-000042320000}"/>
    <cellStyle name="Normal 3 2 5 2 4" xfId="12832" xr:uid="{00000000-0005-0000-0000-000043320000}"/>
    <cellStyle name="Normal 3 2 5 2 5" xfId="12833" xr:uid="{00000000-0005-0000-0000-000044320000}"/>
    <cellStyle name="Normal 3 2 5 3" xfId="12834" xr:uid="{00000000-0005-0000-0000-000045320000}"/>
    <cellStyle name="Normal 3 2 5 3 2" xfId="12835" xr:uid="{00000000-0005-0000-0000-000046320000}"/>
    <cellStyle name="Normal 3 2 5 3 2 2" xfId="12836" xr:uid="{00000000-0005-0000-0000-000047320000}"/>
    <cellStyle name="Normal 3 2 5 3 2 3" xfId="12837" xr:uid="{00000000-0005-0000-0000-000048320000}"/>
    <cellStyle name="Normal 3 2 5 3 3" xfId="12838" xr:uid="{00000000-0005-0000-0000-000049320000}"/>
    <cellStyle name="Normal 3 2 5 3 4" xfId="12839" xr:uid="{00000000-0005-0000-0000-00004A320000}"/>
    <cellStyle name="Normal 3 2 5 4" xfId="12840" xr:uid="{00000000-0005-0000-0000-00004B320000}"/>
    <cellStyle name="Normal 3 2 5 4 2" xfId="12841" xr:uid="{00000000-0005-0000-0000-00004C320000}"/>
    <cellStyle name="Normal 3 2 5 4 3" xfId="12842" xr:uid="{00000000-0005-0000-0000-00004D320000}"/>
    <cellStyle name="Normal 3 2 5 5" xfId="12843" xr:uid="{00000000-0005-0000-0000-00004E320000}"/>
    <cellStyle name="Normal 3 2 5 6" xfId="12844" xr:uid="{00000000-0005-0000-0000-00004F320000}"/>
    <cellStyle name="Normal 3 2 6" xfId="12845" xr:uid="{00000000-0005-0000-0000-000050320000}"/>
    <cellStyle name="Normal 3 2 6 2" xfId="12846" xr:uid="{00000000-0005-0000-0000-000051320000}"/>
    <cellStyle name="Normal 3 2 6 2 2" xfId="12847" xr:uid="{00000000-0005-0000-0000-000052320000}"/>
    <cellStyle name="Normal 3 2 6 2 2 2" xfId="12848" xr:uid="{00000000-0005-0000-0000-000053320000}"/>
    <cellStyle name="Normal 3 2 6 2 2 2 2" xfId="12849" xr:uid="{00000000-0005-0000-0000-000054320000}"/>
    <cellStyle name="Normal 3 2 6 2 2 2 3" xfId="12850" xr:uid="{00000000-0005-0000-0000-000055320000}"/>
    <cellStyle name="Normal 3 2 6 2 2 3" xfId="12851" xr:uid="{00000000-0005-0000-0000-000056320000}"/>
    <cellStyle name="Normal 3 2 6 2 2 4" xfId="12852" xr:uid="{00000000-0005-0000-0000-000057320000}"/>
    <cellStyle name="Normal 3 2 6 2 3" xfId="12853" xr:uid="{00000000-0005-0000-0000-000058320000}"/>
    <cellStyle name="Normal 3 2 6 2 3 2" xfId="12854" xr:uid="{00000000-0005-0000-0000-000059320000}"/>
    <cellStyle name="Normal 3 2 6 2 3 3" xfId="12855" xr:uid="{00000000-0005-0000-0000-00005A320000}"/>
    <cellStyle name="Normal 3 2 6 2 4" xfId="12856" xr:uid="{00000000-0005-0000-0000-00005B320000}"/>
    <cellStyle name="Normal 3 2 6 2 5" xfId="12857" xr:uid="{00000000-0005-0000-0000-00005C320000}"/>
    <cellStyle name="Normal 3 2 6 3" xfId="12858" xr:uid="{00000000-0005-0000-0000-00005D320000}"/>
    <cellStyle name="Normal 3 2 6 3 2" xfId="12859" xr:uid="{00000000-0005-0000-0000-00005E320000}"/>
    <cellStyle name="Normal 3 2 6 3 2 2" xfId="12860" xr:uid="{00000000-0005-0000-0000-00005F320000}"/>
    <cellStyle name="Normal 3 2 6 3 2 3" xfId="12861" xr:uid="{00000000-0005-0000-0000-000060320000}"/>
    <cellStyle name="Normal 3 2 6 3 3" xfId="12862" xr:uid="{00000000-0005-0000-0000-000061320000}"/>
    <cellStyle name="Normal 3 2 6 3 4" xfId="12863" xr:uid="{00000000-0005-0000-0000-000062320000}"/>
    <cellStyle name="Normal 3 2 6 4" xfId="12864" xr:uid="{00000000-0005-0000-0000-000063320000}"/>
    <cellStyle name="Normal 3 2 6 4 2" xfId="12865" xr:uid="{00000000-0005-0000-0000-000064320000}"/>
    <cellStyle name="Normal 3 2 6 4 3" xfId="12866" xr:uid="{00000000-0005-0000-0000-000065320000}"/>
    <cellStyle name="Normal 3 2 6 5" xfId="12867" xr:uid="{00000000-0005-0000-0000-000066320000}"/>
    <cellStyle name="Normal 3 2 6 6" xfId="12868" xr:uid="{00000000-0005-0000-0000-000067320000}"/>
    <cellStyle name="Normal 3 2 7" xfId="12869" xr:uid="{00000000-0005-0000-0000-000068320000}"/>
    <cellStyle name="Normal 3 20" xfId="12870" xr:uid="{00000000-0005-0000-0000-000069320000}"/>
    <cellStyle name="Normal 3 20 2" xfId="12871" xr:uid="{00000000-0005-0000-0000-00006A320000}"/>
    <cellStyle name="Normal 3 20 2 2" xfId="12872" xr:uid="{00000000-0005-0000-0000-00006B320000}"/>
    <cellStyle name="Normal 3 20 2 2 2" xfId="12873" xr:uid="{00000000-0005-0000-0000-00006C320000}"/>
    <cellStyle name="Normal 3 20 2 2 2 2" xfId="12874" xr:uid="{00000000-0005-0000-0000-00006D320000}"/>
    <cellStyle name="Normal 3 20 2 2 2 3" xfId="12875" xr:uid="{00000000-0005-0000-0000-00006E320000}"/>
    <cellStyle name="Normal 3 20 2 2 3" xfId="12876" xr:uid="{00000000-0005-0000-0000-00006F320000}"/>
    <cellStyle name="Normal 3 20 2 2 4" xfId="12877" xr:uid="{00000000-0005-0000-0000-000070320000}"/>
    <cellStyle name="Normal 3 20 2 3" xfId="12878" xr:uid="{00000000-0005-0000-0000-000071320000}"/>
    <cellStyle name="Normal 3 20 2 3 2" xfId="12879" xr:uid="{00000000-0005-0000-0000-000072320000}"/>
    <cellStyle name="Normal 3 20 2 3 3" xfId="12880" xr:uid="{00000000-0005-0000-0000-000073320000}"/>
    <cellStyle name="Normal 3 20 2 4" xfId="12881" xr:uid="{00000000-0005-0000-0000-000074320000}"/>
    <cellStyle name="Normal 3 20 2 5" xfId="12882" xr:uid="{00000000-0005-0000-0000-000075320000}"/>
    <cellStyle name="Normal 3 20 3" xfId="12883" xr:uid="{00000000-0005-0000-0000-000076320000}"/>
    <cellStyle name="Normal 3 20 3 2" xfId="12884" xr:uid="{00000000-0005-0000-0000-000077320000}"/>
    <cellStyle name="Normal 3 20 3 2 2" xfId="12885" xr:uid="{00000000-0005-0000-0000-000078320000}"/>
    <cellStyle name="Normal 3 20 3 2 3" xfId="12886" xr:uid="{00000000-0005-0000-0000-000079320000}"/>
    <cellStyle name="Normal 3 20 3 3" xfId="12887" xr:uid="{00000000-0005-0000-0000-00007A320000}"/>
    <cellStyle name="Normal 3 20 3 4" xfId="12888" xr:uid="{00000000-0005-0000-0000-00007B320000}"/>
    <cellStyle name="Normal 3 20 4" xfId="12889" xr:uid="{00000000-0005-0000-0000-00007C320000}"/>
    <cellStyle name="Normal 3 20 4 2" xfId="12890" xr:uid="{00000000-0005-0000-0000-00007D320000}"/>
    <cellStyle name="Normal 3 20 4 3" xfId="12891" xr:uid="{00000000-0005-0000-0000-00007E320000}"/>
    <cellStyle name="Normal 3 20 5" xfId="12892" xr:uid="{00000000-0005-0000-0000-00007F320000}"/>
    <cellStyle name="Normal 3 20 6" xfId="12893" xr:uid="{00000000-0005-0000-0000-000080320000}"/>
    <cellStyle name="Normal 3 21" xfId="12894" xr:uid="{00000000-0005-0000-0000-000081320000}"/>
    <cellStyle name="Normal 3 21 2" xfId="12895" xr:uid="{00000000-0005-0000-0000-000082320000}"/>
    <cellStyle name="Normal 3 21 2 2" xfId="12896" xr:uid="{00000000-0005-0000-0000-000083320000}"/>
    <cellStyle name="Normal 3 21 2 2 2" xfId="12897" xr:uid="{00000000-0005-0000-0000-000084320000}"/>
    <cellStyle name="Normal 3 21 2 2 2 2" xfId="12898" xr:uid="{00000000-0005-0000-0000-000085320000}"/>
    <cellStyle name="Normal 3 21 2 2 2 3" xfId="12899" xr:uid="{00000000-0005-0000-0000-000086320000}"/>
    <cellStyle name="Normal 3 21 2 2 3" xfId="12900" xr:uid="{00000000-0005-0000-0000-000087320000}"/>
    <cellStyle name="Normal 3 21 2 2 4" xfId="12901" xr:uid="{00000000-0005-0000-0000-000088320000}"/>
    <cellStyle name="Normal 3 21 2 3" xfId="12902" xr:uid="{00000000-0005-0000-0000-000089320000}"/>
    <cellStyle name="Normal 3 21 2 3 2" xfId="12903" xr:uid="{00000000-0005-0000-0000-00008A320000}"/>
    <cellStyle name="Normal 3 21 2 3 3" xfId="12904" xr:uid="{00000000-0005-0000-0000-00008B320000}"/>
    <cellStyle name="Normal 3 21 2 4" xfId="12905" xr:uid="{00000000-0005-0000-0000-00008C320000}"/>
    <cellStyle name="Normal 3 21 2 5" xfId="12906" xr:uid="{00000000-0005-0000-0000-00008D320000}"/>
    <cellStyle name="Normal 3 21 3" xfId="12907" xr:uid="{00000000-0005-0000-0000-00008E320000}"/>
    <cellStyle name="Normal 3 21 3 2" xfId="12908" xr:uid="{00000000-0005-0000-0000-00008F320000}"/>
    <cellStyle name="Normal 3 21 3 2 2" xfId="12909" xr:uid="{00000000-0005-0000-0000-000090320000}"/>
    <cellStyle name="Normal 3 21 3 2 3" xfId="12910" xr:uid="{00000000-0005-0000-0000-000091320000}"/>
    <cellStyle name="Normal 3 21 3 3" xfId="12911" xr:uid="{00000000-0005-0000-0000-000092320000}"/>
    <cellStyle name="Normal 3 21 3 4" xfId="12912" xr:uid="{00000000-0005-0000-0000-000093320000}"/>
    <cellStyle name="Normal 3 21 4" xfId="12913" xr:uid="{00000000-0005-0000-0000-000094320000}"/>
    <cellStyle name="Normal 3 21 4 2" xfId="12914" xr:uid="{00000000-0005-0000-0000-000095320000}"/>
    <cellStyle name="Normal 3 21 4 3" xfId="12915" xr:uid="{00000000-0005-0000-0000-000096320000}"/>
    <cellStyle name="Normal 3 21 5" xfId="12916" xr:uid="{00000000-0005-0000-0000-000097320000}"/>
    <cellStyle name="Normal 3 21 6" xfId="12917" xr:uid="{00000000-0005-0000-0000-000098320000}"/>
    <cellStyle name="Normal 3 22" xfId="12918" xr:uid="{00000000-0005-0000-0000-000099320000}"/>
    <cellStyle name="Normal 3 22 2" xfId="12919" xr:uid="{00000000-0005-0000-0000-00009A320000}"/>
    <cellStyle name="Normal 3 22 2 2" xfId="12920" xr:uid="{00000000-0005-0000-0000-00009B320000}"/>
    <cellStyle name="Normal 3 22 2 2 2" xfId="12921" xr:uid="{00000000-0005-0000-0000-00009C320000}"/>
    <cellStyle name="Normal 3 22 2 2 2 2" xfId="12922" xr:uid="{00000000-0005-0000-0000-00009D320000}"/>
    <cellStyle name="Normal 3 22 2 2 2 3" xfId="12923" xr:uid="{00000000-0005-0000-0000-00009E320000}"/>
    <cellStyle name="Normal 3 22 2 2 3" xfId="12924" xr:uid="{00000000-0005-0000-0000-00009F320000}"/>
    <cellStyle name="Normal 3 22 2 2 4" xfId="12925" xr:uid="{00000000-0005-0000-0000-0000A0320000}"/>
    <cellStyle name="Normal 3 22 2 3" xfId="12926" xr:uid="{00000000-0005-0000-0000-0000A1320000}"/>
    <cellStyle name="Normal 3 22 2 3 2" xfId="12927" xr:uid="{00000000-0005-0000-0000-0000A2320000}"/>
    <cellStyle name="Normal 3 22 2 3 3" xfId="12928" xr:uid="{00000000-0005-0000-0000-0000A3320000}"/>
    <cellStyle name="Normal 3 22 2 4" xfId="12929" xr:uid="{00000000-0005-0000-0000-0000A4320000}"/>
    <cellStyle name="Normal 3 22 2 5" xfId="12930" xr:uid="{00000000-0005-0000-0000-0000A5320000}"/>
    <cellStyle name="Normal 3 22 3" xfId="12931" xr:uid="{00000000-0005-0000-0000-0000A6320000}"/>
    <cellStyle name="Normal 3 22 3 2" xfId="12932" xr:uid="{00000000-0005-0000-0000-0000A7320000}"/>
    <cellStyle name="Normal 3 22 3 2 2" xfId="12933" xr:uid="{00000000-0005-0000-0000-0000A8320000}"/>
    <cellStyle name="Normal 3 22 3 2 3" xfId="12934" xr:uid="{00000000-0005-0000-0000-0000A9320000}"/>
    <cellStyle name="Normal 3 22 3 3" xfId="12935" xr:uid="{00000000-0005-0000-0000-0000AA320000}"/>
    <cellStyle name="Normal 3 22 3 4" xfId="12936" xr:uid="{00000000-0005-0000-0000-0000AB320000}"/>
    <cellStyle name="Normal 3 22 4" xfId="12937" xr:uid="{00000000-0005-0000-0000-0000AC320000}"/>
    <cellStyle name="Normal 3 22 4 2" xfId="12938" xr:uid="{00000000-0005-0000-0000-0000AD320000}"/>
    <cellStyle name="Normal 3 22 4 3" xfId="12939" xr:uid="{00000000-0005-0000-0000-0000AE320000}"/>
    <cellStyle name="Normal 3 22 5" xfId="12940" xr:uid="{00000000-0005-0000-0000-0000AF320000}"/>
    <cellStyle name="Normal 3 22 6" xfId="12941" xr:uid="{00000000-0005-0000-0000-0000B0320000}"/>
    <cellStyle name="Normal 3 23" xfId="12942" xr:uid="{00000000-0005-0000-0000-0000B1320000}"/>
    <cellStyle name="Normal 3 23 2" xfId="12943" xr:uid="{00000000-0005-0000-0000-0000B2320000}"/>
    <cellStyle name="Normal 3 23 2 2" xfId="12944" xr:uid="{00000000-0005-0000-0000-0000B3320000}"/>
    <cellStyle name="Normal 3 23 2 2 2" xfId="12945" xr:uid="{00000000-0005-0000-0000-0000B4320000}"/>
    <cellStyle name="Normal 3 23 2 2 2 2" xfId="12946" xr:uid="{00000000-0005-0000-0000-0000B5320000}"/>
    <cellStyle name="Normal 3 23 2 2 2 3" xfId="12947" xr:uid="{00000000-0005-0000-0000-0000B6320000}"/>
    <cellStyle name="Normal 3 23 2 2 3" xfId="12948" xr:uid="{00000000-0005-0000-0000-0000B7320000}"/>
    <cellStyle name="Normal 3 23 2 2 4" xfId="12949" xr:uid="{00000000-0005-0000-0000-0000B8320000}"/>
    <cellStyle name="Normal 3 23 2 3" xfId="12950" xr:uid="{00000000-0005-0000-0000-0000B9320000}"/>
    <cellStyle name="Normal 3 23 2 3 2" xfId="12951" xr:uid="{00000000-0005-0000-0000-0000BA320000}"/>
    <cellStyle name="Normal 3 23 2 3 3" xfId="12952" xr:uid="{00000000-0005-0000-0000-0000BB320000}"/>
    <cellStyle name="Normal 3 23 2 4" xfId="12953" xr:uid="{00000000-0005-0000-0000-0000BC320000}"/>
    <cellStyle name="Normal 3 23 2 5" xfId="12954" xr:uid="{00000000-0005-0000-0000-0000BD320000}"/>
    <cellStyle name="Normal 3 23 3" xfId="12955" xr:uid="{00000000-0005-0000-0000-0000BE320000}"/>
    <cellStyle name="Normal 3 23 3 2" xfId="12956" xr:uid="{00000000-0005-0000-0000-0000BF320000}"/>
    <cellStyle name="Normal 3 23 3 2 2" xfId="12957" xr:uid="{00000000-0005-0000-0000-0000C0320000}"/>
    <cellStyle name="Normal 3 23 3 2 3" xfId="12958" xr:uid="{00000000-0005-0000-0000-0000C1320000}"/>
    <cellStyle name="Normal 3 23 3 3" xfId="12959" xr:uid="{00000000-0005-0000-0000-0000C2320000}"/>
    <cellStyle name="Normal 3 23 3 4" xfId="12960" xr:uid="{00000000-0005-0000-0000-0000C3320000}"/>
    <cellStyle name="Normal 3 23 4" xfId="12961" xr:uid="{00000000-0005-0000-0000-0000C4320000}"/>
    <cellStyle name="Normal 3 23 4 2" xfId="12962" xr:uid="{00000000-0005-0000-0000-0000C5320000}"/>
    <cellStyle name="Normal 3 23 4 3" xfId="12963" xr:uid="{00000000-0005-0000-0000-0000C6320000}"/>
    <cellStyle name="Normal 3 23 5" xfId="12964" xr:uid="{00000000-0005-0000-0000-0000C7320000}"/>
    <cellStyle name="Normal 3 23 6" xfId="12965" xr:uid="{00000000-0005-0000-0000-0000C8320000}"/>
    <cellStyle name="Normal 3 24" xfId="12966" xr:uid="{00000000-0005-0000-0000-0000C9320000}"/>
    <cellStyle name="Normal 3 24 2" xfId="12967" xr:uid="{00000000-0005-0000-0000-0000CA320000}"/>
    <cellStyle name="Normal 3 24 2 2" xfId="12968" xr:uid="{00000000-0005-0000-0000-0000CB320000}"/>
    <cellStyle name="Normal 3 24 2 2 2" xfId="12969" xr:uid="{00000000-0005-0000-0000-0000CC320000}"/>
    <cellStyle name="Normal 3 24 2 2 2 2" xfId="12970" xr:uid="{00000000-0005-0000-0000-0000CD320000}"/>
    <cellStyle name="Normal 3 24 2 2 2 3" xfId="12971" xr:uid="{00000000-0005-0000-0000-0000CE320000}"/>
    <cellStyle name="Normal 3 24 2 2 3" xfId="12972" xr:uid="{00000000-0005-0000-0000-0000CF320000}"/>
    <cellStyle name="Normal 3 24 2 2 4" xfId="12973" xr:uid="{00000000-0005-0000-0000-0000D0320000}"/>
    <cellStyle name="Normal 3 24 2 3" xfId="12974" xr:uid="{00000000-0005-0000-0000-0000D1320000}"/>
    <cellStyle name="Normal 3 24 2 3 2" xfId="12975" xr:uid="{00000000-0005-0000-0000-0000D2320000}"/>
    <cellStyle name="Normal 3 24 2 3 3" xfId="12976" xr:uid="{00000000-0005-0000-0000-0000D3320000}"/>
    <cellStyle name="Normal 3 24 2 4" xfId="12977" xr:uid="{00000000-0005-0000-0000-0000D4320000}"/>
    <cellStyle name="Normal 3 24 2 5" xfId="12978" xr:uid="{00000000-0005-0000-0000-0000D5320000}"/>
    <cellStyle name="Normal 3 24 3" xfId="12979" xr:uid="{00000000-0005-0000-0000-0000D6320000}"/>
    <cellStyle name="Normal 3 24 3 2" xfId="12980" xr:uid="{00000000-0005-0000-0000-0000D7320000}"/>
    <cellStyle name="Normal 3 24 3 2 2" xfId="12981" xr:uid="{00000000-0005-0000-0000-0000D8320000}"/>
    <cellStyle name="Normal 3 24 3 2 3" xfId="12982" xr:uid="{00000000-0005-0000-0000-0000D9320000}"/>
    <cellStyle name="Normal 3 24 3 3" xfId="12983" xr:uid="{00000000-0005-0000-0000-0000DA320000}"/>
    <cellStyle name="Normal 3 24 3 4" xfId="12984" xr:uid="{00000000-0005-0000-0000-0000DB320000}"/>
    <cellStyle name="Normal 3 24 4" xfId="12985" xr:uid="{00000000-0005-0000-0000-0000DC320000}"/>
    <cellStyle name="Normal 3 24 4 2" xfId="12986" xr:uid="{00000000-0005-0000-0000-0000DD320000}"/>
    <cellStyle name="Normal 3 24 4 3" xfId="12987" xr:uid="{00000000-0005-0000-0000-0000DE320000}"/>
    <cellStyle name="Normal 3 24 5" xfId="12988" xr:uid="{00000000-0005-0000-0000-0000DF320000}"/>
    <cellStyle name="Normal 3 24 6" xfId="12989" xr:uid="{00000000-0005-0000-0000-0000E0320000}"/>
    <cellStyle name="Normal 3 25" xfId="12990" xr:uid="{00000000-0005-0000-0000-0000E1320000}"/>
    <cellStyle name="Normal 3 26" xfId="12991" xr:uid="{00000000-0005-0000-0000-0000E2320000}"/>
    <cellStyle name="Normal 3 26 2" xfId="12992" xr:uid="{00000000-0005-0000-0000-0000E3320000}"/>
    <cellStyle name="Normal 3 26 3" xfId="12993" xr:uid="{00000000-0005-0000-0000-0000E4320000}"/>
    <cellStyle name="Normal 3 26 4" xfId="12994" xr:uid="{00000000-0005-0000-0000-0000E5320000}"/>
    <cellStyle name="Normal 3 27" xfId="12995" xr:uid="{00000000-0005-0000-0000-0000E6320000}"/>
    <cellStyle name="Normal 3 28" xfId="12996" xr:uid="{00000000-0005-0000-0000-0000E7320000}"/>
    <cellStyle name="Normal 3 29" xfId="12997" xr:uid="{00000000-0005-0000-0000-0000E8320000}"/>
    <cellStyle name="Normal 3 3" xfId="12998" xr:uid="{00000000-0005-0000-0000-0000E9320000}"/>
    <cellStyle name="Normal 3 3 10" xfId="12999" xr:uid="{00000000-0005-0000-0000-0000EA320000}"/>
    <cellStyle name="Normal 3 3 2" xfId="13000" xr:uid="{00000000-0005-0000-0000-0000EB320000}"/>
    <cellStyle name="Normal 3 3 2 2" xfId="13001" xr:uid="{00000000-0005-0000-0000-0000EC320000}"/>
    <cellStyle name="Normal 3 3 2 2 2" xfId="13002" xr:uid="{00000000-0005-0000-0000-0000ED320000}"/>
    <cellStyle name="Normal 3 3 2 2 2 2" xfId="13003" xr:uid="{00000000-0005-0000-0000-0000EE320000}"/>
    <cellStyle name="Normal 3 3 2 2 2 2 2" xfId="13004" xr:uid="{00000000-0005-0000-0000-0000EF320000}"/>
    <cellStyle name="Normal 3 3 2 2 2 2 3" xfId="13005" xr:uid="{00000000-0005-0000-0000-0000F0320000}"/>
    <cellStyle name="Normal 3 3 2 2 2 3" xfId="13006" xr:uid="{00000000-0005-0000-0000-0000F1320000}"/>
    <cellStyle name="Normal 3 3 2 2 2 4" xfId="13007" xr:uid="{00000000-0005-0000-0000-0000F2320000}"/>
    <cellStyle name="Normal 3 3 2 2 3" xfId="13008" xr:uid="{00000000-0005-0000-0000-0000F3320000}"/>
    <cellStyle name="Normal 3 3 2 2 3 2" xfId="13009" xr:uid="{00000000-0005-0000-0000-0000F4320000}"/>
    <cellStyle name="Normal 3 3 2 2 3 3" xfId="13010" xr:uid="{00000000-0005-0000-0000-0000F5320000}"/>
    <cellStyle name="Normal 3 3 2 2 4" xfId="13011" xr:uid="{00000000-0005-0000-0000-0000F6320000}"/>
    <cellStyle name="Normal 3 3 2 2 5" xfId="13012" xr:uid="{00000000-0005-0000-0000-0000F7320000}"/>
    <cellStyle name="Normal 3 3 2 3" xfId="13013" xr:uid="{00000000-0005-0000-0000-0000F8320000}"/>
    <cellStyle name="Normal 3 3 2 3 2" xfId="13014" xr:uid="{00000000-0005-0000-0000-0000F9320000}"/>
    <cellStyle name="Normal 3 3 2 3 2 2" xfId="13015" xr:uid="{00000000-0005-0000-0000-0000FA320000}"/>
    <cellStyle name="Normal 3 3 2 3 2 3" xfId="13016" xr:uid="{00000000-0005-0000-0000-0000FB320000}"/>
    <cellStyle name="Normal 3 3 2 3 3" xfId="13017" xr:uid="{00000000-0005-0000-0000-0000FC320000}"/>
    <cellStyle name="Normal 3 3 2 3 4" xfId="13018" xr:uid="{00000000-0005-0000-0000-0000FD320000}"/>
    <cellStyle name="Normal 3 3 2 4" xfId="13019" xr:uid="{00000000-0005-0000-0000-0000FE320000}"/>
    <cellStyle name="Normal 3 3 2 4 2" xfId="13020" xr:uid="{00000000-0005-0000-0000-0000FF320000}"/>
    <cellStyle name="Normal 3 3 2 4 3" xfId="13021" xr:uid="{00000000-0005-0000-0000-000000330000}"/>
    <cellStyle name="Normal 3 3 2 5" xfId="13022" xr:uid="{00000000-0005-0000-0000-000001330000}"/>
    <cellStyle name="Normal 3 3 2 6" xfId="13023" xr:uid="{00000000-0005-0000-0000-000002330000}"/>
    <cellStyle name="Normal 3 3 3" xfId="13024" xr:uid="{00000000-0005-0000-0000-000003330000}"/>
    <cellStyle name="Normal 3 3 3 2" xfId="13025" xr:uid="{00000000-0005-0000-0000-000004330000}"/>
    <cellStyle name="Normal 3 3 3 2 2" xfId="13026" xr:uid="{00000000-0005-0000-0000-000005330000}"/>
    <cellStyle name="Normal 3 3 3 2 2 2" xfId="13027" xr:uid="{00000000-0005-0000-0000-000006330000}"/>
    <cellStyle name="Normal 3 3 3 2 2 2 2" xfId="13028" xr:uid="{00000000-0005-0000-0000-000007330000}"/>
    <cellStyle name="Normal 3 3 3 2 2 2 3" xfId="13029" xr:uid="{00000000-0005-0000-0000-000008330000}"/>
    <cellStyle name="Normal 3 3 3 2 2 3" xfId="13030" xr:uid="{00000000-0005-0000-0000-000009330000}"/>
    <cellStyle name="Normal 3 3 3 2 2 4" xfId="13031" xr:uid="{00000000-0005-0000-0000-00000A330000}"/>
    <cellStyle name="Normal 3 3 3 2 3" xfId="13032" xr:uid="{00000000-0005-0000-0000-00000B330000}"/>
    <cellStyle name="Normal 3 3 3 2 3 2" xfId="13033" xr:uid="{00000000-0005-0000-0000-00000C330000}"/>
    <cellStyle name="Normal 3 3 3 2 3 3" xfId="13034" xr:uid="{00000000-0005-0000-0000-00000D330000}"/>
    <cellStyle name="Normal 3 3 3 2 4" xfId="13035" xr:uid="{00000000-0005-0000-0000-00000E330000}"/>
    <cellStyle name="Normal 3 3 3 2 5" xfId="13036" xr:uid="{00000000-0005-0000-0000-00000F330000}"/>
    <cellStyle name="Normal 3 3 3 3" xfId="13037" xr:uid="{00000000-0005-0000-0000-000010330000}"/>
    <cellStyle name="Normal 3 3 3 3 2" xfId="13038" xr:uid="{00000000-0005-0000-0000-000011330000}"/>
    <cellStyle name="Normal 3 3 3 3 2 2" xfId="13039" xr:uid="{00000000-0005-0000-0000-000012330000}"/>
    <cellStyle name="Normal 3 3 3 3 2 3" xfId="13040" xr:uid="{00000000-0005-0000-0000-000013330000}"/>
    <cellStyle name="Normal 3 3 3 3 3" xfId="13041" xr:uid="{00000000-0005-0000-0000-000014330000}"/>
    <cellStyle name="Normal 3 3 3 3 4" xfId="13042" xr:uid="{00000000-0005-0000-0000-000015330000}"/>
    <cellStyle name="Normal 3 3 3 4" xfId="13043" xr:uid="{00000000-0005-0000-0000-000016330000}"/>
    <cellStyle name="Normal 3 3 3 4 2" xfId="13044" xr:uid="{00000000-0005-0000-0000-000017330000}"/>
    <cellStyle name="Normal 3 3 3 4 3" xfId="13045" xr:uid="{00000000-0005-0000-0000-000018330000}"/>
    <cellStyle name="Normal 3 3 3 5" xfId="13046" xr:uid="{00000000-0005-0000-0000-000019330000}"/>
    <cellStyle name="Normal 3 3 3 6" xfId="13047" xr:uid="{00000000-0005-0000-0000-00001A330000}"/>
    <cellStyle name="Normal 3 3 4" xfId="13048" xr:uid="{00000000-0005-0000-0000-00001B330000}"/>
    <cellStyle name="Normal 3 3 5" xfId="13049" xr:uid="{00000000-0005-0000-0000-00001C330000}"/>
    <cellStyle name="Normal 3 3 5 2" xfId="13050" xr:uid="{00000000-0005-0000-0000-00001D330000}"/>
    <cellStyle name="Normal 3 3 5 2 2" xfId="13051" xr:uid="{00000000-0005-0000-0000-00001E330000}"/>
    <cellStyle name="Normal 3 3 5 2 2 2" xfId="13052" xr:uid="{00000000-0005-0000-0000-00001F330000}"/>
    <cellStyle name="Normal 3 3 5 2 2 3" xfId="13053" xr:uid="{00000000-0005-0000-0000-000020330000}"/>
    <cellStyle name="Normal 3 3 5 2 3" xfId="13054" xr:uid="{00000000-0005-0000-0000-000021330000}"/>
    <cellStyle name="Normal 3 3 5 2 4" xfId="13055" xr:uid="{00000000-0005-0000-0000-000022330000}"/>
    <cellStyle name="Normal 3 3 5 3" xfId="13056" xr:uid="{00000000-0005-0000-0000-000023330000}"/>
    <cellStyle name="Normal 3 3 5 3 2" xfId="13057" xr:uid="{00000000-0005-0000-0000-000024330000}"/>
    <cellStyle name="Normal 3 3 5 3 3" xfId="13058" xr:uid="{00000000-0005-0000-0000-000025330000}"/>
    <cellStyle name="Normal 3 3 5 4" xfId="13059" xr:uid="{00000000-0005-0000-0000-000026330000}"/>
    <cellStyle name="Normal 3 3 5 5" xfId="13060" xr:uid="{00000000-0005-0000-0000-000027330000}"/>
    <cellStyle name="Normal 3 3 6" xfId="13061" xr:uid="{00000000-0005-0000-0000-000028330000}"/>
    <cellStyle name="Normal 3 3 6 2" xfId="13062" xr:uid="{00000000-0005-0000-0000-000029330000}"/>
    <cellStyle name="Normal 3 3 6 2 2" xfId="13063" xr:uid="{00000000-0005-0000-0000-00002A330000}"/>
    <cellStyle name="Normal 3 3 6 2 3" xfId="13064" xr:uid="{00000000-0005-0000-0000-00002B330000}"/>
    <cellStyle name="Normal 3 3 6 3" xfId="13065" xr:uid="{00000000-0005-0000-0000-00002C330000}"/>
    <cellStyle name="Normal 3 3 6 4" xfId="13066" xr:uid="{00000000-0005-0000-0000-00002D330000}"/>
    <cellStyle name="Normal 3 3 7" xfId="13067" xr:uid="{00000000-0005-0000-0000-00002E330000}"/>
    <cellStyle name="Normal 3 3 7 2" xfId="13068" xr:uid="{00000000-0005-0000-0000-00002F330000}"/>
    <cellStyle name="Normal 3 3 7 3" xfId="13069" xr:uid="{00000000-0005-0000-0000-000030330000}"/>
    <cellStyle name="Normal 3 3 8" xfId="13070" xr:uid="{00000000-0005-0000-0000-000031330000}"/>
    <cellStyle name="Normal 3 3 9" xfId="13071" xr:uid="{00000000-0005-0000-0000-000032330000}"/>
    <cellStyle name="Normal 3 30" xfId="13072" xr:uid="{00000000-0005-0000-0000-000033330000}"/>
    <cellStyle name="Normal 3 31" xfId="13073" xr:uid="{00000000-0005-0000-0000-000034330000}"/>
    <cellStyle name="Normal 3 32" xfId="13074" xr:uid="{00000000-0005-0000-0000-000035330000}"/>
    <cellStyle name="Normal 3 33" xfId="13075" xr:uid="{00000000-0005-0000-0000-000036330000}"/>
    <cellStyle name="Normal 3 34" xfId="13076" xr:uid="{00000000-0005-0000-0000-000037330000}"/>
    <cellStyle name="Normal 3 35" xfId="13077" xr:uid="{00000000-0005-0000-0000-000038330000}"/>
    <cellStyle name="Normal 3 36" xfId="13078" xr:uid="{00000000-0005-0000-0000-000039330000}"/>
    <cellStyle name="Normal 3 37" xfId="13079" xr:uid="{00000000-0005-0000-0000-00003A330000}"/>
    <cellStyle name="Normal 3 38" xfId="13080" xr:uid="{00000000-0005-0000-0000-00003B330000}"/>
    <cellStyle name="Normal 3 39" xfId="13081" xr:uid="{00000000-0005-0000-0000-00003C330000}"/>
    <cellStyle name="Normal 3 4" xfId="13082" xr:uid="{00000000-0005-0000-0000-00003D330000}"/>
    <cellStyle name="Normal 3 4 2" xfId="13083" xr:uid="{00000000-0005-0000-0000-00003E330000}"/>
    <cellStyle name="Normal 3 4 2 2" xfId="13084" xr:uid="{00000000-0005-0000-0000-00003F330000}"/>
    <cellStyle name="Normal 3 4 2 2 2" xfId="13085" xr:uid="{00000000-0005-0000-0000-000040330000}"/>
    <cellStyle name="Normal 3 4 2 2 2 2" xfId="13086" xr:uid="{00000000-0005-0000-0000-000041330000}"/>
    <cellStyle name="Normal 3 4 2 2 2 2 2" xfId="13087" xr:uid="{00000000-0005-0000-0000-000042330000}"/>
    <cellStyle name="Normal 3 4 2 2 2 2 3" xfId="13088" xr:uid="{00000000-0005-0000-0000-000043330000}"/>
    <cellStyle name="Normal 3 4 2 2 2 3" xfId="13089" xr:uid="{00000000-0005-0000-0000-000044330000}"/>
    <cellStyle name="Normal 3 4 2 2 2 4" xfId="13090" xr:uid="{00000000-0005-0000-0000-000045330000}"/>
    <cellStyle name="Normal 3 4 2 2 3" xfId="13091" xr:uid="{00000000-0005-0000-0000-000046330000}"/>
    <cellStyle name="Normal 3 4 2 2 3 2" xfId="13092" xr:uid="{00000000-0005-0000-0000-000047330000}"/>
    <cellStyle name="Normal 3 4 2 2 3 3" xfId="13093" xr:uid="{00000000-0005-0000-0000-000048330000}"/>
    <cellStyle name="Normal 3 4 2 2 4" xfId="13094" xr:uid="{00000000-0005-0000-0000-000049330000}"/>
    <cellStyle name="Normal 3 4 2 2 5" xfId="13095" xr:uid="{00000000-0005-0000-0000-00004A330000}"/>
    <cellStyle name="Normal 3 4 2 3" xfId="13096" xr:uid="{00000000-0005-0000-0000-00004B330000}"/>
    <cellStyle name="Normal 3 4 2 3 2" xfId="13097" xr:uid="{00000000-0005-0000-0000-00004C330000}"/>
    <cellStyle name="Normal 3 4 2 3 2 2" xfId="13098" xr:uid="{00000000-0005-0000-0000-00004D330000}"/>
    <cellStyle name="Normal 3 4 2 3 2 3" xfId="13099" xr:uid="{00000000-0005-0000-0000-00004E330000}"/>
    <cellStyle name="Normal 3 4 2 3 3" xfId="13100" xr:uid="{00000000-0005-0000-0000-00004F330000}"/>
    <cellStyle name="Normal 3 4 2 3 4" xfId="13101" xr:uid="{00000000-0005-0000-0000-000050330000}"/>
    <cellStyle name="Normal 3 4 2 4" xfId="13102" xr:uid="{00000000-0005-0000-0000-000051330000}"/>
    <cellStyle name="Normal 3 4 2 4 2" xfId="13103" xr:uid="{00000000-0005-0000-0000-000052330000}"/>
    <cellStyle name="Normal 3 4 2 4 3" xfId="13104" xr:uid="{00000000-0005-0000-0000-000053330000}"/>
    <cellStyle name="Normal 3 4 2 5" xfId="13105" xr:uid="{00000000-0005-0000-0000-000054330000}"/>
    <cellStyle name="Normal 3 4 2 6" xfId="13106" xr:uid="{00000000-0005-0000-0000-000055330000}"/>
    <cellStyle name="Normal 3 4 3" xfId="13107" xr:uid="{00000000-0005-0000-0000-000056330000}"/>
    <cellStyle name="Normal 3 4 3 2" xfId="13108" xr:uid="{00000000-0005-0000-0000-000057330000}"/>
    <cellStyle name="Normal 3 4 3 2 2" xfId="13109" xr:uid="{00000000-0005-0000-0000-000058330000}"/>
    <cellStyle name="Normal 3 4 3 2 2 2" xfId="13110" xr:uid="{00000000-0005-0000-0000-000059330000}"/>
    <cellStyle name="Normal 3 4 3 2 2 3" xfId="13111" xr:uid="{00000000-0005-0000-0000-00005A330000}"/>
    <cellStyle name="Normal 3 4 3 2 3" xfId="13112" xr:uid="{00000000-0005-0000-0000-00005B330000}"/>
    <cellStyle name="Normal 3 4 3 2 4" xfId="13113" xr:uid="{00000000-0005-0000-0000-00005C330000}"/>
    <cellStyle name="Normal 3 4 3 3" xfId="13114" xr:uid="{00000000-0005-0000-0000-00005D330000}"/>
    <cellStyle name="Normal 3 4 3 3 2" xfId="13115" xr:uid="{00000000-0005-0000-0000-00005E330000}"/>
    <cellStyle name="Normal 3 4 3 3 3" xfId="13116" xr:uid="{00000000-0005-0000-0000-00005F330000}"/>
    <cellStyle name="Normal 3 4 3 4" xfId="13117" xr:uid="{00000000-0005-0000-0000-000060330000}"/>
    <cellStyle name="Normal 3 4 3 5" xfId="13118" xr:uid="{00000000-0005-0000-0000-000061330000}"/>
    <cellStyle name="Normal 3 4 4" xfId="13119" xr:uid="{00000000-0005-0000-0000-000062330000}"/>
    <cellStyle name="Normal 3 4 4 2" xfId="13120" xr:uid="{00000000-0005-0000-0000-000063330000}"/>
    <cellStyle name="Normal 3 4 4 2 2" xfId="13121" xr:uid="{00000000-0005-0000-0000-000064330000}"/>
    <cellStyle name="Normal 3 4 4 2 3" xfId="13122" xr:uid="{00000000-0005-0000-0000-000065330000}"/>
    <cellStyle name="Normal 3 4 4 3" xfId="13123" xr:uid="{00000000-0005-0000-0000-000066330000}"/>
    <cellStyle name="Normal 3 4 4 4" xfId="13124" xr:uid="{00000000-0005-0000-0000-000067330000}"/>
    <cellStyle name="Normal 3 4 5" xfId="13125" xr:uid="{00000000-0005-0000-0000-000068330000}"/>
    <cellStyle name="Normal 3 4 5 2" xfId="13126" xr:uid="{00000000-0005-0000-0000-000069330000}"/>
    <cellStyle name="Normal 3 4 5 3" xfId="13127" xr:uid="{00000000-0005-0000-0000-00006A330000}"/>
    <cellStyle name="Normal 3 4 6" xfId="13128" xr:uid="{00000000-0005-0000-0000-00006B330000}"/>
    <cellStyle name="Normal 3 4 7" xfId="13129" xr:uid="{00000000-0005-0000-0000-00006C330000}"/>
    <cellStyle name="Normal 3 40" xfId="21849" xr:uid="{00000000-0005-0000-0000-00006D330000}"/>
    <cellStyle name="Normal 3 5" xfId="13130" xr:uid="{00000000-0005-0000-0000-00006E330000}"/>
    <cellStyle name="Normal 3 5 2" xfId="13131" xr:uid="{00000000-0005-0000-0000-00006F330000}"/>
    <cellStyle name="Normal 3 5 2 2" xfId="13132" xr:uid="{00000000-0005-0000-0000-000070330000}"/>
    <cellStyle name="Normal 3 5 2 2 2" xfId="13133" xr:uid="{00000000-0005-0000-0000-000071330000}"/>
    <cellStyle name="Normal 3 5 2 2 2 2" xfId="13134" xr:uid="{00000000-0005-0000-0000-000072330000}"/>
    <cellStyle name="Normal 3 5 2 2 2 2 2" xfId="13135" xr:uid="{00000000-0005-0000-0000-000073330000}"/>
    <cellStyle name="Normal 3 5 2 2 2 2 3" xfId="13136" xr:uid="{00000000-0005-0000-0000-000074330000}"/>
    <cellStyle name="Normal 3 5 2 2 2 3" xfId="13137" xr:uid="{00000000-0005-0000-0000-000075330000}"/>
    <cellStyle name="Normal 3 5 2 2 2 4" xfId="13138" xr:uid="{00000000-0005-0000-0000-000076330000}"/>
    <cellStyle name="Normal 3 5 2 2 3" xfId="13139" xr:uid="{00000000-0005-0000-0000-000077330000}"/>
    <cellStyle name="Normal 3 5 2 2 3 2" xfId="13140" xr:uid="{00000000-0005-0000-0000-000078330000}"/>
    <cellStyle name="Normal 3 5 2 2 3 3" xfId="13141" xr:uid="{00000000-0005-0000-0000-000079330000}"/>
    <cellStyle name="Normal 3 5 2 2 4" xfId="13142" xr:uid="{00000000-0005-0000-0000-00007A330000}"/>
    <cellStyle name="Normal 3 5 2 2 5" xfId="13143" xr:uid="{00000000-0005-0000-0000-00007B330000}"/>
    <cellStyle name="Normal 3 5 2 3" xfId="13144" xr:uid="{00000000-0005-0000-0000-00007C330000}"/>
    <cellStyle name="Normal 3 5 2 3 2" xfId="13145" xr:uid="{00000000-0005-0000-0000-00007D330000}"/>
    <cellStyle name="Normal 3 5 2 3 2 2" xfId="13146" xr:uid="{00000000-0005-0000-0000-00007E330000}"/>
    <cellStyle name="Normal 3 5 2 3 2 3" xfId="13147" xr:uid="{00000000-0005-0000-0000-00007F330000}"/>
    <cellStyle name="Normal 3 5 2 3 3" xfId="13148" xr:uid="{00000000-0005-0000-0000-000080330000}"/>
    <cellStyle name="Normal 3 5 2 3 4" xfId="13149" xr:uid="{00000000-0005-0000-0000-000081330000}"/>
    <cellStyle name="Normal 3 5 2 4" xfId="13150" xr:uid="{00000000-0005-0000-0000-000082330000}"/>
    <cellStyle name="Normal 3 5 2 4 2" xfId="13151" xr:uid="{00000000-0005-0000-0000-000083330000}"/>
    <cellStyle name="Normal 3 5 2 4 3" xfId="13152" xr:uid="{00000000-0005-0000-0000-000084330000}"/>
    <cellStyle name="Normal 3 5 2 5" xfId="13153" xr:uid="{00000000-0005-0000-0000-000085330000}"/>
    <cellStyle name="Normal 3 5 2 6" xfId="13154" xr:uid="{00000000-0005-0000-0000-000086330000}"/>
    <cellStyle name="Normal 3 5 3" xfId="13155" xr:uid="{00000000-0005-0000-0000-000087330000}"/>
    <cellStyle name="Normal 3 5 3 2" xfId="13156" xr:uid="{00000000-0005-0000-0000-000088330000}"/>
    <cellStyle name="Normal 3 5 3 2 2" xfId="13157" xr:uid="{00000000-0005-0000-0000-000089330000}"/>
    <cellStyle name="Normal 3 5 3 2 2 2" xfId="13158" xr:uid="{00000000-0005-0000-0000-00008A330000}"/>
    <cellStyle name="Normal 3 5 3 2 2 3" xfId="13159" xr:uid="{00000000-0005-0000-0000-00008B330000}"/>
    <cellStyle name="Normal 3 5 3 2 3" xfId="13160" xr:uid="{00000000-0005-0000-0000-00008C330000}"/>
    <cellStyle name="Normal 3 5 3 2 4" xfId="13161" xr:uid="{00000000-0005-0000-0000-00008D330000}"/>
    <cellStyle name="Normal 3 5 3 3" xfId="13162" xr:uid="{00000000-0005-0000-0000-00008E330000}"/>
    <cellStyle name="Normal 3 5 3 3 2" xfId="13163" xr:uid="{00000000-0005-0000-0000-00008F330000}"/>
    <cellStyle name="Normal 3 5 3 3 3" xfId="13164" xr:uid="{00000000-0005-0000-0000-000090330000}"/>
    <cellStyle name="Normal 3 5 3 4" xfId="13165" xr:uid="{00000000-0005-0000-0000-000091330000}"/>
    <cellStyle name="Normal 3 5 3 5" xfId="13166" xr:uid="{00000000-0005-0000-0000-000092330000}"/>
    <cellStyle name="Normal 3 5 4" xfId="13167" xr:uid="{00000000-0005-0000-0000-000093330000}"/>
    <cellStyle name="Normal 3 5 4 2" xfId="13168" xr:uid="{00000000-0005-0000-0000-000094330000}"/>
    <cellStyle name="Normal 3 5 4 2 2" xfId="13169" xr:uid="{00000000-0005-0000-0000-000095330000}"/>
    <cellStyle name="Normal 3 5 4 2 3" xfId="13170" xr:uid="{00000000-0005-0000-0000-000096330000}"/>
    <cellStyle name="Normal 3 5 4 3" xfId="13171" xr:uid="{00000000-0005-0000-0000-000097330000}"/>
    <cellStyle name="Normal 3 5 4 4" xfId="13172" xr:uid="{00000000-0005-0000-0000-000098330000}"/>
    <cellStyle name="Normal 3 5 5" xfId="13173" xr:uid="{00000000-0005-0000-0000-000099330000}"/>
    <cellStyle name="Normal 3 5 5 2" xfId="13174" xr:uid="{00000000-0005-0000-0000-00009A330000}"/>
    <cellStyle name="Normal 3 5 5 3" xfId="13175" xr:uid="{00000000-0005-0000-0000-00009B330000}"/>
    <cellStyle name="Normal 3 5 6" xfId="13176" xr:uid="{00000000-0005-0000-0000-00009C330000}"/>
    <cellStyle name="Normal 3 5 7" xfId="13177" xr:uid="{00000000-0005-0000-0000-00009D330000}"/>
    <cellStyle name="Normal 3 6" xfId="13178" xr:uid="{00000000-0005-0000-0000-00009E330000}"/>
    <cellStyle name="Normal 3 6 2" xfId="13179" xr:uid="{00000000-0005-0000-0000-00009F330000}"/>
    <cellStyle name="Normal 3 6 2 2" xfId="13180" xr:uid="{00000000-0005-0000-0000-0000A0330000}"/>
    <cellStyle name="Normal 3 6 2 2 2" xfId="13181" xr:uid="{00000000-0005-0000-0000-0000A1330000}"/>
    <cellStyle name="Normal 3 6 2 2 2 2" xfId="13182" xr:uid="{00000000-0005-0000-0000-0000A2330000}"/>
    <cellStyle name="Normal 3 6 2 2 2 3" xfId="13183" xr:uid="{00000000-0005-0000-0000-0000A3330000}"/>
    <cellStyle name="Normal 3 6 2 2 3" xfId="13184" xr:uid="{00000000-0005-0000-0000-0000A4330000}"/>
    <cellStyle name="Normal 3 6 2 2 4" xfId="13185" xr:uid="{00000000-0005-0000-0000-0000A5330000}"/>
    <cellStyle name="Normal 3 6 2 3" xfId="13186" xr:uid="{00000000-0005-0000-0000-0000A6330000}"/>
    <cellStyle name="Normal 3 6 2 3 2" xfId="13187" xr:uid="{00000000-0005-0000-0000-0000A7330000}"/>
    <cellStyle name="Normal 3 6 2 3 3" xfId="13188" xr:uid="{00000000-0005-0000-0000-0000A8330000}"/>
    <cellStyle name="Normal 3 6 2 4" xfId="13189" xr:uid="{00000000-0005-0000-0000-0000A9330000}"/>
    <cellStyle name="Normal 3 6 2 5" xfId="13190" xr:uid="{00000000-0005-0000-0000-0000AA330000}"/>
    <cellStyle name="Normal 3 6 3" xfId="13191" xr:uid="{00000000-0005-0000-0000-0000AB330000}"/>
    <cellStyle name="Normal 3 6 3 2" xfId="13192" xr:uid="{00000000-0005-0000-0000-0000AC330000}"/>
    <cellStyle name="Normal 3 6 3 2 2" xfId="13193" xr:uid="{00000000-0005-0000-0000-0000AD330000}"/>
    <cellStyle name="Normal 3 6 3 2 3" xfId="13194" xr:uid="{00000000-0005-0000-0000-0000AE330000}"/>
    <cellStyle name="Normal 3 6 3 3" xfId="13195" xr:uid="{00000000-0005-0000-0000-0000AF330000}"/>
    <cellStyle name="Normal 3 6 3 4" xfId="13196" xr:uid="{00000000-0005-0000-0000-0000B0330000}"/>
    <cellStyle name="Normal 3 6 4" xfId="13197" xr:uid="{00000000-0005-0000-0000-0000B1330000}"/>
    <cellStyle name="Normal 3 6 4 2" xfId="13198" xr:uid="{00000000-0005-0000-0000-0000B2330000}"/>
    <cellStyle name="Normal 3 6 4 3" xfId="13199" xr:uid="{00000000-0005-0000-0000-0000B3330000}"/>
    <cellStyle name="Normal 3 6 5" xfId="13200" xr:uid="{00000000-0005-0000-0000-0000B4330000}"/>
    <cellStyle name="Normal 3 6 6" xfId="13201" xr:uid="{00000000-0005-0000-0000-0000B5330000}"/>
    <cellStyle name="Normal 3 7" xfId="13202" xr:uid="{00000000-0005-0000-0000-0000B6330000}"/>
    <cellStyle name="Normal 3 7 2" xfId="13203" xr:uid="{00000000-0005-0000-0000-0000B7330000}"/>
    <cellStyle name="Normal 3 7 2 2" xfId="13204" xr:uid="{00000000-0005-0000-0000-0000B8330000}"/>
    <cellStyle name="Normal 3 7 2 2 2" xfId="13205" xr:uid="{00000000-0005-0000-0000-0000B9330000}"/>
    <cellStyle name="Normal 3 7 2 2 2 2" xfId="13206" xr:uid="{00000000-0005-0000-0000-0000BA330000}"/>
    <cellStyle name="Normal 3 7 2 2 2 3" xfId="13207" xr:uid="{00000000-0005-0000-0000-0000BB330000}"/>
    <cellStyle name="Normal 3 7 2 2 3" xfId="13208" xr:uid="{00000000-0005-0000-0000-0000BC330000}"/>
    <cellStyle name="Normal 3 7 2 2 4" xfId="13209" xr:uid="{00000000-0005-0000-0000-0000BD330000}"/>
    <cellStyle name="Normal 3 7 2 3" xfId="13210" xr:uid="{00000000-0005-0000-0000-0000BE330000}"/>
    <cellStyle name="Normal 3 7 2 3 2" xfId="13211" xr:uid="{00000000-0005-0000-0000-0000BF330000}"/>
    <cellStyle name="Normal 3 7 2 3 3" xfId="13212" xr:uid="{00000000-0005-0000-0000-0000C0330000}"/>
    <cellStyle name="Normal 3 7 2 4" xfId="13213" xr:uid="{00000000-0005-0000-0000-0000C1330000}"/>
    <cellStyle name="Normal 3 7 2 5" xfId="13214" xr:uid="{00000000-0005-0000-0000-0000C2330000}"/>
    <cellStyle name="Normal 3 7 3" xfId="13215" xr:uid="{00000000-0005-0000-0000-0000C3330000}"/>
    <cellStyle name="Normal 3 7 3 2" xfId="13216" xr:uid="{00000000-0005-0000-0000-0000C4330000}"/>
    <cellStyle name="Normal 3 7 3 2 2" xfId="13217" xr:uid="{00000000-0005-0000-0000-0000C5330000}"/>
    <cellStyle name="Normal 3 7 3 2 3" xfId="13218" xr:uid="{00000000-0005-0000-0000-0000C6330000}"/>
    <cellStyle name="Normal 3 7 3 3" xfId="13219" xr:uid="{00000000-0005-0000-0000-0000C7330000}"/>
    <cellStyle name="Normal 3 7 3 4" xfId="13220" xr:uid="{00000000-0005-0000-0000-0000C8330000}"/>
    <cellStyle name="Normal 3 7 4" xfId="13221" xr:uid="{00000000-0005-0000-0000-0000C9330000}"/>
    <cellStyle name="Normal 3 7 4 2" xfId="13222" xr:uid="{00000000-0005-0000-0000-0000CA330000}"/>
    <cellStyle name="Normal 3 7 4 3" xfId="13223" xr:uid="{00000000-0005-0000-0000-0000CB330000}"/>
    <cellStyle name="Normal 3 7 5" xfId="13224" xr:uid="{00000000-0005-0000-0000-0000CC330000}"/>
    <cellStyle name="Normal 3 7 6" xfId="13225" xr:uid="{00000000-0005-0000-0000-0000CD330000}"/>
    <cellStyle name="Normal 3 8" xfId="13226" xr:uid="{00000000-0005-0000-0000-0000CE330000}"/>
    <cellStyle name="Normal 3 8 2" xfId="13227" xr:uid="{00000000-0005-0000-0000-0000CF330000}"/>
    <cellStyle name="Normal 3 8 2 2" xfId="13228" xr:uid="{00000000-0005-0000-0000-0000D0330000}"/>
    <cellStyle name="Normal 3 8 2 2 2" xfId="13229" xr:uid="{00000000-0005-0000-0000-0000D1330000}"/>
    <cellStyle name="Normal 3 8 2 2 2 2" xfId="13230" xr:uid="{00000000-0005-0000-0000-0000D2330000}"/>
    <cellStyle name="Normal 3 8 2 2 2 3" xfId="13231" xr:uid="{00000000-0005-0000-0000-0000D3330000}"/>
    <cellStyle name="Normal 3 8 2 2 3" xfId="13232" xr:uid="{00000000-0005-0000-0000-0000D4330000}"/>
    <cellStyle name="Normal 3 8 2 2 4" xfId="13233" xr:uid="{00000000-0005-0000-0000-0000D5330000}"/>
    <cellStyle name="Normal 3 8 2 3" xfId="13234" xr:uid="{00000000-0005-0000-0000-0000D6330000}"/>
    <cellStyle name="Normal 3 8 2 3 2" xfId="13235" xr:uid="{00000000-0005-0000-0000-0000D7330000}"/>
    <cellStyle name="Normal 3 8 2 3 3" xfId="13236" xr:uid="{00000000-0005-0000-0000-0000D8330000}"/>
    <cellStyle name="Normal 3 8 2 4" xfId="13237" xr:uid="{00000000-0005-0000-0000-0000D9330000}"/>
    <cellStyle name="Normal 3 8 2 5" xfId="13238" xr:uid="{00000000-0005-0000-0000-0000DA330000}"/>
    <cellStyle name="Normal 3 8 3" xfId="13239" xr:uid="{00000000-0005-0000-0000-0000DB330000}"/>
    <cellStyle name="Normal 3 8 3 2" xfId="13240" xr:uid="{00000000-0005-0000-0000-0000DC330000}"/>
    <cellStyle name="Normal 3 8 3 2 2" xfId="13241" xr:uid="{00000000-0005-0000-0000-0000DD330000}"/>
    <cellStyle name="Normal 3 8 3 2 3" xfId="13242" xr:uid="{00000000-0005-0000-0000-0000DE330000}"/>
    <cellStyle name="Normal 3 8 3 3" xfId="13243" xr:uid="{00000000-0005-0000-0000-0000DF330000}"/>
    <cellStyle name="Normal 3 8 3 4" xfId="13244" xr:uid="{00000000-0005-0000-0000-0000E0330000}"/>
    <cellStyle name="Normal 3 8 4" xfId="13245" xr:uid="{00000000-0005-0000-0000-0000E1330000}"/>
    <cellStyle name="Normal 3 8 4 2" xfId="13246" xr:uid="{00000000-0005-0000-0000-0000E2330000}"/>
    <cellStyle name="Normal 3 8 4 3" xfId="13247" xr:uid="{00000000-0005-0000-0000-0000E3330000}"/>
    <cellStyle name="Normal 3 8 5" xfId="13248" xr:uid="{00000000-0005-0000-0000-0000E4330000}"/>
    <cellStyle name="Normal 3 8 6" xfId="13249" xr:uid="{00000000-0005-0000-0000-0000E5330000}"/>
    <cellStyle name="Normal 3 9" xfId="13250" xr:uid="{00000000-0005-0000-0000-0000E6330000}"/>
    <cellStyle name="Normal 3 9 2" xfId="13251" xr:uid="{00000000-0005-0000-0000-0000E7330000}"/>
    <cellStyle name="Normal 3 9 2 2" xfId="13252" xr:uid="{00000000-0005-0000-0000-0000E8330000}"/>
    <cellStyle name="Normal 3 9 2 2 2" xfId="13253" xr:uid="{00000000-0005-0000-0000-0000E9330000}"/>
    <cellStyle name="Normal 3 9 2 2 2 2" xfId="13254" xr:uid="{00000000-0005-0000-0000-0000EA330000}"/>
    <cellStyle name="Normal 3 9 2 2 2 3" xfId="13255" xr:uid="{00000000-0005-0000-0000-0000EB330000}"/>
    <cellStyle name="Normal 3 9 2 2 3" xfId="13256" xr:uid="{00000000-0005-0000-0000-0000EC330000}"/>
    <cellStyle name="Normal 3 9 2 2 4" xfId="13257" xr:uid="{00000000-0005-0000-0000-0000ED330000}"/>
    <cellStyle name="Normal 3 9 2 3" xfId="13258" xr:uid="{00000000-0005-0000-0000-0000EE330000}"/>
    <cellStyle name="Normal 3 9 2 3 2" xfId="13259" xr:uid="{00000000-0005-0000-0000-0000EF330000}"/>
    <cellStyle name="Normal 3 9 2 3 3" xfId="13260" xr:uid="{00000000-0005-0000-0000-0000F0330000}"/>
    <cellStyle name="Normal 3 9 2 4" xfId="13261" xr:uid="{00000000-0005-0000-0000-0000F1330000}"/>
    <cellStyle name="Normal 3 9 2 5" xfId="13262" xr:uid="{00000000-0005-0000-0000-0000F2330000}"/>
    <cellStyle name="Normal 3 9 3" xfId="13263" xr:uid="{00000000-0005-0000-0000-0000F3330000}"/>
    <cellStyle name="Normal 3 9 3 2" xfId="13264" xr:uid="{00000000-0005-0000-0000-0000F4330000}"/>
    <cellStyle name="Normal 3 9 3 2 2" xfId="13265" xr:uid="{00000000-0005-0000-0000-0000F5330000}"/>
    <cellStyle name="Normal 3 9 3 2 3" xfId="13266" xr:uid="{00000000-0005-0000-0000-0000F6330000}"/>
    <cellStyle name="Normal 3 9 3 3" xfId="13267" xr:uid="{00000000-0005-0000-0000-0000F7330000}"/>
    <cellStyle name="Normal 3 9 3 4" xfId="13268" xr:uid="{00000000-0005-0000-0000-0000F8330000}"/>
    <cellStyle name="Normal 3 9 4" xfId="13269" xr:uid="{00000000-0005-0000-0000-0000F9330000}"/>
    <cellStyle name="Normal 3 9 4 2" xfId="13270" xr:uid="{00000000-0005-0000-0000-0000FA330000}"/>
    <cellStyle name="Normal 3 9 4 3" xfId="13271" xr:uid="{00000000-0005-0000-0000-0000FB330000}"/>
    <cellStyle name="Normal 3 9 5" xfId="13272" xr:uid="{00000000-0005-0000-0000-0000FC330000}"/>
    <cellStyle name="Normal 3 9 6" xfId="13273" xr:uid="{00000000-0005-0000-0000-0000FD330000}"/>
    <cellStyle name="Normal 3_GRCW" xfId="28" xr:uid="{00000000-0005-0000-0000-0000FE330000}"/>
    <cellStyle name="Normal 30" xfId="13274" xr:uid="{00000000-0005-0000-0000-0000FF330000}"/>
    <cellStyle name="Normal 31" xfId="13275" xr:uid="{00000000-0005-0000-0000-000000340000}"/>
    <cellStyle name="Normal 31 2" xfId="13276" xr:uid="{00000000-0005-0000-0000-000001340000}"/>
    <cellStyle name="Normal 32" xfId="13277" xr:uid="{00000000-0005-0000-0000-000002340000}"/>
    <cellStyle name="Normal 32 2" xfId="13278" xr:uid="{00000000-0005-0000-0000-000003340000}"/>
    <cellStyle name="Normal 33" xfId="13279" xr:uid="{00000000-0005-0000-0000-000004340000}"/>
    <cellStyle name="Normal 33 2" xfId="13280" xr:uid="{00000000-0005-0000-0000-000005340000}"/>
    <cellStyle name="Normal 34" xfId="13281" xr:uid="{00000000-0005-0000-0000-000006340000}"/>
    <cellStyle name="Normal 34 10" xfId="13282" xr:uid="{00000000-0005-0000-0000-000007340000}"/>
    <cellStyle name="Normal 34 10 2" xfId="13283" xr:uid="{00000000-0005-0000-0000-000008340000}"/>
    <cellStyle name="Normal 34 11" xfId="13284" xr:uid="{00000000-0005-0000-0000-000009340000}"/>
    <cellStyle name="Normal 34 11 2" xfId="13285" xr:uid="{00000000-0005-0000-0000-00000A340000}"/>
    <cellStyle name="Normal 34 12" xfId="13286" xr:uid="{00000000-0005-0000-0000-00000B340000}"/>
    <cellStyle name="Normal 34 2" xfId="13287" xr:uid="{00000000-0005-0000-0000-00000C340000}"/>
    <cellStyle name="Normal 34 2 2" xfId="13288" xr:uid="{00000000-0005-0000-0000-00000D340000}"/>
    <cellStyle name="Normal 34 2 2 2" xfId="13289" xr:uid="{00000000-0005-0000-0000-00000E340000}"/>
    <cellStyle name="Normal 34 2 2 2 2" xfId="13290" xr:uid="{00000000-0005-0000-0000-00000F340000}"/>
    <cellStyle name="Normal 34 2 2 3" xfId="13291" xr:uid="{00000000-0005-0000-0000-000010340000}"/>
    <cellStyle name="Normal 34 2 3" xfId="13292" xr:uid="{00000000-0005-0000-0000-000011340000}"/>
    <cellStyle name="Normal 34 2 3 2" xfId="13293" xr:uid="{00000000-0005-0000-0000-000012340000}"/>
    <cellStyle name="Normal 34 2 4" xfId="13294" xr:uid="{00000000-0005-0000-0000-000013340000}"/>
    <cellStyle name="Normal 34 2 4 2" xfId="13295" xr:uid="{00000000-0005-0000-0000-000014340000}"/>
    <cellStyle name="Normal 34 2 5" xfId="13296" xr:uid="{00000000-0005-0000-0000-000015340000}"/>
    <cellStyle name="Normal 34 3" xfId="13297" xr:uid="{00000000-0005-0000-0000-000016340000}"/>
    <cellStyle name="Normal 34 3 2" xfId="13298" xr:uid="{00000000-0005-0000-0000-000017340000}"/>
    <cellStyle name="Normal 34 3 2 2" xfId="13299" xr:uid="{00000000-0005-0000-0000-000018340000}"/>
    <cellStyle name="Normal 34 3 2 2 2" xfId="13300" xr:uid="{00000000-0005-0000-0000-000019340000}"/>
    <cellStyle name="Normal 34 3 2 3" xfId="13301" xr:uid="{00000000-0005-0000-0000-00001A340000}"/>
    <cellStyle name="Normal 34 3 3" xfId="13302" xr:uid="{00000000-0005-0000-0000-00001B340000}"/>
    <cellStyle name="Normal 34 3 3 2" xfId="13303" xr:uid="{00000000-0005-0000-0000-00001C340000}"/>
    <cellStyle name="Normal 34 3 4" xfId="13304" xr:uid="{00000000-0005-0000-0000-00001D340000}"/>
    <cellStyle name="Normal 34 3 4 2" xfId="13305" xr:uid="{00000000-0005-0000-0000-00001E340000}"/>
    <cellStyle name="Normal 34 3 5" xfId="13306" xr:uid="{00000000-0005-0000-0000-00001F340000}"/>
    <cellStyle name="Normal 34 4" xfId="13307" xr:uid="{00000000-0005-0000-0000-000020340000}"/>
    <cellStyle name="Normal 34 4 2" xfId="13308" xr:uid="{00000000-0005-0000-0000-000021340000}"/>
    <cellStyle name="Normal 34 4 2 2" xfId="13309" xr:uid="{00000000-0005-0000-0000-000022340000}"/>
    <cellStyle name="Normal 34 4 2 2 2" xfId="13310" xr:uid="{00000000-0005-0000-0000-000023340000}"/>
    <cellStyle name="Normal 34 4 2 3" xfId="13311" xr:uid="{00000000-0005-0000-0000-000024340000}"/>
    <cellStyle name="Normal 34 4 3" xfId="13312" xr:uid="{00000000-0005-0000-0000-000025340000}"/>
    <cellStyle name="Normal 34 4 3 2" xfId="13313" xr:uid="{00000000-0005-0000-0000-000026340000}"/>
    <cellStyle name="Normal 34 4 4" xfId="13314" xr:uid="{00000000-0005-0000-0000-000027340000}"/>
    <cellStyle name="Normal 34 4 4 2" xfId="13315" xr:uid="{00000000-0005-0000-0000-000028340000}"/>
    <cellStyle name="Normal 34 4 5" xfId="13316" xr:uid="{00000000-0005-0000-0000-000029340000}"/>
    <cellStyle name="Normal 34 5" xfId="13317" xr:uid="{00000000-0005-0000-0000-00002A340000}"/>
    <cellStyle name="Normal 34 5 2" xfId="13318" xr:uid="{00000000-0005-0000-0000-00002B340000}"/>
    <cellStyle name="Normal 34 5 2 2" xfId="13319" xr:uid="{00000000-0005-0000-0000-00002C340000}"/>
    <cellStyle name="Normal 34 5 2 2 2" xfId="13320" xr:uid="{00000000-0005-0000-0000-00002D340000}"/>
    <cellStyle name="Normal 34 5 2 3" xfId="13321" xr:uid="{00000000-0005-0000-0000-00002E340000}"/>
    <cellStyle name="Normal 34 5 3" xfId="13322" xr:uid="{00000000-0005-0000-0000-00002F340000}"/>
    <cellStyle name="Normal 34 5 3 2" xfId="13323" xr:uid="{00000000-0005-0000-0000-000030340000}"/>
    <cellStyle name="Normal 34 5 4" xfId="13324" xr:uid="{00000000-0005-0000-0000-000031340000}"/>
    <cellStyle name="Normal 34 5 4 2" xfId="13325" xr:uid="{00000000-0005-0000-0000-000032340000}"/>
    <cellStyle name="Normal 34 5 5" xfId="13326" xr:uid="{00000000-0005-0000-0000-000033340000}"/>
    <cellStyle name="Normal 34 6" xfId="13327" xr:uid="{00000000-0005-0000-0000-000034340000}"/>
    <cellStyle name="Normal 34 6 2" xfId="13328" xr:uid="{00000000-0005-0000-0000-000035340000}"/>
    <cellStyle name="Normal 34 6 2 2" xfId="13329" xr:uid="{00000000-0005-0000-0000-000036340000}"/>
    <cellStyle name="Normal 34 6 2 2 2" xfId="13330" xr:uid="{00000000-0005-0000-0000-000037340000}"/>
    <cellStyle name="Normal 34 6 2 3" xfId="13331" xr:uid="{00000000-0005-0000-0000-000038340000}"/>
    <cellStyle name="Normal 34 6 3" xfId="13332" xr:uid="{00000000-0005-0000-0000-000039340000}"/>
    <cellStyle name="Normal 34 6 3 2" xfId="13333" xr:uid="{00000000-0005-0000-0000-00003A340000}"/>
    <cellStyle name="Normal 34 6 4" xfId="13334" xr:uid="{00000000-0005-0000-0000-00003B340000}"/>
    <cellStyle name="Normal 34 6 4 2" xfId="13335" xr:uid="{00000000-0005-0000-0000-00003C340000}"/>
    <cellStyle name="Normal 34 6 5" xfId="13336" xr:uid="{00000000-0005-0000-0000-00003D340000}"/>
    <cellStyle name="Normal 34 7" xfId="13337" xr:uid="{00000000-0005-0000-0000-00003E340000}"/>
    <cellStyle name="Normal 34 7 2" xfId="13338" xr:uid="{00000000-0005-0000-0000-00003F340000}"/>
    <cellStyle name="Normal 34 7 2 2" xfId="13339" xr:uid="{00000000-0005-0000-0000-000040340000}"/>
    <cellStyle name="Normal 34 7 2 2 2" xfId="13340" xr:uid="{00000000-0005-0000-0000-000041340000}"/>
    <cellStyle name="Normal 34 7 2 3" xfId="13341" xr:uid="{00000000-0005-0000-0000-000042340000}"/>
    <cellStyle name="Normal 34 7 3" xfId="13342" xr:uid="{00000000-0005-0000-0000-000043340000}"/>
    <cellStyle name="Normal 34 7 3 2" xfId="13343" xr:uid="{00000000-0005-0000-0000-000044340000}"/>
    <cellStyle name="Normal 34 7 4" xfId="13344" xr:uid="{00000000-0005-0000-0000-000045340000}"/>
    <cellStyle name="Normal 34 8" xfId="13345" xr:uid="{00000000-0005-0000-0000-000046340000}"/>
    <cellStyle name="Normal 34 8 2" xfId="13346" xr:uid="{00000000-0005-0000-0000-000047340000}"/>
    <cellStyle name="Normal 34 8 2 2" xfId="13347" xr:uid="{00000000-0005-0000-0000-000048340000}"/>
    <cellStyle name="Normal 34 8 2 2 2" xfId="13348" xr:uid="{00000000-0005-0000-0000-000049340000}"/>
    <cellStyle name="Normal 34 8 2 3" xfId="13349" xr:uid="{00000000-0005-0000-0000-00004A340000}"/>
    <cellStyle name="Normal 34 8 3" xfId="13350" xr:uid="{00000000-0005-0000-0000-00004B340000}"/>
    <cellStyle name="Normal 34 8 3 2" xfId="13351" xr:uid="{00000000-0005-0000-0000-00004C340000}"/>
    <cellStyle name="Normal 34 8 4" xfId="13352" xr:uid="{00000000-0005-0000-0000-00004D340000}"/>
    <cellStyle name="Normal 34 9" xfId="13353" xr:uid="{00000000-0005-0000-0000-00004E340000}"/>
    <cellStyle name="Normal 34 9 2" xfId="13354" xr:uid="{00000000-0005-0000-0000-00004F340000}"/>
    <cellStyle name="Normal 34 9 2 2" xfId="13355" xr:uid="{00000000-0005-0000-0000-000050340000}"/>
    <cellStyle name="Normal 34 9 3" xfId="13356" xr:uid="{00000000-0005-0000-0000-000051340000}"/>
    <cellStyle name="Normal 35" xfId="13357" xr:uid="{00000000-0005-0000-0000-000052340000}"/>
    <cellStyle name="Normal 35 10" xfId="13358" xr:uid="{00000000-0005-0000-0000-000053340000}"/>
    <cellStyle name="Normal 35 10 2" xfId="13359" xr:uid="{00000000-0005-0000-0000-000054340000}"/>
    <cellStyle name="Normal 35 11" xfId="13360" xr:uid="{00000000-0005-0000-0000-000055340000}"/>
    <cellStyle name="Normal 35 11 2" xfId="13361" xr:uid="{00000000-0005-0000-0000-000056340000}"/>
    <cellStyle name="Normal 35 12" xfId="13362" xr:uid="{00000000-0005-0000-0000-000057340000}"/>
    <cellStyle name="Normal 35 2" xfId="13363" xr:uid="{00000000-0005-0000-0000-000058340000}"/>
    <cellStyle name="Normal 35 2 2" xfId="13364" xr:uid="{00000000-0005-0000-0000-000059340000}"/>
    <cellStyle name="Normal 35 2 2 2" xfId="13365" xr:uid="{00000000-0005-0000-0000-00005A340000}"/>
    <cellStyle name="Normal 35 2 2 2 2" xfId="13366" xr:uid="{00000000-0005-0000-0000-00005B340000}"/>
    <cellStyle name="Normal 35 2 2 3" xfId="13367" xr:uid="{00000000-0005-0000-0000-00005C340000}"/>
    <cellStyle name="Normal 35 2 3" xfId="13368" xr:uid="{00000000-0005-0000-0000-00005D340000}"/>
    <cellStyle name="Normal 35 2 3 2" xfId="13369" xr:uid="{00000000-0005-0000-0000-00005E340000}"/>
    <cellStyle name="Normal 35 2 4" xfId="13370" xr:uid="{00000000-0005-0000-0000-00005F340000}"/>
    <cellStyle name="Normal 35 2 4 2" xfId="13371" xr:uid="{00000000-0005-0000-0000-000060340000}"/>
    <cellStyle name="Normal 35 2 5" xfId="13372" xr:uid="{00000000-0005-0000-0000-000061340000}"/>
    <cellStyle name="Normal 35 3" xfId="13373" xr:uid="{00000000-0005-0000-0000-000062340000}"/>
    <cellStyle name="Normal 35 3 2" xfId="13374" xr:uid="{00000000-0005-0000-0000-000063340000}"/>
    <cellStyle name="Normal 35 3 2 2" xfId="13375" xr:uid="{00000000-0005-0000-0000-000064340000}"/>
    <cellStyle name="Normal 35 3 2 2 2" xfId="13376" xr:uid="{00000000-0005-0000-0000-000065340000}"/>
    <cellStyle name="Normal 35 3 2 3" xfId="13377" xr:uid="{00000000-0005-0000-0000-000066340000}"/>
    <cellStyle name="Normal 35 3 3" xfId="13378" xr:uid="{00000000-0005-0000-0000-000067340000}"/>
    <cellStyle name="Normal 35 3 3 2" xfId="13379" xr:uid="{00000000-0005-0000-0000-000068340000}"/>
    <cellStyle name="Normal 35 3 4" xfId="13380" xr:uid="{00000000-0005-0000-0000-000069340000}"/>
    <cellStyle name="Normal 35 3 4 2" xfId="13381" xr:uid="{00000000-0005-0000-0000-00006A340000}"/>
    <cellStyle name="Normal 35 3 5" xfId="13382" xr:uid="{00000000-0005-0000-0000-00006B340000}"/>
    <cellStyle name="Normal 35 4" xfId="13383" xr:uid="{00000000-0005-0000-0000-00006C340000}"/>
    <cellStyle name="Normal 35 4 2" xfId="13384" xr:uid="{00000000-0005-0000-0000-00006D340000}"/>
    <cellStyle name="Normal 35 4 2 2" xfId="13385" xr:uid="{00000000-0005-0000-0000-00006E340000}"/>
    <cellStyle name="Normal 35 4 2 2 2" xfId="13386" xr:uid="{00000000-0005-0000-0000-00006F340000}"/>
    <cellStyle name="Normal 35 4 2 3" xfId="13387" xr:uid="{00000000-0005-0000-0000-000070340000}"/>
    <cellStyle name="Normal 35 4 3" xfId="13388" xr:uid="{00000000-0005-0000-0000-000071340000}"/>
    <cellStyle name="Normal 35 4 3 2" xfId="13389" xr:uid="{00000000-0005-0000-0000-000072340000}"/>
    <cellStyle name="Normal 35 4 4" xfId="13390" xr:uid="{00000000-0005-0000-0000-000073340000}"/>
    <cellStyle name="Normal 35 4 4 2" xfId="13391" xr:uid="{00000000-0005-0000-0000-000074340000}"/>
    <cellStyle name="Normal 35 4 5" xfId="13392" xr:uid="{00000000-0005-0000-0000-000075340000}"/>
    <cellStyle name="Normal 35 5" xfId="13393" xr:uid="{00000000-0005-0000-0000-000076340000}"/>
    <cellStyle name="Normal 35 5 2" xfId="13394" xr:uid="{00000000-0005-0000-0000-000077340000}"/>
    <cellStyle name="Normal 35 5 2 2" xfId="13395" xr:uid="{00000000-0005-0000-0000-000078340000}"/>
    <cellStyle name="Normal 35 5 2 2 2" xfId="13396" xr:uid="{00000000-0005-0000-0000-000079340000}"/>
    <cellStyle name="Normal 35 5 2 3" xfId="13397" xr:uid="{00000000-0005-0000-0000-00007A340000}"/>
    <cellStyle name="Normal 35 5 3" xfId="13398" xr:uid="{00000000-0005-0000-0000-00007B340000}"/>
    <cellStyle name="Normal 35 5 3 2" xfId="13399" xr:uid="{00000000-0005-0000-0000-00007C340000}"/>
    <cellStyle name="Normal 35 5 4" xfId="13400" xr:uid="{00000000-0005-0000-0000-00007D340000}"/>
    <cellStyle name="Normal 35 5 4 2" xfId="13401" xr:uid="{00000000-0005-0000-0000-00007E340000}"/>
    <cellStyle name="Normal 35 5 5" xfId="13402" xr:uid="{00000000-0005-0000-0000-00007F340000}"/>
    <cellStyle name="Normal 35 6" xfId="13403" xr:uid="{00000000-0005-0000-0000-000080340000}"/>
    <cellStyle name="Normal 35 6 2" xfId="13404" xr:uid="{00000000-0005-0000-0000-000081340000}"/>
    <cellStyle name="Normal 35 6 2 2" xfId="13405" xr:uid="{00000000-0005-0000-0000-000082340000}"/>
    <cellStyle name="Normal 35 6 2 2 2" xfId="13406" xr:uid="{00000000-0005-0000-0000-000083340000}"/>
    <cellStyle name="Normal 35 6 2 3" xfId="13407" xr:uid="{00000000-0005-0000-0000-000084340000}"/>
    <cellStyle name="Normal 35 6 3" xfId="13408" xr:uid="{00000000-0005-0000-0000-000085340000}"/>
    <cellStyle name="Normal 35 6 3 2" xfId="13409" xr:uid="{00000000-0005-0000-0000-000086340000}"/>
    <cellStyle name="Normal 35 6 4" xfId="13410" xr:uid="{00000000-0005-0000-0000-000087340000}"/>
    <cellStyle name="Normal 35 6 4 2" xfId="13411" xr:uid="{00000000-0005-0000-0000-000088340000}"/>
    <cellStyle name="Normal 35 6 5" xfId="13412" xr:uid="{00000000-0005-0000-0000-000089340000}"/>
    <cellStyle name="Normal 35 7" xfId="13413" xr:uid="{00000000-0005-0000-0000-00008A340000}"/>
    <cellStyle name="Normal 35 7 2" xfId="13414" xr:uid="{00000000-0005-0000-0000-00008B340000}"/>
    <cellStyle name="Normal 35 7 2 2" xfId="13415" xr:uid="{00000000-0005-0000-0000-00008C340000}"/>
    <cellStyle name="Normal 35 7 2 2 2" xfId="13416" xr:uid="{00000000-0005-0000-0000-00008D340000}"/>
    <cellStyle name="Normal 35 7 2 3" xfId="13417" xr:uid="{00000000-0005-0000-0000-00008E340000}"/>
    <cellStyle name="Normal 35 7 3" xfId="13418" xr:uid="{00000000-0005-0000-0000-00008F340000}"/>
    <cellStyle name="Normal 35 7 3 2" xfId="13419" xr:uid="{00000000-0005-0000-0000-000090340000}"/>
    <cellStyle name="Normal 35 7 4" xfId="13420" xr:uid="{00000000-0005-0000-0000-000091340000}"/>
    <cellStyle name="Normal 35 8" xfId="13421" xr:uid="{00000000-0005-0000-0000-000092340000}"/>
    <cellStyle name="Normal 35 8 2" xfId="13422" xr:uid="{00000000-0005-0000-0000-000093340000}"/>
    <cellStyle name="Normal 35 8 2 2" xfId="13423" xr:uid="{00000000-0005-0000-0000-000094340000}"/>
    <cellStyle name="Normal 35 8 2 2 2" xfId="13424" xr:uid="{00000000-0005-0000-0000-000095340000}"/>
    <cellStyle name="Normal 35 8 2 3" xfId="13425" xr:uid="{00000000-0005-0000-0000-000096340000}"/>
    <cellStyle name="Normal 35 8 3" xfId="13426" xr:uid="{00000000-0005-0000-0000-000097340000}"/>
    <cellStyle name="Normal 35 8 3 2" xfId="13427" xr:uid="{00000000-0005-0000-0000-000098340000}"/>
    <cellStyle name="Normal 35 8 4" xfId="13428" xr:uid="{00000000-0005-0000-0000-000099340000}"/>
    <cellStyle name="Normal 35 9" xfId="13429" xr:uid="{00000000-0005-0000-0000-00009A340000}"/>
    <cellStyle name="Normal 35 9 2" xfId="13430" xr:uid="{00000000-0005-0000-0000-00009B340000}"/>
    <cellStyle name="Normal 35 9 2 2" xfId="13431" xr:uid="{00000000-0005-0000-0000-00009C340000}"/>
    <cellStyle name="Normal 35 9 3" xfId="13432" xr:uid="{00000000-0005-0000-0000-00009D340000}"/>
    <cellStyle name="Normal 36" xfId="13433" xr:uid="{00000000-0005-0000-0000-00009E340000}"/>
    <cellStyle name="Normal 36 2" xfId="13434" xr:uid="{00000000-0005-0000-0000-00009F340000}"/>
    <cellStyle name="Normal 37" xfId="13435" xr:uid="{00000000-0005-0000-0000-0000A0340000}"/>
    <cellStyle name="Normal 37 2" xfId="13436" xr:uid="{00000000-0005-0000-0000-0000A1340000}"/>
    <cellStyle name="Normal 38" xfId="13437" xr:uid="{00000000-0005-0000-0000-0000A2340000}"/>
    <cellStyle name="Normal 38 2" xfId="13438" xr:uid="{00000000-0005-0000-0000-0000A3340000}"/>
    <cellStyle name="Normal 38 2 2" xfId="13439" xr:uid="{00000000-0005-0000-0000-0000A4340000}"/>
    <cellStyle name="Normal 38 2 2 2" xfId="13440" xr:uid="{00000000-0005-0000-0000-0000A5340000}"/>
    <cellStyle name="Normal 38 2 3" xfId="13441" xr:uid="{00000000-0005-0000-0000-0000A6340000}"/>
    <cellStyle name="Normal 38 3" xfId="13442" xr:uid="{00000000-0005-0000-0000-0000A7340000}"/>
    <cellStyle name="Normal 38 3 2" xfId="13443" xr:uid="{00000000-0005-0000-0000-0000A8340000}"/>
    <cellStyle name="Normal 38 4" xfId="13444" xr:uid="{00000000-0005-0000-0000-0000A9340000}"/>
    <cellStyle name="Normal 38 4 2" xfId="13445" xr:uid="{00000000-0005-0000-0000-0000AA340000}"/>
    <cellStyle name="Normal 38 5" xfId="13446" xr:uid="{00000000-0005-0000-0000-0000AB340000}"/>
    <cellStyle name="Normal 39" xfId="13447" xr:uid="{00000000-0005-0000-0000-0000AC340000}"/>
    <cellStyle name="Normal 39 2" xfId="13448" xr:uid="{00000000-0005-0000-0000-0000AD340000}"/>
    <cellStyle name="Normal 4" xfId="29" xr:uid="{00000000-0005-0000-0000-0000AE340000}"/>
    <cellStyle name="Normal 4 10" xfId="13449" xr:uid="{00000000-0005-0000-0000-0000AF340000}"/>
    <cellStyle name="Normal 4 11" xfId="13450" xr:uid="{00000000-0005-0000-0000-0000B0340000}"/>
    <cellStyle name="Normal 4 12" xfId="13451" xr:uid="{00000000-0005-0000-0000-0000B1340000}"/>
    <cellStyle name="Normal 4 12 2" xfId="13452" xr:uid="{00000000-0005-0000-0000-0000B2340000}"/>
    <cellStyle name="Normal 4 13" xfId="13453" xr:uid="{00000000-0005-0000-0000-0000B3340000}"/>
    <cellStyle name="Normal 4 13 2" xfId="13454" xr:uid="{00000000-0005-0000-0000-0000B4340000}"/>
    <cellStyle name="Normal 4 14" xfId="13455" xr:uid="{00000000-0005-0000-0000-0000B5340000}"/>
    <cellStyle name="Normal 4 15" xfId="13456" xr:uid="{00000000-0005-0000-0000-0000B6340000}"/>
    <cellStyle name="Normal 4 16" xfId="13457" xr:uid="{00000000-0005-0000-0000-0000B7340000}"/>
    <cellStyle name="Normal 4 17" xfId="13458" xr:uid="{00000000-0005-0000-0000-0000B8340000}"/>
    <cellStyle name="Normal 4 18" xfId="13459" xr:uid="{00000000-0005-0000-0000-0000B9340000}"/>
    <cellStyle name="Normal 4 19" xfId="13460" xr:uid="{00000000-0005-0000-0000-0000BA340000}"/>
    <cellStyle name="Normal 4 2" xfId="13461" xr:uid="{00000000-0005-0000-0000-0000BB340000}"/>
    <cellStyle name="Normal 4 2 10" xfId="13462" xr:uid="{00000000-0005-0000-0000-0000BC340000}"/>
    <cellStyle name="Normal 4 2 10 2" xfId="13463" xr:uid="{00000000-0005-0000-0000-0000BD340000}"/>
    <cellStyle name="Normal 4 2 10 2 2" xfId="13464" xr:uid="{00000000-0005-0000-0000-0000BE340000}"/>
    <cellStyle name="Normal 4 2 10 2 2 2" xfId="13465" xr:uid="{00000000-0005-0000-0000-0000BF340000}"/>
    <cellStyle name="Normal 4 2 10 2 2 2 2" xfId="13466" xr:uid="{00000000-0005-0000-0000-0000C0340000}"/>
    <cellStyle name="Normal 4 2 10 2 2 2 3" xfId="13467" xr:uid="{00000000-0005-0000-0000-0000C1340000}"/>
    <cellStyle name="Normal 4 2 10 2 2 3" xfId="13468" xr:uid="{00000000-0005-0000-0000-0000C2340000}"/>
    <cellStyle name="Normal 4 2 10 2 2 4" xfId="13469" xr:uid="{00000000-0005-0000-0000-0000C3340000}"/>
    <cellStyle name="Normal 4 2 10 2 3" xfId="13470" xr:uid="{00000000-0005-0000-0000-0000C4340000}"/>
    <cellStyle name="Normal 4 2 10 2 3 2" xfId="13471" xr:uid="{00000000-0005-0000-0000-0000C5340000}"/>
    <cellStyle name="Normal 4 2 10 2 3 3" xfId="13472" xr:uid="{00000000-0005-0000-0000-0000C6340000}"/>
    <cellStyle name="Normal 4 2 10 2 4" xfId="13473" xr:uid="{00000000-0005-0000-0000-0000C7340000}"/>
    <cellStyle name="Normal 4 2 10 2 5" xfId="13474" xr:uid="{00000000-0005-0000-0000-0000C8340000}"/>
    <cellStyle name="Normal 4 2 10 3" xfId="13475" xr:uid="{00000000-0005-0000-0000-0000C9340000}"/>
    <cellStyle name="Normal 4 2 10 3 2" xfId="13476" xr:uid="{00000000-0005-0000-0000-0000CA340000}"/>
    <cellStyle name="Normal 4 2 10 3 2 2" xfId="13477" xr:uid="{00000000-0005-0000-0000-0000CB340000}"/>
    <cellStyle name="Normal 4 2 10 3 2 3" xfId="13478" xr:uid="{00000000-0005-0000-0000-0000CC340000}"/>
    <cellStyle name="Normal 4 2 10 3 3" xfId="13479" xr:uid="{00000000-0005-0000-0000-0000CD340000}"/>
    <cellStyle name="Normal 4 2 10 3 4" xfId="13480" xr:uid="{00000000-0005-0000-0000-0000CE340000}"/>
    <cellStyle name="Normal 4 2 10 4" xfId="13481" xr:uid="{00000000-0005-0000-0000-0000CF340000}"/>
    <cellStyle name="Normal 4 2 10 4 2" xfId="13482" xr:uid="{00000000-0005-0000-0000-0000D0340000}"/>
    <cellStyle name="Normal 4 2 10 4 3" xfId="13483" xr:uid="{00000000-0005-0000-0000-0000D1340000}"/>
    <cellStyle name="Normal 4 2 10 5" xfId="13484" xr:uid="{00000000-0005-0000-0000-0000D2340000}"/>
    <cellStyle name="Normal 4 2 10 6" xfId="13485" xr:uid="{00000000-0005-0000-0000-0000D3340000}"/>
    <cellStyle name="Normal 4 2 11" xfId="13486" xr:uid="{00000000-0005-0000-0000-0000D4340000}"/>
    <cellStyle name="Normal 4 2 11 2" xfId="13487" xr:uid="{00000000-0005-0000-0000-0000D5340000}"/>
    <cellStyle name="Normal 4 2 11 2 2" xfId="13488" xr:uid="{00000000-0005-0000-0000-0000D6340000}"/>
    <cellStyle name="Normal 4 2 11 2 2 2" xfId="13489" xr:uid="{00000000-0005-0000-0000-0000D7340000}"/>
    <cellStyle name="Normal 4 2 11 2 2 2 2" xfId="13490" xr:uid="{00000000-0005-0000-0000-0000D8340000}"/>
    <cellStyle name="Normal 4 2 11 2 2 2 3" xfId="13491" xr:uid="{00000000-0005-0000-0000-0000D9340000}"/>
    <cellStyle name="Normal 4 2 11 2 2 3" xfId="13492" xr:uid="{00000000-0005-0000-0000-0000DA340000}"/>
    <cellStyle name="Normal 4 2 11 2 2 4" xfId="13493" xr:uid="{00000000-0005-0000-0000-0000DB340000}"/>
    <cellStyle name="Normal 4 2 11 2 3" xfId="13494" xr:uid="{00000000-0005-0000-0000-0000DC340000}"/>
    <cellStyle name="Normal 4 2 11 2 3 2" xfId="13495" xr:uid="{00000000-0005-0000-0000-0000DD340000}"/>
    <cellStyle name="Normal 4 2 11 2 3 3" xfId="13496" xr:uid="{00000000-0005-0000-0000-0000DE340000}"/>
    <cellStyle name="Normal 4 2 11 2 4" xfId="13497" xr:uid="{00000000-0005-0000-0000-0000DF340000}"/>
    <cellStyle name="Normal 4 2 11 2 5" xfId="13498" xr:uid="{00000000-0005-0000-0000-0000E0340000}"/>
    <cellStyle name="Normal 4 2 11 3" xfId="13499" xr:uid="{00000000-0005-0000-0000-0000E1340000}"/>
    <cellStyle name="Normal 4 2 11 3 2" xfId="13500" xr:uid="{00000000-0005-0000-0000-0000E2340000}"/>
    <cellStyle name="Normal 4 2 11 3 2 2" xfId="13501" xr:uid="{00000000-0005-0000-0000-0000E3340000}"/>
    <cellStyle name="Normal 4 2 11 3 2 3" xfId="13502" xr:uid="{00000000-0005-0000-0000-0000E4340000}"/>
    <cellStyle name="Normal 4 2 11 3 3" xfId="13503" xr:uid="{00000000-0005-0000-0000-0000E5340000}"/>
    <cellStyle name="Normal 4 2 11 3 4" xfId="13504" xr:uid="{00000000-0005-0000-0000-0000E6340000}"/>
    <cellStyle name="Normal 4 2 11 4" xfId="13505" xr:uid="{00000000-0005-0000-0000-0000E7340000}"/>
    <cellStyle name="Normal 4 2 11 4 2" xfId="13506" xr:uid="{00000000-0005-0000-0000-0000E8340000}"/>
    <cellStyle name="Normal 4 2 11 4 3" xfId="13507" xr:uid="{00000000-0005-0000-0000-0000E9340000}"/>
    <cellStyle name="Normal 4 2 11 5" xfId="13508" xr:uid="{00000000-0005-0000-0000-0000EA340000}"/>
    <cellStyle name="Normal 4 2 11 6" xfId="13509" xr:uid="{00000000-0005-0000-0000-0000EB340000}"/>
    <cellStyle name="Normal 4 2 12" xfId="13510" xr:uid="{00000000-0005-0000-0000-0000EC340000}"/>
    <cellStyle name="Normal 4 2 12 2" xfId="13511" xr:uid="{00000000-0005-0000-0000-0000ED340000}"/>
    <cellStyle name="Normal 4 2 12 2 2" xfId="13512" xr:uid="{00000000-0005-0000-0000-0000EE340000}"/>
    <cellStyle name="Normal 4 2 12 2 2 2" xfId="13513" xr:uid="{00000000-0005-0000-0000-0000EF340000}"/>
    <cellStyle name="Normal 4 2 12 2 2 2 2" xfId="13514" xr:uid="{00000000-0005-0000-0000-0000F0340000}"/>
    <cellStyle name="Normal 4 2 12 2 2 2 3" xfId="13515" xr:uid="{00000000-0005-0000-0000-0000F1340000}"/>
    <cellStyle name="Normal 4 2 12 2 2 3" xfId="13516" xr:uid="{00000000-0005-0000-0000-0000F2340000}"/>
    <cellStyle name="Normal 4 2 12 2 2 4" xfId="13517" xr:uid="{00000000-0005-0000-0000-0000F3340000}"/>
    <cellStyle name="Normal 4 2 12 2 3" xfId="13518" xr:uid="{00000000-0005-0000-0000-0000F4340000}"/>
    <cellStyle name="Normal 4 2 12 2 3 2" xfId="13519" xr:uid="{00000000-0005-0000-0000-0000F5340000}"/>
    <cellStyle name="Normal 4 2 12 2 3 3" xfId="13520" xr:uid="{00000000-0005-0000-0000-0000F6340000}"/>
    <cellStyle name="Normal 4 2 12 2 4" xfId="13521" xr:uid="{00000000-0005-0000-0000-0000F7340000}"/>
    <cellStyle name="Normal 4 2 12 2 5" xfId="13522" xr:uid="{00000000-0005-0000-0000-0000F8340000}"/>
    <cellStyle name="Normal 4 2 12 3" xfId="13523" xr:uid="{00000000-0005-0000-0000-0000F9340000}"/>
    <cellStyle name="Normal 4 2 12 3 2" xfId="13524" xr:uid="{00000000-0005-0000-0000-0000FA340000}"/>
    <cellStyle name="Normal 4 2 12 3 2 2" xfId="13525" xr:uid="{00000000-0005-0000-0000-0000FB340000}"/>
    <cellStyle name="Normal 4 2 12 3 2 3" xfId="13526" xr:uid="{00000000-0005-0000-0000-0000FC340000}"/>
    <cellStyle name="Normal 4 2 12 3 3" xfId="13527" xr:uid="{00000000-0005-0000-0000-0000FD340000}"/>
    <cellStyle name="Normal 4 2 12 3 4" xfId="13528" xr:uid="{00000000-0005-0000-0000-0000FE340000}"/>
    <cellStyle name="Normal 4 2 12 4" xfId="13529" xr:uid="{00000000-0005-0000-0000-0000FF340000}"/>
    <cellStyle name="Normal 4 2 12 4 2" xfId="13530" xr:uid="{00000000-0005-0000-0000-000000350000}"/>
    <cellStyle name="Normal 4 2 12 4 3" xfId="13531" xr:uid="{00000000-0005-0000-0000-000001350000}"/>
    <cellStyle name="Normal 4 2 12 5" xfId="13532" xr:uid="{00000000-0005-0000-0000-000002350000}"/>
    <cellStyle name="Normal 4 2 12 6" xfId="13533" xr:uid="{00000000-0005-0000-0000-000003350000}"/>
    <cellStyle name="Normal 4 2 13" xfId="13534" xr:uid="{00000000-0005-0000-0000-000004350000}"/>
    <cellStyle name="Normal 4 2 13 2" xfId="13535" xr:uid="{00000000-0005-0000-0000-000005350000}"/>
    <cellStyle name="Normal 4 2 13 2 2" xfId="13536" xr:uid="{00000000-0005-0000-0000-000006350000}"/>
    <cellStyle name="Normal 4 2 13 2 2 2" xfId="13537" xr:uid="{00000000-0005-0000-0000-000007350000}"/>
    <cellStyle name="Normal 4 2 13 2 2 2 2" xfId="13538" xr:uid="{00000000-0005-0000-0000-000008350000}"/>
    <cellStyle name="Normal 4 2 13 2 2 2 3" xfId="13539" xr:uid="{00000000-0005-0000-0000-000009350000}"/>
    <cellStyle name="Normal 4 2 13 2 2 3" xfId="13540" xr:uid="{00000000-0005-0000-0000-00000A350000}"/>
    <cellStyle name="Normal 4 2 13 2 2 4" xfId="13541" xr:uid="{00000000-0005-0000-0000-00000B350000}"/>
    <cellStyle name="Normal 4 2 13 2 3" xfId="13542" xr:uid="{00000000-0005-0000-0000-00000C350000}"/>
    <cellStyle name="Normal 4 2 13 2 3 2" xfId="13543" xr:uid="{00000000-0005-0000-0000-00000D350000}"/>
    <cellStyle name="Normal 4 2 13 2 3 3" xfId="13544" xr:uid="{00000000-0005-0000-0000-00000E350000}"/>
    <cellStyle name="Normal 4 2 13 2 4" xfId="13545" xr:uid="{00000000-0005-0000-0000-00000F350000}"/>
    <cellStyle name="Normal 4 2 13 2 5" xfId="13546" xr:uid="{00000000-0005-0000-0000-000010350000}"/>
    <cellStyle name="Normal 4 2 13 3" xfId="13547" xr:uid="{00000000-0005-0000-0000-000011350000}"/>
    <cellStyle name="Normal 4 2 13 3 2" xfId="13548" xr:uid="{00000000-0005-0000-0000-000012350000}"/>
    <cellStyle name="Normal 4 2 13 3 2 2" xfId="13549" xr:uid="{00000000-0005-0000-0000-000013350000}"/>
    <cellStyle name="Normal 4 2 13 3 2 3" xfId="13550" xr:uid="{00000000-0005-0000-0000-000014350000}"/>
    <cellStyle name="Normal 4 2 13 3 3" xfId="13551" xr:uid="{00000000-0005-0000-0000-000015350000}"/>
    <cellStyle name="Normal 4 2 13 3 4" xfId="13552" xr:uid="{00000000-0005-0000-0000-000016350000}"/>
    <cellStyle name="Normal 4 2 13 4" xfId="13553" xr:uid="{00000000-0005-0000-0000-000017350000}"/>
    <cellStyle name="Normal 4 2 13 4 2" xfId="13554" xr:uid="{00000000-0005-0000-0000-000018350000}"/>
    <cellStyle name="Normal 4 2 13 4 3" xfId="13555" xr:uid="{00000000-0005-0000-0000-000019350000}"/>
    <cellStyle name="Normal 4 2 13 5" xfId="13556" xr:uid="{00000000-0005-0000-0000-00001A350000}"/>
    <cellStyle name="Normal 4 2 13 6" xfId="13557" xr:uid="{00000000-0005-0000-0000-00001B350000}"/>
    <cellStyle name="Normal 4 2 14" xfId="13558" xr:uid="{00000000-0005-0000-0000-00001C350000}"/>
    <cellStyle name="Normal 4 2 14 2" xfId="13559" xr:uid="{00000000-0005-0000-0000-00001D350000}"/>
    <cellStyle name="Normal 4 2 14 2 2" xfId="13560" xr:uid="{00000000-0005-0000-0000-00001E350000}"/>
    <cellStyle name="Normal 4 2 14 2 2 2" xfId="13561" xr:uid="{00000000-0005-0000-0000-00001F350000}"/>
    <cellStyle name="Normal 4 2 14 2 2 2 2" xfId="13562" xr:uid="{00000000-0005-0000-0000-000020350000}"/>
    <cellStyle name="Normal 4 2 14 2 2 2 3" xfId="13563" xr:uid="{00000000-0005-0000-0000-000021350000}"/>
    <cellStyle name="Normal 4 2 14 2 2 3" xfId="13564" xr:uid="{00000000-0005-0000-0000-000022350000}"/>
    <cellStyle name="Normal 4 2 14 2 2 4" xfId="13565" xr:uid="{00000000-0005-0000-0000-000023350000}"/>
    <cellStyle name="Normal 4 2 14 2 3" xfId="13566" xr:uid="{00000000-0005-0000-0000-000024350000}"/>
    <cellStyle name="Normal 4 2 14 2 3 2" xfId="13567" xr:uid="{00000000-0005-0000-0000-000025350000}"/>
    <cellStyle name="Normal 4 2 14 2 3 3" xfId="13568" xr:uid="{00000000-0005-0000-0000-000026350000}"/>
    <cellStyle name="Normal 4 2 14 2 4" xfId="13569" xr:uid="{00000000-0005-0000-0000-000027350000}"/>
    <cellStyle name="Normal 4 2 14 2 5" xfId="13570" xr:uid="{00000000-0005-0000-0000-000028350000}"/>
    <cellStyle name="Normal 4 2 14 3" xfId="13571" xr:uid="{00000000-0005-0000-0000-000029350000}"/>
    <cellStyle name="Normal 4 2 14 3 2" xfId="13572" xr:uid="{00000000-0005-0000-0000-00002A350000}"/>
    <cellStyle name="Normal 4 2 14 3 2 2" xfId="13573" xr:uid="{00000000-0005-0000-0000-00002B350000}"/>
    <cellStyle name="Normal 4 2 14 3 2 3" xfId="13574" xr:uid="{00000000-0005-0000-0000-00002C350000}"/>
    <cellStyle name="Normal 4 2 14 3 3" xfId="13575" xr:uid="{00000000-0005-0000-0000-00002D350000}"/>
    <cellStyle name="Normal 4 2 14 3 4" xfId="13576" xr:uid="{00000000-0005-0000-0000-00002E350000}"/>
    <cellStyle name="Normal 4 2 14 4" xfId="13577" xr:uid="{00000000-0005-0000-0000-00002F350000}"/>
    <cellStyle name="Normal 4 2 14 4 2" xfId="13578" xr:uid="{00000000-0005-0000-0000-000030350000}"/>
    <cellStyle name="Normal 4 2 14 4 3" xfId="13579" xr:uid="{00000000-0005-0000-0000-000031350000}"/>
    <cellStyle name="Normal 4 2 14 5" xfId="13580" xr:uid="{00000000-0005-0000-0000-000032350000}"/>
    <cellStyle name="Normal 4 2 14 6" xfId="13581" xr:uid="{00000000-0005-0000-0000-000033350000}"/>
    <cellStyle name="Normal 4 2 15" xfId="13582" xr:uid="{00000000-0005-0000-0000-000034350000}"/>
    <cellStyle name="Normal 4 2 15 2" xfId="13583" xr:uid="{00000000-0005-0000-0000-000035350000}"/>
    <cellStyle name="Normal 4 2 15 2 2" xfId="13584" xr:uid="{00000000-0005-0000-0000-000036350000}"/>
    <cellStyle name="Normal 4 2 15 2 2 2" xfId="13585" xr:uid="{00000000-0005-0000-0000-000037350000}"/>
    <cellStyle name="Normal 4 2 15 2 2 2 2" xfId="13586" xr:uid="{00000000-0005-0000-0000-000038350000}"/>
    <cellStyle name="Normal 4 2 15 2 2 2 3" xfId="13587" xr:uid="{00000000-0005-0000-0000-000039350000}"/>
    <cellStyle name="Normal 4 2 15 2 2 3" xfId="13588" xr:uid="{00000000-0005-0000-0000-00003A350000}"/>
    <cellStyle name="Normal 4 2 15 2 2 4" xfId="13589" xr:uid="{00000000-0005-0000-0000-00003B350000}"/>
    <cellStyle name="Normal 4 2 15 2 3" xfId="13590" xr:uid="{00000000-0005-0000-0000-00003C350000}"/>
    <cellStyle name="Normal 4 2 15 2 3 2" xfId="13591" xr:uid="{00000000-0005-0000-0000-00003D350000}"/>
    <cellStyle name="Normal 4 2 15 2 3 3" xfId="13592" xr:uid="{00000000-0005-0000-0000-00003E350000}"/>
    <cellStyle name="Normal 4 2 15 2 4" xfId="13593" xr:uid="{00000000-0005-0000-0000-00003F350000}"/>
    <cellStyle name="Normal 4 2 15 2 5" xfId="13594" xr:uid="{00000000-0005-0000-0000-000040350000}"/>
    <cellStyle name="Normal 4 2 15 3" xfId="13595" xr:uid="{00000000-0005-0000-0000-000041350000}"/>
    <cellStyle name="Normal 4 2 15 3 2" xfId="13596" xr:uid="{00000000-0005-0000-0000-000042350000}"/>
    <cellStyle name="Normal 4 2 15 3 2 2" xfId="13597" xr:uid="{00000000-0005-0000-0000-000043350000}"/>
    <cellStyle name="Normal 4 2 15 3 2 3" xfId="13598" xr:uid="{00000000-0005-0000-0000-000044350000}"/>
    <cellStyle name="Normal 4 2 15 3 3" xfId="13599" xr:uid="{00000000-0005-0000-0000-000045350000}"/>
    <cellStyle name="Normal 4 2 15 3 4" xfId="13600" xr:uid="{00000000-0005-0000-0000-000046350000}"/>
    <cellStyle name="Normal 4 2 15 4" xfId="13601" xr:uid="{00000000-0005-0000-0000-000047350000}"/>
    <cellStyle name="Normal 4 2 15 4 2" xfId="13602" xr:uid="{00000000-0005-0000-0000-000048350000}"/>
    <cellStyle name="Normal 4 2 15 4 3" xfId="13603" xr:uid="{00000000-0005-0000-0000-000049350000}"/>
    <cellStyle name="Normal 4 2 15 5" xfId="13604" xr:uid="{00000000-0005-0000-0000-00004A350000}"/>
    <cellStyle name="Normal 4 2 15 6" xfId="13605" xr:uid="{00000000-0005-0000-0000-00004B350000}"/>
    <cellStyle name="Normal 4 2 16" xfId="13606" xr:uid="{00000000-0005-0000-0000-00004C350000}"/>
    <cellStyle name="Normal 4 2 16 2" xfId="13607" xr:uid="{00000000-0005-0000-0000-00004D350000}"/>
    <cellStyle name="Normal 4 2 16 2 2" xfId="13608" xr:uid="{00000000-0005-0000-0000-00004E350000}"/>
    <cellStyle name="Normal 4 2 16 2 2 2" xfId="13609" xr:uid="{00000000-0005-0000-0000-00004F350000}"/>
    <cellStyle name="Normal 4 2 16 2 2 2 2" xfId="13610" xr:uid="{00000000-0005-0000-0000-000050350000}"/>
    <cellStyle name="Normal 4 2 16 2 2 2 3" xfId="13611" xr:uid="{00000000-0005-0000-0000-000051350000}"/>
    <cellStyle name="Normal 4 2 16 2 2 3" xfId="13612" xr:uid="{00000000-0005-0000-0000-000052350000}"/>
    <cellStyle name="Normal 4 2 16 2 2 4" xfId="13613" xr:uid="{00000000-0005-0000-0000-000053350000}"/>
    <cellStyle name="Normal 4 2 16 2 3" xfId="13614" xr:uid="{00000000-0005-0000-0000-000054350000}"/>
    <cellStyle name="Normal 4 2 16 2 3 2" xfId="13615" xr:uid="{00000000-0005-0000-0000-000055350000}"/>
    <cellStyle name="Normal 4 2 16 2 3 3" xfId="13616" xr:uid="{00000000-0005-0000-0000-000056350000}"/>
    <cellStyle name="Normal 4 2 16 2 4" xfId="13617" xr:uid="{00000000-0005-0000-0000-000057350000}"/>
    <cellStyle name="Normal 4 2 16 2 5" xfId="13618" xr:uid="{00000000-0005-0000-0000-000058350000}"/>
    <cellStyle name="Normal 4 2 16 3" xfId="13619" xr:uid="{00000000-0005-0000-0000-000059350000}"/>
    <cellStyle name="Normal 4 2 16 3 2" xfId="13620" xr:uid="{00000000-0005-0000-0000-00005A350000}"/>
    <cellStyle name="Normal 4 2 16 3 2 2" xfId="13621" xr:uid="{00000000-0005-0000-0000-00005B350000}"/>
    <cellStyle name="Normal 4 2 16 3 2 3" xfId="13622" xr:uid="{00000000-0005-0000-0000-00005C350000}"/>
    <cellStyle name="Normal 4 2 16 3 3" xfId="13623" xr:uid="{00000000-0005-0000-0000-00005D350000}"/>
    <cellStyle name="Normal 4 2 16 3 4" xfId="13624" xr:uid="{00000000-0005-0000-0000-00005E350000}"/>
    <cellStyle name="Normal 4 2 16 4" xfId="13625" xr:uid="{00000000-0005-0000-0000-00005F350000}"/>
    <cellStyle name="Normal 4 2 16 4 2" xfId="13626" xr:uid="{00000000-0005-0000-0000-000060350000}"/>
    <cellStyle name="Normal 4 2 16 4 3" xfId="13627" xr:uid="{00000000-0005-0000-0000-000061350000}"/>
    <cellStyle name="Normal 4 2 16 5" xfId="13628" xr:uid="{00000000-0005-0000-0000-000062350000}"/>
    <cellStyle name="Normal 4 2 16 6" xfId="13629" xr:uid="{00000000-0005-0000-0000-000063350000}"/>
    <cellStyle name="Normal 4 2 17" xfId="13630" xr:uid="{00000000-0005-0000-0000-000064350000}"/>
    <cellStyle name="Normal 4 2 17 2" xfId="13631" xr:uid="{00000000-0005-0000-0000-000065350000}"/>
    <cellStyle name="Normal 4 2 17 2 2" xfId="13632" xr:uid="{00000000-0005-0000-0000-000066350000}"/>
    <cellStyle name="Normal 4 2 17 2 2 2" xfId="13633" xr:uid="{00000000-0005-0000-0000-000067350000}"/>
    <cellStyle name="Normal 4 2 17 2 2 2 2" xfId="13634" xr:uid="{00000000-0005-0000-0000-000068350000}"/>
    <cellStyle name="Normal 4 2 17 2 2 2 3" xfId="13635" xr:uid="{00000000-0005-0000-0000-000069350000}"/>
    <cellStyle name="Normal 4 2 17 2 2 3" xfId="13636" xr:uid="{00000000-0005-0000-0000-00006A350000}"/>
    <cellStyle name="Normal 4 2 17 2 2 4" xfId="13637" xr:uid="{00000000-0005-0000-0000-00006B350000}"/>
    <cellStyle name="Normal 4 2 17 2 3" xfId="13638" xr:uid="{00000000-0005-0000-0000-00006C350000}"/>
    <cellStyle name="Normal 4 2 17 2 3 2" xfId="13639" xr:uid="{00000000-0005-0000-0000-00006D350000}"/>
    <cellStyle name="Normal 4 2 17 2 3 3" xfId="13640" xr:uid="{00000000-0005-0000-0000-00006E350000}"/>
    <cellStyle name="Normal 4 2 17 2 4" xfId="13641" xr:uid="{00000000-0005-0000-0000-00006F350000}"/>
    <cellStyle name="Normal 4 2 17 2 5" xfId="13642" xr:uid="{00000000-0005-0000-0000-000070350000}"/>
    <cellStyle name="Normal 4 2 17 3" xfId="13643" xr:uid="{00000000-0005-0000-0000-000071350000}"/>
    <cellStyle name="Normal 4 2 17 3 2" xfId="13644" xr:uid="{00000000-0005-0000-0000-000072350000}"/>
    <cellStyle name="Normal 4 2 17 3 2 2" xfId="13645" xr:uid="{00000000-0005-0000-0000-000073350000}"/>
    <cellStyle name="Normal 4 2 17 3 2 3" xfId="13646" xr:uid="{00000000-0005-0000-0000-000074350000}"/>
    <cellStyle name="Normal 4 2 17 3 3" xfId="13647" xr:uid="{00000000-0005-0000-0000-000075350000}"/>
    <cellStyle name="Normal 4 2 17 3 4" xfId="13648" xr:uid="{00000000-0005-0000-0000-000076350000}"/>
    <cellStyle name="Normal 4 2 17 4" xfId="13649" xr:uid="{00000000-0005-0000-0000-000077350000}"/>
    <cellStyle name="Normal 4 2 17 4 2" xfId="13650" xr:uid="{00000000-0005-0000-0000-000078350000}"/>
    <cellStyle name="Normal 4 2 17 4 3" xfId="13651" xr:uid="{00000000-0005-0000-0000-000079350000}"/>
    <cellStyle name="Normal 4 2 17 5" xfId="13652" xr:uid="{00000000-0005-0000-0000-00007A350000}"/>
    <cellStyle name="Normal 4 2 17 6" xfId="13653" xr:uid="{00000000-0005-0000-0000-00007B350000}"/>
    <cellStyle name="Normal 4 2 18" xfId="13654" xr:uid="{00000000-0005-0000-0000-00007C350000}"/>
    <cellStyle name="Normal 4 2 18 2" xfId="13655" xr:uid="{00000000-0005-0000-0000-00007D350000}"/>
    <cellStyle name="Normal 4 2 18 2 2" xfId="13656" xr:uid="{00000000-0005-0000-0000-00007E350000}"/>
    <cellStyle name="Normal 4 2 18 2 2 2" xfId="13657" xr:uid="{00000000-0005-0000-0000-00007F350000}"/>
    <cellStyle name="Normal 4 2 18 2 2 2 2" xfId="13658" xr:uid="{00000000-0005-0000-0000-000080350000}"/>
    <cellStyle name="Normal 4 2 18 2 2 2 3" xfId="13659" xr:uid="{00000000-0005-0000-0000-000081350000}"/>
    <cellStyle name="Normal 4 2 18 2 2 3" xfId="13660" xr:uid="{00000000-0005-0000-0000-000082350000}"/>
    <cellStyle name="Normal 4 2 18 2 2 4" xfId="13661" xr:uid="{00000000-0005-0000-0000-000083350000}"/>
    <cellStyle name="Normal 4 2 18 2 3" xfId="13662" xr:uid="{00000000-0005-0000-0000-000084350000}"/>
    <cellStyle name="Normal 4 2 18 2 3 2" xfId="13663" xr:uid="{00000000-0005-0000-0000-000085350000}"/>
    <cellStyle name="Normal 4 2 18 2 3 3" xfId="13664" xr:uid="{00000000-0005-0000-0000-000086350000}"/>
    <cellStyle name="Normal 4 2 18 2 4" xfId="13665" xr:uid="{00000000-0005-0000-0000-000087350000}"/>
    <cellStyle name="Normal 4 2 18 2 5" xfId="13666" xr:uid="{00000000-0005-0000-0000-000088350000}"/>
    <cellStyle name="Normal 4 2 18 3" xfId="13667" xr:uid="{00000000-0005-0000-0000-000089350000}"/>
    <cellStyle name="Normal 4 2 18 3 2" xfId="13668" xr:uid="{00000000-0005-0000-0000-00008A350000}"/>
    <cellStyle name="Normal 4 2 18 3 2 2" xfId="13669" xr:uid="{00000000-0005-0000-0000-00008B350000}"/>
    <cellStyle name="Normal 4 2 18 3 2 3" xfId="13670" xr:uid="{00000000-0005-0000-0000-00008C350000}"/>
    <cellStyle name="Normal 4 2 18 3 3" xfId="13671" xr:uid="{00000000-0005-0000-0000-00008D350000}"/>
    <cellStyle name="Normal 4 2 18 3 4" xfId="13672" xr:uid="{00000000-0005-0000-0000-00008E350000}"/>
    <cellStyle name="Normal 4 2 18 4" xfId="13673" xr:uid="{00000000-0005-0000-0000-00008F350000}"/>
    <cellStyle name="Normal 4 2 18 4 2" xfId="13674" xr:uid="{00000000-0005-0000-0000-000090350000}"/>
    <cellStyle name="Normal 4 2 18 4 3" xfId="13675" xr:uid="{00000000-0005-0000-0000-000091350000}"/>
    <cellStyle name="Normal 4 2 18 5" xfId="13676" xr:uid="{00000000-0005-0000-0000-000092350000}"/>
    <cellStyle name="Normal 4 2 18 6" xfId="13677" xr:uid="{00000000-0005-0000-0000-000093350000}"/>
    <cellStyle name="Normal 4 2 19" xfId="13678" xr:uid="{00000000-0005-0000-0000-000094350000}"/>
    <cellStyle name="Normal 4 2 19 2" xfId="13679" xr:uid="{00000000-0005-0000-0000-000095350000}"/>
    <cellStyle name="Normal 4 2 19 2 2" xfId="13680" xr:uid="{00000000-0005-0000-0000-000096350000}"/>
    <cellStyle name="Normal 4 2 19 2 2 2" xfId="13681" xr:uid="{00000000-0005-0000-0000-000097350000}"/>
    <cellStyle name="Normal 4 2 19 2 2 2 2" xfId="13682" xr:uid="{00000000-0005-0000-0000-000098350000}"/>
    <cellStyle name="Normal 4 2 19 2 2 2 3" xfId="13683" xr:uid="{00000000-0005-0000-0000-000099350000}"/>
    <cellStyle name="Normal 4 2 19 2 2 3" xfId="13684" xr:uid="{00000000-0005-0000-0000-00009A350000}"/>
    <cellStyle name="Normal 4 2 19 2 2 4" xfId="13685" xr:uid="{00000000-0005-0000-0000-00009B350000}"/>
    <cellStyle name="Normal 4 2 19 2 3" xfId="13686" xr:uid="{00000000-0005-0000-0000-00009C350000}"/>
    <cellStyle name="Normal 4 2 19 2 3 2" xfId="13687" xr:uid="{00000000-0005-0000-0000-00009D350000}"/>
    <cellStyle name="Normal 4 2 19 2 3 3" xfId="13688" xr:uid="{00000000-0005-0000-0000-00009E350000}"/>
    <cellStyle name="Normal 4 2 19 2 4" xfId="13689" xr:uid="{00000000-0005-0000-0000-00009F350000}"/>
    <cellStyle name="Normal 4 2 19 2 5" xfId="13690" xr:uid="{00000000-0005-0000-0000-0000A0350000}"/>
    <cellStyle name="Normal 4 2 19 3" xfId="13691" xr:uid="{00000000-0005-0000-0000-0000A1350000}"/>
    <cellStyle name="Normal 4 2 19 3 2" xfId="13692" xr:uid="{00000000-0005-0000-0000-0000A2350000}"/>
    <cellStyle name="Normal 4 2 19 3 2 2" xfId="13693" xr:uid="{00000000-0005-0000-0000-0000A3350000}"/>
    <cellStyle name="Normal 4 2 19 3 2 3" xfId="13694" xr:uid="{00000000-0005-0000-0000-0000A4350000}"/>
    <cellStyle name="Normal 4 2 19 3 3" xfId="13695" xr:uid="{00000000-0005-0000-0000-0000A5350000}"/>
    <cellStyle name="Normal 4 2 19 3 4" xfId="13696" xr:uid="{00000000-0005-0000-0000-0000A6350000}"/>
    <cellStyle name="Normal 4 2 19 4" xfId="13697" xr:uid="{00000000-0005-0000-0000-0000A7350000}"/>
    <cellStyle name="Normal 4 2 19 4 2" xfId="13698" xr:uid="{00000000-0005-0000-0000-0000A8350000}"/>
    <cellStyle name="Normal 4 2 19 4 3" xfId="13699" xr:uid="{00000000-0005-0000-0000-0000A9350000}"/>
    <cellStyle name="Normal 4 2 19 5" xfId="13700" xr:uid="{00000000-0005-0000-0000-0000AA350000}"/>
    <cellStyle name="Normal 4 2 19 6" xfId="13701" xr:uid="{00000000-0005-0000-0000-0000AB350000}"/>
    <cellStyle name="Normal 4 2 2" xfId="13702" xr:uid="{00000000-0005-0000-0000-0000AC350000}"/>
    <cellStyle name="Normal 4 2 2 10" xfId="13703" xr:uid="{00000000-0005-0000-0000-0000AD350000}"/>
    <cellStyle name="Normal 4 2 2 2" xfId="13704" xr:uid="{00000000-0005-0000-0000-0000AE350000}"/>
    <cellStyle name="Normal 4 2 2 2 2" xfId="13705" xr:uid="{00000000-0005-0000-0000-0000AF350000}"/>
    <cellStyle name="Normal 4 2 2 2 2 2" xfId="13706" xr:uid="{00000000-0005-0000-0000-0000B0350000}"/>
    <cellStyle name="Normal 4 2 2 2 2 2 2" xfId="13707" xr:uid="{00000000-0005-0000-0000-0000B1350000}"/>
    <cellStyle name="Normal 4 2 2 2 2 2 2 2" xfId="13708" xr:uid="{00000000-0005-0000-0000-0000B2350000}"/>
    <cellStyle name="Normal 4 2 2 2 2 2 2 3" xfId="13709" xr:uid="{00000000-0005-0000-0000-0000B3350000}"/>
    <cellStyle name="Normal 4 2 2 2 2 2 3" xfId="13710" xr:uid="{00000000-0005-0000-0000-0000B4350000}"/>
    <cellStyle name="Normal 4 2 2 2 2 2 4" xfId="13711" xr:uid="{00000000-0005-0000-0000-0000B5350000}"/>
    <cellStyle name="Normal 4 2 2 2 2 3" xfId="13712" xr:uid="{00000000-0005-0000-0000-0000B6350000}"/>
    <cellStyle name="Normal 4 2 2 2 2 3 2" xfId="13713" xr:uid="{00000000-0005-0000-0000-0000B7350000}"/>
    <cellStyle name="Normal 4 2 2 2 2 3 3" xfId="13714" xr:uid="{00000000-0005-0000-0000-0000B8350000}"/>
    <cellStyle name="Normal 4 2 2 2 2 4" xfId="13715" xr:uid="{00000000-0005-0000-0000-0000B9350000}"/>
    <cellStyle name="Normal 4 2 2 2 2 5" xfId="13716" xr:uid="{00000000-0005-0000-0000-0000BA350000}"/>
    <cellStyle name="Normal 4 2 2 2 3" xfId="13717" xr:uid="{00000000-0005-0000-0000-0000BB350000}"/>
    <cellStyle name="Normal 4 2 2 2 3 2" xfId="13718" xr:uid="{00000000-0005-0000-0000-0000BC350000}"/>
    <cellStyle name="Normal 4 2 2 2 3 2 2" xfId="13719" xr:uid="{00000000-0005-0000-0000-0000BD350000}"/>
    <cellStyle name="Normal 4 2 2 2 3 2 3" xfId="13720" xr:uid="{00000000-0005-0000-0000-0000BE350000}"/>
    <cellStyle name="Normal 4 2 2 2 3 3" xfId="13721" xr:uid="{00000000-0005-0000-0000-0000BF350000}"/>
    <cellStyle name="Normal 4 2 2 2 3 4" xfId="13722" xr:uid="{00000000-0005-0000-0000-0000C0350000}"/>
    <cellStyle name="Normal 4 2 2 2 4" xfId="13723" xr:uid="{00000000-0005-0000-0000-0000C1350000}"/>
    <cellStyle name="Normal 4 2 2 2 4 2" xfId="13724" xr:uid="{00000000-0005-0000-0000-0000C2350000}"/>
    <cellStyle name="Normal 4 2 2 2 4 3" xfId="13725" xr:uid="{00000000-0005-0000-0000-0000C3350000}"/>
    <cellStyle name="Normal 4 2 2 2 5" xfId="13726" xr:uid="{00000000-0005-0000-0000-0000C4350000}"/>
    <cellStyle name="Normal 4 2 2 2 6" xfId="13727" xr:uid="{00000000-0005-0000-0000-0000C5350000}"/>
    <cellStyle name="Normal 4 2 2 3" xfId="13728" xr:uid="{00000000-0005-0000-0000-0000C6350000}"/>
    <cellStyle name="Normal 4 2 2 3 2" xfId="13729" xr:uid="{00000000-0005-0000-0000-0000C7350000}"/>
    <cellStyle name="Normal 4 2 2 3 2 2" xfId="13730" xr:uid="{00000000-0005-0000-0000-0000C8350000}"/>
    <cellStyle name="Normal 4 2 2 3 2 2 2" xfId="13731" xr:uid="{00000000-0005-0000-0000-0000C9350000}"/>
    <cellStyle name="Normal 4 2 2 3 2 2 2 2" xfId="13732" xr:uid="{00000000-0005-0000-0000-0000CA350000}"/>
    <cellStyle name="Normal 4 2 2 3 2 2 2 3" xfId="13733" xr:uid="{00000000-0005-0000-0000-0000CB350000}"/>
    <cellStyle name="Normal 4 2 2 3 2 2 3" xfId="13734" xr:uid="{00000000-0005-0000-0000-0000CC350000}"/>
    <cellStyle name="Normal 4 2 2 3 2 2 4" xfId="13735" xr:uid="{00000000-0005-0000-0000-0000CD350000}"/>
    <cellStyle name="Normal 4 2 2 3 2 3" xfId="13736" xr:uid="{00000000-0005-0000-0000-0000CE350000}"/>
    <cellStyle name="Normal 4 2 2 3 2 3 2" xfId="13737" xr:uid="{00000000-0005-0000-0000-0000CF350000}"/>
    <cellStyle name="Normal 4 2 2 3 2 3 3" xfId="13738" xr:uid="{00000000-0005-0000-0000-0000D0350000}"/>
    <cellStyle name="Normal 4 2 2 3 2 4" xfId="13739" xr:uid="{00000000-0005-0000-0000-0000D1350000}"/>
    <cellStyle name="Normal 4 2 2 3 2 5" xfId="13740" xr:uid="{00000000-0005-0000-0000-0000D2350000}"/>
    <cellStyle name="Normal 4 2 2 3 3" xfId="13741" xr:uid="{00000000-0005-0000-0000-0000D3350000}"/>
    <cellStyle name="Normal 4 2 2 3 3 2" xfId="13742" xr:uid="{00000000-0005-0000-0000-0000D4350000}"/>
    <cellStyle name="Normal 4 2 2 3 3 2 2" xfId="13743" xr:uid="{00000000-0005-0000-0000-0000D5350000}"/>
    <cellStyle name="Normal 4 2 2 3 3 2 3" xfId="13744" xr:uid="{00000000-0005-0000-0000-0000D6350000}"/>
    <cellStyle name="Normal 4 2 2 3 3 3" xfId="13745" xr:uid="{00000000-0005-0000-0000-0000D7350000}"/>
    <cellStyle name="Normal 4 2 2 3 3 4" xfId="13746" xr:uid="{00000000-0005-0000-0000-0000D8350000}"/>
    <cellStyle name="Normal 4 2 2 3 4" xfId="13747" xr:uid="{00000000-0005-0000-0000-0000D9350000}"/>
    <cellStyle name="Normal 4 2 2 3 4 2" xfId="13748" xr:uid="{00000000-0005-0000-0000-0000DA350000}"/>
    <cellStyle name="Normal 4 2 2 3 4 3" xfId="13749" xr:uid="{00000000-0005-0000-0000-0000DB350000}"/>
    <cellStyle name="Normal 4 2 2 3 5" xfId="13750" xr:uid="{00000000-0005-0000-0000-0000DC350000}"/>
    <cellStyle name="Normal 4 2 2 3 6" xfId="13751" xr:uid="{00000000-0005-0000-0000-0000DD350000}"/>
    <cellStyle name="Normal 4 2 2 4" xfId="13752" xr:uid="{00000000-0005-0000-0000-0000DE350000}"/>
    <cellStyle name="Normal 4 2 2 4 2" xfId="13753" xr:uid="{00000000-0005-0000-0000-0000DF350000}"/>
    <cellStyle name="Normal 4 2 2 4 2 2" xfId="13754" xr:uid="{00000000-0005-0000-0000-0000E0350000}"/>
    <cellStyle name="Normal 4 2 2 4 2 2 2" xfId="13755" xr:uid="{00000000-0005-0000-0000-0000E1350000}"/>
    <cellStyle name="Normal 4 2 2 4 2 2 2 2" xfId="13756" xr:uid="{00000000-0005-0000-0000-0000E2350000}"/>
    <cellStyle name="Normal 4 2 2 4 2 2 2 3" xfId="13757" xr:uid="{00000000-0005-0000-0000-0000E3350000}"/>
    <cellStyle name="Normal 4 2 2 4 2 2 3" xfId="13758" xr:uid="{00000000-0005-0000-0000-0000E4350000}"/>
    <cellStyle name="Normal 4 2 2 4 2 2 4" xfId="13759" xr:uid="{00000000-0005-0000-0000-0000E5350000}"/>
    <cellStyle name="Normal 4 2 2 4 2 3" xfId="13760" xr:uid="{00000000-0005-0000-0000-0000E6350000}"/>
    <cellStyle name="Normal 4 2 2 4 2 3 2" xfId="13761" xr:uid="{00000000-0005-0000-0000-0000E7350000}"/>
    <cellStyle name="Normal 4 2 2 4 2 3 3" xfId="13762" xr:uid="{00000000-0005-0000-0000-0000E8350000}"/>
    <cellStyle name="Normal 4 2 2 4 2 4" xfId="13763" xr:uid="{00000000-0005-0000-0000-0000E9350000}"/>
    <cellStyle name="Normal 4 2 2 4 2 5" xfId="13764" xr:uid="{00000000-0005-0000-0000-0000EA350000}"/>
    <cellStyle name="Normal 4 2 2 4 3" xfId="13765" xr:uid="{00000000-0005-0000-0000-0000EB350000}"/>
    <cellStyle name="Normal 4 2 2 4 3 2" xfId="13766" xr:uid="{00000000-0005-0000-0000-0000EC350000}"/>
    <cellStyle name="Normal 4 2 2 4 3 2 2" xfId="13767" xr:uid="{00000000-0005-0000-0000-0000ED350000}"/>
    <cellStyle name="Normal 4 2 2 4 3 2 3" xfId="13768" xr:uid="{00000000-0005-0000-0000-0000EE350000}"/>
    <cellStyle name="Normal 4 2 2 4 3 3" xfId="13769" xr:uid="{00000000-0005-0000-0000-0000EF350000}"/>
    <cellStyle name="Normal 4 2 2 4 3 4" xfId="13770" xr:uid="{00000000-0005-0000-0000-0000F0350000}"/>
    <cellStyle name="Normal 4 2 2 4 4" xfId="13771" xr:uid="{00000000-0005-0000-0000-0000F1350000}"/>
    <cellStyle name="Normal 4 2 2 4 4 2" xfId="13772" xr:uid="{00000000-0005-0000-0000-0000F2350000}"/>
    <cellStyle name="Normal 4 2 2 4 4 3" xfId="13773" xr:uid="{00000000-0005-0000-0000-0000F3350000}"/>
    <cellStyle name="Normal 4 2 2 4 5" xfId="13774" xr:uid="{00000000-0005-0000-0000-0000F4350000}"/>
    <cellStyle name="Normal 4 2 2 4 6" xfId="13775" xr:uid="{00000000-0005-0000-0000-0000F5350000}"/>
    <cellStyle name="Normal 4 2 2 5" xfId="13776" xr:uid="{00000000-0005-0000-0000-0000F6350000}"/>
    <cellStyle name="Normal 4 2 2 5 2" xfId="13777" xr:uid="{00000000-0005-0000-0000-0000F7350000}"/>
    <cellStyle name="Normal 4 2 2 5 2 2" xfId="13778" xr:uid="{00000000-0005-0000-0000-0000F8350000}"/>
    <cellStyle name="Normal 4 2 2 5 2 2 2" xfId="13779" xr:uid="{00000000-0005-0000-0000-0000F9350000}"/>
    <cellStyle name="Normal 4 2 2 5 2 2 2 2" xfId="13780" xr:uid="{00000000-0005-0000-0000-0000FA350000}"/>
    <cellStyle name="Normal 4 2 2 5 2 2 2 3" xfId="13781" xr:uid="{00000000-0005-0000-0000-0000FB350000}"/>
    <cellStyle name="Normal 4 2 2 5 2 2 3" xfId="13782" xr:uid="{00000000-0005-0000-0000-0000FC350000}"/>
    <cellStyle name="Normal 4 2 2 5 2 2 4" xfId="13783" xr:uid="{00000000-0005-0000-0000-0000FD350000}"/>
    <cellStyle name="Normal 4 2 2 5 2 3" xfId="13784" xr:uid="{00000000-0005-0000-0000-0000FE350000}"/>
    <cellStyle name="Normal 4 2 2 5 2 3 2" xfId="13785" xr:uid="{00000000-0005-0000-0000-0000FF350000}"/>
    <cellStyle name="Normal 4 2 2 5 2 3 3" xfId="13786" xr:uid="{00000000-0005-0000-0000-000000360000}"/>
    <cellStyle name="Normal 4 2 2 5 2 4" xfId="13787" xr:uid="{00000000-0005-0000-0000-000001360000}"/>
    <cellStyle name="Normal 4 2 2 5 2 5" xfId="13788" xr:uid="{00000000-0005-0000-0000-000002360000}"/>
    <cellStyle name="Normal 4 2 2 5 3" xfId="13789" xr:uid="{00000000-0005-0000-0000-000003360000}"/>
    <cellStyle name="Normal 4 2 2 5 3 2" xfId="13790" xr:uid="{00000000-0005-0000-0000-000004360000}"/>
    <cellStyle name="Normal 4 2 2 5 3 2 2" xfId="13791" xr:uid="{00000000-0005-0000-0000-000005360000}"/>
    <cellStyle name="Normal 4 2 2 5 3 2 3" xfId="13792" xr:uid="{00000000-0005-0000-0000-000006360000}"/>
    <cellStyle name="Normal 4 2 2 5 3 3" xfId="13793" xr:uid="{00000000-0005-0000-0000-000007360000}"/>
    <cellStyle name="Normal 4 2 2 5 3 4" xfId="13794" xr:uid="{00000000-0005-0000-0000-000008360000}"/>
    <cellStyle name="Normal 4 2 2 5 4" xfId="13795" xr:uid="{00000000-0005-0000-0000-000009360000}"/>
    <cellStyle name="Normal 4 2 2 5 4 2" xfId="13796" xr:uid="{00000000-0005-0000-0000-00000A360000}"/>
    <cellStyle name="Normal 4 2 2 5 4 3" xfId="13797" xr:uid="{00000000-0005-0000-0000-00000B360000}"/>
    <cellStyle name="Normal 4 2 2 5 5" xfId="13798" xr:uid="{00000000-0005-0000-0000-00000C360000}"/>
    <cellStyle name="Normal 4 2 2 5 6" xfId="13799" xr:uid="{00000000-0005-0000-0000-00000D360000}"/>
    <cellStyle name="Normal 4 2 2 6" xfId="13800" xr:uid="{00000000-0005-0000-0000-00000E360000}"/>
    <cellStyle name="Normal 4 2 2 6 2" xfId="13801" xr:uid="{00000000-0005-0000-0000-00000F360000}"/>
    <cellStyle name="Normal 4 2 2 6 2 2" xfId="13802" xr:uid="{00000000-0005-0000-0000-000010360000}"/>
    <cellStyle name="Normal 4 2 2 6 2 2 2" xfId="13803" xr:uid="{00000000-0005-0000-0000-000011360000}"/>
    <cellStyle name="Normal 4 2 2 6 2 2 3" xfId="13804" xr:uid="{00000000-0005-0000-0000-000012360000}"/>
    <cellStyle name="Normal 4 2 2 6 2 3" xfId="13805" xr:uid="{00000000-0005-0000-0000-000013360000}"/>
    <cellStyle name="Normal 4 2 2 6 2 4" xfId="13806" xr:uid="{00000000-0005-0000-0000-000014360000}"/>
    <cellStyle name="Normal 4 2 2 6 3" xfId="13807" xr:uid="{00000000-0005-0000-0000-000015360000}"/>
    <cellStyle name="Normal 4 2 2 6 3 2" xfId="13808" xr:uid="{00000000-0005-0000-0000-000016360000}"/>
    <cellStyle name="Normal 4 2 2 6 3 3" xfId="13809" xr:uid="{00000000-0005-0000-0000-000017360000}"/>
    <cellStyle name="Normal 4 2 2 6 4" xfId="13810" xr:uid="{00000000-0005-0000-0000-000018360000}"/>
    <cellStyle name="Normal 4 2 2 6 5" xfId="13811" xr:uid="{00000000-0005-0000-0000-000019360000}"/>
    <cellStyle name="Normal 4 2 2 7" xfId="13812" xr:uid="{00000000-0005-0000-0000-00001A360000}"/>
    <cellStyle name="Normal 4 2 2 7 2" xfId="13813" xr:uid="{00000000-0005-0000-0000-00001B360000}"/>
    <cellStyle name="Normal 4 2 2 7 2 2" xfId="13814" xr:uid="{00000000-0005-0000-0000-00001C360000}"/>
    <cellStyle name="Normal 4 2 2 7 2 3" xfId="13815" xr:uid="{00000000-0005-0000-0000-00001D360000}"/>
    <cellStyle name="Normal 4 2 2 7 3" xfId="13816" xr:uid="{00000000-0005-0000-0000-00001E360000}"/>
    <cellStyle name="Normal 4 2 2 7 4" xfId="13817" xr:uid="{00000000-0005-0000-0000-00001F360000}"/>
    <cellStyle name="Normal 4 2 2 8" xfId="13818" xr:uid="{00000000-0005-0000-0000-000020360000}"/>
    <cellStyle name="Normal 4 2 2 8 2" xfId="13819" xr:uid="{00000000-0005-0000-0000-000021360000}"/>
    <cellStyle name="Normal 4 2 2 8 3" xfId="13820" xr:uid="{00000000-0005-0000-0000-000022360000}"/>
    <cellStyle name="Normal 4 2 2 9" xfId="13821" xr:uid="{00000000-0005-0000-0000-000023360000}"/>
    <cellStyle name="Normal 4 2 20" xfId="13822" xr:uid="{00000000-0005-0000-0000-000024360000}"/>
    <cellStyle name="Normal 4 2 20 2" xfId="13823" xr:uid="{00000000-0005-0000-0000-000025360000}"/>
    <cellStyle name="Normal 4 2 20 2 2" xfId="13824" xr:uid="{00000000-0005-0000-0000-000026360000}"/>
    <cellStyle name="Normal 4 2 20 2 2 2" xfId="13825" xr:uid="{00000000-0005-0000-0000-000027360000}"/>
    <cellStyle name="Normal 4 2 20 2 2 2 2" xfId="13826" xr:uid="{00000000-0005-0000-0000-000028360000}"/>
    <cellStyle name="Normal 4 2 20 2 2 2 3" xfId="13827" xr:uid="{00000000-0005-0000-0000-000029360000}"/>
    <cellStyle name="Normal 4 2 20 2 2 3" xfId="13828" xr:uid="{00000000-0005-0000-0000-00002A360000}"/>
    <cellStyle name="Normal 4 2 20 2 2 4" xfId="13829" xr:uid="{00000000-0005-0000-0000-00002B360000}"/>
    <cellStyle name="Normal 4 2 20 2 3" xfId="13830" xr:uid="{00000000-0005-0000-0000-00002C360000}"/>
    <cellStyle name="Normal 4 2 20 2 3 2" xfId="13831" xr:uid="{00000000-0005-0000-0000-00002D360000}"/>
    <cellStyle name="Normal 4 2 20 2 3 3" xfId="13832" xr:uid="{00000000-0005-0000-0000-00002E360000}"/>
    <cellStyle name="Normal 4 2 20 2 4" xfId="13833" xr:uid="{00000000-0005-0000-0000-00002F360000}"/>
    <cellStyle name="Normal 4 2 20 2 5" xfId="13834" xr:uid="{00000000-0005-0000-0000-000030360000}"/>
    <cellStyle name="Normal 4 2 20 3" xfId="13835" xr:uid="{00000000-0005-0000-0000-000031360000}"/>
    <cellStyle name="Normal 4 2 20 3 2" xfId="13836" xr:uid="{00000000-0005-0000-0000-000032360000}"/>
    <cellStyle name="Normal 4 2 20 3 2 2" xfId="13837" xr:uid="{00000000-0005-0000-0000-000033360000}"/>
    <cellStyle name="Normal 4 2 20 3 2 3" xfId="13838" xr:uid="{00000000-0005-0000-0000-000034360000}"/>
    <cellStyle name="Normal 4 2 20 3 3" xfId="13839" xr:uid="{00000000-0005-0000-0000-000035360000}"/>
    <cellStyle name="Normal 4 2 20 3 4" xfId="13840" xr:uid="{00000000-0005-0000-0000-000036360000}"/>
    <cellStyle name="Normal 4 2 20 4" xfId="13841" xr:uid="{00000000-0005-0000-0000-000037360000}"/>
    <cellStyle name="Normal 4 2 20 4 2" xfId="13842" xr:uid="{00000000-0005-0000-0000-000038360000}"/>
    <cellStyle name="Normal 4 2 20 4 3" xfId="13843" xr:uid="{00000000-0005-0000-0000-000039360000}"/>
    <cellStyle name="Normal 4 2 20 5" xfId="13844" xr:uid="{00000000-0005-0000-0000-00003A360000}"/>
    <cellStyle name="Normal 4 2 20 6" xfId="13845" xr:uid="{00000000-0005-0000-0000-00003B360000}"/>
    <cellStyle name="Normal 4 2 21" xfId="13846" xr:uid="{00000000-0005-0000-0000-00003C360000}"/>
    <cellStyle name="Normal 4 2 21 2" xfId="13847" xr:uid="{00000000-0005-0000-0000-00003D360000}"/>
    <cellStyle name="Normal 4 2 21 2 2" xfId="13848" xr:uid="{00000000-0005-0000-0000-00003E360000}"/>
    <cellStyle name="Normal 4 2 21 2 2 2" xfId="13849" xr:uid="{00000000-0005-0000-0000-00003F360000}"/>
    <cellStyle name="Normal 4 2 21 2 2 2 2" xfId="13850" xr:uid="{00000000-0005-0000-0000-000040360000}"/>
    <cellStyle name="Normal 4 2 21 2 2 2 3" xfId="13851" xr:uid="{00000000-0005-0000-0000-000041360000}"/>
    <cellStyle name="Normal 4 2 21 2 2 3" xfId="13852" xr:uid="{00000000-0005-0000-0000-000042360000}"/>
    <cellStyle name="Normal 4 2 21 2 2 4" xfId="13853" xr:uid="{00000000-0005-0000-0000-000043360000}"/>
    <cellStyle name="Normal 4 2 21 2 3" xfId="13854" xr:uid="{00000000-0005-0000-0000-000044360000}"/>
    <cellStyle name="Normal 4 2 21 2 3 2" xfId="13855" xr:uid="{00000000-0005-0000-0000-000045360000}"/>
    <cellStyle name="Normal 4 2 21 2 3 3" xfId="13856" xr:uid="{00000000-0005-0000-0000-000046360000}"/>
    <cellStyle name="Normal 4 2 21 2 4" xfId="13857" xr:uid="{00000000-0005-0000-0000-000047360000}"/>
    <cellStyle name="Normal 4 2 21 2 5" xfId="13858" xr:uid="{00000000-0005-0000-0000-000048360000}"/>
    <cellStyle name="Normal 4 2 21 3" xfId="13859" xr:uid="{00000000-0005-0000-0000-000049360000}"/>
    <cellStyle name="Normal 4 2 21 3 2" xfId="13860" xr:uid="{00000000-0005-0000-0000-00004A360000}"/>
    <cellStyle name="Normal 4 2 21 3 2 2" xfId="13861" xr:uid="{00000000-0005-0000-0000-00004B360000}"/>
    <cellStyle name="Normal 4 2 21 3 2 3" xfId="13862" xr:uid="{00000000-0005-0000-0000-00004C360000}"/>
    <cellStyle name="Normal 4 2 21 3 3" xfId="13863" xr:uid="{00000000-0005-0000-0000-00004D360000}"/>
    <cellStyle name="Normal 4 2 21 3 4" xfId="13864" xr:uid="{00000000-0005-0000-0000-00004E360000}"/>
    <cellStyle name="Normal 4 2 21 4" xfId="13865" xr:uid="{00000000-0005-0000-0000-00004F360000}"/>
    <cellStyle name="Normal 4 2 21 4 2" xfId="13866" xr:uid="{00000000-0005-0000-0000-000050360000}"/>
    <cellStyle name="Normal 4 2 21 4 3" xfId="13867" xr:uid="{00000000-0005-0000-0000-000051360000}"/>
    <cellStyle name="Normal 4 2 21 5" xfId="13868" xr:uid="{00000000-0005-0000-0000-000052360000}"/>
    <cellStyle name="Normal 4 2 21 6" xfId="13869" xr:uid="{00000000-0005-0000-0000-000053360000}"/>
    <cellStyle name="Normal 4 2 22" xfId="13870" xr:uid="{00000000-0005-0000-0000-000054360000}"/>
    <cellStyle name="Normal 4 2 22 2" xfId="13871" xr:uid="{00000000-0005-0000-0000-000055360000}"/>
    <cellStyle name="Normal 4 2 22 2 2" xfId="13872" xr:uid="{00000000-0005-0000-0000-000056360000}"/>
    <cellStyle name="Normal 4 2 22 2 2 2" xfId="13873" xr:uid="{00000000-0005-0000-0000-000057360000}"/>
    <cellStyle name="Normal 4 2 22 2 2 2 2" xfId="13874" xr:uid="{00000000-0005-0000-0000-000058360000}"/>
    <cellStyle name="Normal 4 2 22 2 2 2 3" xfId="13875" xr:uid="{00000000-0005-0000-0000-000059360000}"/>
    <cellStyle name="Normal 4 2 22 2 2 3" xfId="13876" xr:uid="{00000000-0005-0000-0000-00005A360000}"/>
    <cellStyle name="Normal 4 2 22 2 2 4" xfId="13877" xr:uid="{00000000-0005-0000-0000-00005B360000}"/>
    <cellStyle name="Normal 4 2 22 2 3" xfId="13878" xr:uid="{00000000-0005-0000-0000-00005C360000}"/>
    <cellStyle name="Normal 4 2 22 2 3 2" xfId="13879" xr:uid="{00000000-0005-0000-0000-00005D360000}"/>
    <cellStyle name="Normal 4 2 22 2 3 3" xfId="13880" xr:uid="{00000000-0005-0000-0000-00005E360000}"/>
    <cellStyle name="Normal 4 2 22 2 4" xfId="13881" xr:uid="{00000000-0005-0000-0000-00005F360000}"/>
    <cellStyle name="Normal 4 2 22 2 5" xfId="13882" xr:uid="{00000000-0005-0000-0000-000060360000}"/>
    <cellStyle name="Normal 4 2 22 3" xfId="13883" xr:uid="{00000000-0005-0000-0000-000061360000}"/>
    <cellStyle name="Normal 4 2 22 3 2" xfId="13884" xr:uid="{00000000-0005-0000-0000-000062360000}"/>
    <cellStyle name="Normal 4 2 22 3 2 2" xfId="13885" xr:uid="{00000000-0005-0000-0000-000063360000}"/>
    <cellStyle name="Normal 4 2 22 3 2 3" xfId="13886" xr:uid="{00000000-0005-0000-0000-000064360000}"/>
    <cellStyle name="Normal 4 2 22 3 3" xfId="13887" xr:uid="{00000000-0005-0000-0000-000065360000}"/>
    <cellStyle name="Normal 4 2 22 3 4" xfId="13888" xr:uid="{00000000-0005-0000-0000-000066360000}"/>
    <cellStyle name="Normal 4 2 22 4" xfId="13889" xr:uid="{00000000-0005-0000-0000-000067360000}"/>
    <cellStyle name="Normal 4 2 22 4 2" xfId="13890" xr:uid="{00000000-0005-0000-0000-000068360000}"/>
    <cellStyle name="Normal 4 2 22 4 3" xfId="13891" xr:uid="{00000000-0005-0000-0000-000069360000}"/>
    <cellStyle name="Normal 4 2 22 5" xfId="13892" xr:uid="{00000000-0005-0000-0000-00006A360000}"/>
    <cellStyle name="Normal 4 2 22 6" xfId="13893" xr:uid="{00000000-0005-0000-0000-00006B360000}"/>
    <cellStyle name="Normal 4 2 23" xfId="13894" xr:uid="{00000000-0005-0000-0000-00006C360000}"/>
    <cellStyle name="Normal 4 2 23 2" xfId="13895" xr:uid="{00000000-0005-0000-0000-00006D360000}"/>
    <cellStyle name="Normal 4 2 23 2 2" xfId="13896" xr:uid="{00000000-0005-0000-0000-00006E360000}"/>
    <cellStyle name="Normal 4 2 23 2 2 2" xfId="13897" xr:uid="{00000000-0005-0000-0000-00006F360000}"/>
    <cellStyle name="Normal 4 2 23 2 2 2 2" xfId="13898" xr:uid="{00000000-0005-0000-0000-000070360000}"/>
    <cellStyle name="Normal 4 2 23 2 2 2 3" xfId="13899" xr:uid="{00000000-0005-0000-0000-000071360000}"/>
    <cellStyle name="Normal 4 2 23 2 2 3" xfId="13900" xr:uid="{00000000-0005-0000-0000-000072360000}"/>
    <cellStyle name="Normal 4 2 23 2 2 4" xfId="13901" xr:uid="{00000000-0005-0000-0000-000073360000}"/>
    <cellStyle name="Normal 4 2 23 2 3" xfId="13902" xr:uid="{00000000-0005-0000-0000-000074360000}"/>
    <cellStyle name="Normal 4 2 23 2 3 2" xfId="13903" xr:uid="{00000000-0005-0000-0000-000075360000}"/>
    <cellStyle name="Normal 4 2 23 2 3 3" xfId="13904" xr:uid="{00000000-0005-0000-0000-000076360000}"/>
    <cellStyle name="Normal 4 2 23 2 4" xfId="13905" xr:uid="{00000000-0005-0000-0000-000077360000}"/>
    <cellStyle name="Normal 4 2 23 2 5" xfId="13906" xr:uid="{00000000-0005-0000-0000-000078360000}"/>
    <cellStyle name="Normal 4 2 23 3" xfId="13907" xr:uid="{00000000-0005-0000-0000-000079360000}"/>
    <cellStyle name="Normal 4 2 23 3 2" xfId="13908" xr:uid="{00000000-0005-0000-0000-00007A360000}"/>
    <cellStyle name="Normal 4 2 23 3 2 2" xfId="13909" xr:uid="{00000000-0005-0000-0000-00007B360000}"/>
    <cellStyle name="Normal 4 2 23 3 2 3" xfId="13910" xr:uid="{00000000-0005-0000-0000-00007C360000}"/>
    <cellStyle name="Normal 4 2 23 3 3" xfId="13911" xr:uid="{00000000-0005-0000-0000-00007D360000}"/>
    <cellStyle name="Normal 4 2 23 3 4" xfId="13912" xr:uid="{00000000-0005-0000-0000-00007E360000}"/>
    <cellStyle name="Normal 4 2 23 4" xfId="13913" xr:uid="{00000000-0005-0000-0000-00007F360000}"/>
    <cellStyle name="Normal 4 2 23 4 2" xfId="13914" xr:uid="{00000000-0005-0000-0000-000080360000}"/>
    <cellStyle name="Normal 4 2 23 4 3" xfId="13915" xr:uid="{00000000-0005-0000-0000-000081360000}"/>
    <cellStyle name="Normal 4 2 23 5" xfId="13916" xr:uid="{00000000-0005-0000-0000-000082360000}"/>
    <cellStyle name="Normal 4 2 23 6" xfId="13917" xr:uid="{00000000-0005-0000-0000-000083360000}"/>
    <cellStyle name="Normal 4 2 24" xfId="13918" xr:uid="{00000000-0005-0000-0000-000084360000}"/>
    <cellStyle name="Normal 4 2 24 2" xfId="13919" xr:uid="{00000000-0005-0000-0000-000085360000}"/>
    <cellStyle name="Normal 4 2 24 2 2" xfId="13920" xr:uid="{00000000-0005-0000-0000-000086360000}"/>
    <cellStyle name="Normal 4 2 24 2 2 2" xfId="13921" xr:uid="{00000000-0005-0000-0000-000087360000}"/>
    <cellStyle name="Normal 4 2 24 2 2 2 2" xfId="13922" xr:uid="{00000000-0005-0000-0000-000088360000}"/>
    <cellStyle name="Normal 4 2 24 2 2 2 3" xfId="13923" xr:uid="{00000000-0005-0000-0000-000089360000}"/>
    <cellStyle name="Normal 4 2 24 2 2 3" xfId="13924" xr:uid="{00000000-0005-0000-0000-00008A360000}"/>
    <cellStyle name="Normal 4 2 24 2 2 4" xfId="13925" xr:uid="{00000000-0005-0000-0000-00008B360000}"/>
    <cellStyle name="Normal 4 2 24 2 3" xfId="13926" xr:uid="{00000000-0005-0000-0000-00008C360000}"/>
    <cellStyle name="Normal 4 2 24 2 3 2" xfId="13927" xr:uid="{00000000-0005-0000-0000-00008D360000}"/>
    <cellStyle name="Normal 4 2 24 2 3 3" xfId="13928" xr:uid="{00000000-0005-0000-0000-00008E360000}"/>
    <cellStyle name="Normal 4 2 24 2 4" xfId="13929" xr:uid="{00000000-0005-0000-0000-00008F360000}"/>
    <cellStyle name="Normal 4 2 24 2 5" xfId="13930" xr:uid="{00000000-0005-0000-0000-000090360000}"/>
    <cellStyle name="Normal 4 2 24 3" xfId="13931" xr:uid="{00000000-0005-0000-0000-000091360000}"/>
    <cellStyle name="Normal 4 2 24 3 2" xfId="13932" xr:uid="{00000000-0005-0000-0000-000092360000}"/>
    <cellStyle name="Normal 4 2 24 3 2 2" xfId="13933" xr:uid="{00000000-0005-0000-0000-000093360000}"/>
    <cellStyle name="Normal 4 2 24 3 2 3" xfId="13934" xr:uid="{00000000-0005-0000-0000-000094360000}"/>
    <cellStyle name="Normal 4 2 24 3 3" xfId="13935" xr:uid="{00000000-0005-0000-0000-000095360000}"/>
    <cellStyle name="Normal 4 2 24 3 4" xfId="13936" xr:uid="{00000000-0005-0000-0000-000096360000}"/>
    <cellStyle name="Normal 4 2 24 4" xfId="13937" xr:uid="{00000000-0005-0000-0000-000097360000}"/>
    <cellStyle name="Normal 4 2 24 4 2" xfId="13938" xr:uid="{00000000-0005-0000-0000-000098360000}"/>
    <cellStyle name="Normal 4 2 24 4 3" xfId="13939" xr:uid="{00000000-0005-0000-0000-000099360000}"/>
    <cellStyle name="Normal 4 2 24 5" xfId="13940" xr:uid="{00000000-0005-0000-0000-00009A360000}"/>
    <cellStyle name="Normal 4 2 24 6" xfId="13941" xr:uid="{00000000-0005-0000-0000-00009B360000}"/>
    <cellStyle name="Normal 4 2 25" xfId="13942" xr:uid="{00000000-0005-0000-0000-00009C360000}"/>
    <cellStyle name="Normal 4 2 26" xfId="13943" xr:uid="{00000000-0005-0000-0000-00009D360000}"/>
    <cellStyle name="Normal 4 2 26 2" xfId="13944" xr:uid="{00000000-0005-0000-0000-00009E360000}"/>
    <cellStyle name="Normal 4 2 27" xfId="13945" xr:uid="{00000000-0005-0000-0000-00009F360000}"/>
    <cellStyle name="Normal 4 2 27 2" xfId="13946" xr:uid="{00000000-0005-0000-0000-0000A0360000}"/>
    <cellStyle name="Normal 4 2 28" xfId="13947" xr:uid="{00000000-0005-0000-0000-0000A1360000}"/>
    <cellStyle name="Normal 4 2 3" xfId="13948" xr:uid="{00000000-0005-0000-0000-0000A2360000}"/>
    <cellStyle name="Normal 4 2 3 2" xfId="13949" xr:uid="{00000000-0005-0000-0000-0000A3360000}"/>
    <cellStyle name="Normal 4 2 3 2 2" xfId="13950" xr:uid="{00000000-0005-0000-0000-0000A4360000}"/>
    <cellStyle name="Normal 4 2 3 2 2 2" xfId="13951" xr:uid="{00000000-0005-0000-0000-0000A5360000}"/>
    <cellStyle name="Normal 4 2 3 2 2 2 2" xfId="13952" xr:uid="{00000000-0005-0000-0000-0000A6360000}"/>
    <cellStyle name="Normal 4 2 3 2 2 2 2 2" xfId="13953" xr:uid="{00000000-0005-0000-0000-0000A7360000}"/>
    <cellStyle name="Normal 4 2 3 2 2 2 2 3" xfId="13954" xr:uid="{00000000-0005-0000-0000-0000A8360000}"/>
    <cellStyle name="Normal 4 2 3 2 2 2 3" xfId="13955" xr:uid="{00000000-0005-0000-0000-0000A9360000}"/>
    <cellStyle name="Normal 4 2 3 2 2 2 4" xfId="13956" xr:uid="{00000000-0005-0000-0000-0000AA360000}"/>
    <cellStyle name="Normal 4 2 3 2 2 3" xfId="13957" xr:uid="{00000000-0005-0000-0000-0000AB360000}"/>
    <cellStyle name="Normal 4 2 3 2 2 3 2" xfId="13958" xr:uid="{00000000-0005-0000-0000-0000AC360000}"/>
    <cellStyle name="Normal 4 2 3 2 2 3 3" xfId="13959" xr:uid="{00000000-0005-0000-0000-0000AD360000}"/>
    <cellStyle name="Normal 4 2 3 2 2 4" xfId="13960" xr:uid="{00000000-0005-0000-0000-0000AE360000}"/>
    <cellStyle name="Normal 4 2 3 2 2 5" xfId="13961" xr:uid="{00000000-0005-0000-0000-0000AF360000}"/>
    <cellStyle name="Normal 4 2 3 2 3" xfId="13962" xr:uid="{00000000-0005-0000-0000-0000B0360000}"/>
    <cellStyle name="Normal 4 2 3 2 3 2" xfId="13963" xr:uid="{00000000-0005-0000-0000-0000B1360000}"/>
    <cellStyle name="Normal 4 2 3 2 3 2 2" xfId="13964" xr:uid="{00000000-0005-0000-0000-0000B2360000}"/>
    <cellStyle name="Normal 4 2 3 2 3 2 3" xfId="13965" xr:uid="{00000000-0005-0000-0000-0000B3360000}"/>
    <cellStyle name="Normal 4 2 3 2 3 3" xfId="13966" xr:uid="{00000000-0005-0000-0000-0000B4360000}"/>
    <cellStyle name="Normal 4 2 3 2 3 4" xfId="13967" xr:uid="{00000000-0005-0000-0000-0000B5360000}"/>
    <cellStyle name="Normal 4 2 3 2 4" xfId="13968" xr:uid="{00000000-0005-0000-0000-0000B6360000}"/>
    <cellStyle name="Normal 4 2 3 2 4 2" xfId="13969" xr:uid="{00000000-0005-0000-0000-0000B7360000}"/>
    <cellStyle name="Normal 4 2 3 2 4 3" xfId="13970" xr:uid="{00000000-0005-0000-0000-0000B8360000}"/>
    <cellStyle name="Normal 4 2 3 2 5" xfId="13971" xr:uid="{00000000-0005-0000-0000-0000B9360000}"/>
    <cellStyle name="Normal 4 2 3 2 6" xfId="13972" xr:uid="{00000000-0005-0000-0000-0000BA360000}"/>
    <cellStyle name="Normal 4 2 3 3" xfId="13973" xr:uid="{00000000-0005-0000-0000-0000BB360000}"/>
    <cellStyle name="Normal 4 2 3 3 2" xfId="13974" xr:uid="{00000000-0005-0000-0000-0000BC360000}"/>
    <cellStyle name="Normal 4 2 3 3 2 2" xfId="13975" xr:uid="{00000000-0005-0000-0000-0000BD360000}"/>
    <cellStyle name="Normal 4 2 3 3 2 2 2" xfId="13976" xr:uid="{00000000-0005-0000-0000-0000BE360000}"/>
    <cellStyle name="Normal 4 2 3 3 2 2 3" xfId="13977" xr:uid="{00000000-0005-0000-0000-0000BF360000}"/>
    <cellStyle name="Normal 4 2 3 3 2 3" xfId="13978" xr:uid="{00000000-0005-0000-0000-0000C0360000}"/>
    <cellStyle name="Normal 4 2 3 3 2 4" xfId="13979" xr:uid="{00000000-0005-0000-0000-0000C1360000}"/>
    <cellStyle name="Normal 4 2 3 3 3" xfId="13980" xr:uid="{00000000-0005-0000-0000-0000C2360000}"/>
    <cellStyle name="Normal 4 2 3 3 3 2" xfId="13981" xr:uid="{00000000-0005-0000-0000-0000C3360000}"/>
    <cellStyle name="Normal 4 2 3 3 3 3" xfId="13982" xr:uid="{00000000-0005-0000-0000-0000C4360000}"/>
    <cellStyle name="Normal 4 2 3 3 4" xfId="13983" xr:uid="{00000000-0005-0000-0000-0000C5360000}"/>
    <cellStyle name="Normal 4 2 3 3 5" xfId="13984" xr:uid="{00000000-0005-0000-0000-0000C6360000}"/>
    <cellStyle name="Normal 4 2 3 4" xfId="13985" xr:uid="{00000000-0005-0000-0000-0000C7360000}"/>
    <cellStyle name="Normal 4 2 3 4 2" xfId="13986" xr:uid="{00000000-0005-0000-0000-0000C8360000}"/>
    <cellStyle name="Normal 4 2 3 4 2 2" xfId="13987" xr:uid="{00000000-0005-0000-0000-0000C9360000}"/>
    <cellStyle name="Normal 4 2 3 4 2 3" xfId="13988" xr:uid="{00000000-0005-0000-0000-0000CA360000}"/>
    <cellStyle name="Normal 4 2 3 4 3" xfId="13989" xr:uid="{00000000-0005-0000-0000-0000CB360000}"/>
    <cellStyle name="Normal 4 2 3 4 4" xfId="13990" xr:uid="{00000000-0005-0000-0000-0000CC360000}"/>
    <cellStyle name="Normal 4 2 3 5" xfId="13991" xr:uid="{00000000-0005-0000-0000-0000CD360000}"/>
    <cellStyle name="Normal 4 2 3 5 2" xfId="13992" xr:uid="{00000000-0005-0000-0000-0000CE360000}"/>
    <cellStyle name="Normal 4 2 3 5 3" xfId="13993" xr:uid="{00000000-0005-0000-0000-0000CF360000}"/>
    <cellStyle name="Normal 4 2 3 6" xfId="13994" xr:uid="{00000000-0005-0000-0000-0000D0360000}"/>
    <cellStyle name="Normal 4 2 3 7" xfId="13995" xr:uid="{00000000-0005-0000-0000-0000D1360000}"/>
    <cellStyle name="Normal 4 2 4" xfId="13996" xr:uid="{00000000-0005-0000-0000-0000D2360000}"/>
    <cellStyle name="Normal 4 2 4 2" xfId="13997" xr:uid="{00000000-0005-0000-0000-0000D3360000}"/>
    <cellStyle name="Normal 4 2 4 2 2" xfId="13998" xr:uid="{00000000-0005-0000-0000-0000D4360000}"/>
    <cellStyle name="Normal 4 2 4 2 2 2" xfId="13999" xr:uid="{00000000-0005-0000-0000-0000D5360000}"/>
    <cellStyle name="Normal 4 2 4 2 2 2 2" xfId="14000" xr:uid="{00000000-0005-0000-0000-0000D6360000}"/>
    <cellStyle name="Normal 4 2 4 2 2 2 2 2" xfId="14001" xr:uid="{00000000-0005-0000-0000-0000D7360000}"/>
    <cellStyle name="Normal 4 2 4 2 2 2 2 3" xfId="14002" xr:uid="{00000000-0005-0000-0000-0000D8360000}"/>
    <cellStyle name="Normal 4 2 4 2 2 2 3" xfId="14003" xr:uid="{00000000-0005-0000-0000-0000D9360000}"/>
    <cellStyle name="Normal 4 2 4 2 2 2 4" xfId="14004" xr:uid="{00000000-0005-0000-0000-0000DA360000}"/>
    <cellStyle name="Normal 4 2 4 2 2 3" xfId="14005" xr:uid="{00000000-0005-0000-0000-0000DB360000}"/>
    <cellStyle name="Normal 4 2 4 2 2 3 2" xfId="14006" xr:uid="{00000000-0005-0000-0000-0000DC360000}"/>
    <cellStyle name="Normal 4 2 4 2 2 3 3" xfId="14007" xr:uid="{00000000-0005-0000-0000-0000DD360000}"/>
    <cellStyle name="Normal 4 2 4 2 2 4" xfId="14008" xr:uid="{00000000-0005-0000-0000-0000DE360000}"/>
    <cellStyle name="Normal 4 2 4 2 2 5" xfId="14009" xr:uid="{00000000-0005-0000-0000-0000DF360000}"/>
    <cellStyle name="Normal 4 2 4 2 3" xfId="14010" xr:uid="{00000000-0005-0000-0000-0000E0360000}"/>
    <cellStyle name="Normal 4 2 4 2 3 2" xfId="14011" xr:uid="{00000000-0005-0000-0000-0000E1360000}"/>
    <cellStyle name="Normal 4 2 4 2 3 2 2" xfId="14012" xr:uid="{00000000-0005-0000-0000-0000E2360000}"/>
    <cellStyle name="Normal 4 2 4 2 3 2 3" xfId="14013" xr:uid="{00000000-0005-0000-0000-0000E3360000}"/>
    <cellStyle name="Normal 4 2 4 2 3 3" xfId="14014" xr:uid="{00000000-0005-0000-0000-0000E4360000}"/>
    <cellStyle name="Normal 4 2 4 2 3 4" xfId="14015" xr:uid="{00000000-0005-0000-0000-0000E5360000}"/>
    <cellStyle name="Normal 4 2 4 2 4" xfId="14016" xr:uid="{00000000-0005-0000-0000-0000E6360000}"/>
    <cellStyle name="Normal 4 2 4 2 4 2" xfId="14017" xr:uid="{00000000-0005-0000-0000-0000E7360000}"/>
    <cellStyle name="Normal 4 2 4 2 4 3" xfId="14018" xr:uid="{00000000-0005-0000-0000-0000E8360000}"/>
    <cellStyle name="Normal 4 2 4 2 5" xfId="14019" xr:uid="{00000000-0005-0000-0000-0000E9360000}"/>
    <cellStyle name="Normal 4 2 4 2 6" xfId="14020" xr:uid="{00000000-0005-0000-0000-0000EA360000}"/>
    <cellStyle name="Normal 4 2 4 3" xfId="14021" xr:uid="{00000000-0005-0000-0000-0000EB360000}"/>
    <cellStyle name="Normal 4 2 4 3 2" xfId="14022" xr:uid="{00000000-0005-0000-0000-0000EC360000}"/>
    <cellStyle name="Normal 4 2 4 3 2 2" xfId="14023" xr:uid="{00000000-0005-0000-0000-0000ED360000}"/>
    <cellStyle name="Normal 4 2 4 3 2 2 2" xfId="14024" xr:uid="{00000000-0005-0000-0000-0000EE360000}"/>
    <cellStyle name="Normal 4 2 4 3 2 2 3" xfId="14025" xr:uid="{00000000-0005-0000-0000-0000EF360000}"/>
    <cellStyle name="Normal 4 2 4 3 2 3" xfId="14026" xr:uid="{00000000-0005-0000-0000-0000F0360000}"/>
    <cellStyle name="Normal 4 2 4 3 2 4" xfId="14027" xr:uid="{00000000-0005-0000-0000-0000F1360000}"/>
    <cellStyle name="Normal 4 2 4 3 3" xfId="14028" xr:uid="{00000000-0005-0000-0000-0000F2360000}"/>
    <cellStyle name="Normal 4 2 4 3 3 2" xfId="14029" xr:uid="{00000000-0005-0000-0000-0000F3360000}"/>
    <cellStyle name="Normal 4 2 4 3 3 3" xfId="14030" xr:uid="{00000000-0005-0000-0000-0000F4360000}"/>
    <cellStyle name="Normal 4 2 4 3 4" xfId="14031" xr:uid="{00000000-0005-0000-0000-0000F5360000}"/>
    <cellStyle name="Normal 4 2 4 3 5" xfId="14032" xr:uid="{00000000-0005-0000-0000-0000F6360000}"/>
    <cellStyle name="Normal 4 2 4 4" xfId="14033" xr:uid="{00000000-0005-0000-0000-0000F7360000}"/>
    <cellStyle name="Normal 4 2 4 4 2" xfId="14034" xr:uid="{00000000-0005-0000-0000-0000F8360000}"/>
    <cellStyle name="Normal 4 2 4 4 2 2" xfId="14035" xr:uid="{00000000-0005-0000-0000-0000F9360000}"/>
    <cellStyle name="Normal 4 2 4 4 2 3" xfId="14036" xr:uid="{00000000-0005-0000-0000-0000FA360000}"/>
    <cellStyle name="Normal 4 2 4 4 3" xfId="14037" xr:uid="{00000000-0005-0000-0000-0000FB360000}"/>
    <cellStyle name="Normal 4 2 4 4 4" xfId="14038" xr:uid="{00000000-0005-0000-0000-0000FC360000}"/>
    <cellStyle name="Normal 4 2 4 5" xfId="14039" xr:uid="{00000000-0005-0000-0000-0000FD360000}"/>
    <cellStyle name="Normal 4 2 4 5 2" xfId="14040" xr:uid="{00000000-0005-0000-0000-0000FE360000}"/>
    <cellStyle name="Normal 4 2 4 5 3" xfId="14041" xr:uid="{00000000-0005-0000-0000-0000FF360000}"/>
    <cellStyle name="Normal 4 2 4 6" xfId="14042" xr:uid="{00000000-0005-0000-0000-000000370000}"/>
    <cellStyle name="Normal 4 2 4 7" xfId="14043" xr:uid="{00000000-0005-0000-0000-000001370000}"/>
    <cellStyle name="Normal 4 2 5" xfId="14044" xr:uid="{00000000-0005-0000-0000-000002370000}"/>
    <cellStyle name="Normal 4 2 5 2" xfId="14045" xr:uid="{00000000-0005-0000-0000-000003370000}"/>
    <cellStyle name="Normal 4 2 5 2 2" xfId="14046" xr:uid="{00000000-0005-0000-0000-000004370000}"/>
    <cellStyle name="Normal 4 2 5 2 2 2" xfId="14047" xr:uid="{00000000-0005-0000-0000-000005370000}"/>
    <cellStyle name="Normal 4 2 5 2 2 2 2" xfId="14048" xr:uid="{00000000-0005-0000-0000-000006370000}"/>
    <cellStyle name="Normal 4 2 5 2 2 2 2 2" xfId="14049" xr:uid="{00000000-0005-0000-0000-000007370000}"/>
    <cellStyle name="Normal 4 2 5 2 2 2 2 3" xfId="14050" xr:uid="{00000000-0005-0000-0000-000008370000}"/>
    <cellStyle name="Normal 4 2 5 2 2 2 3" xfId="14051" xr:uid="{00000000-0005-0000-0000-000009370000}"/>
    <cellStyle name="Normal 4 2 5 2 2 2 4" xfId="14052" xr:uid="{00000000-0005-0000-0000-00000A370000}"/>
    <cellStyle name="Normal 4 2 5 2 2 3" xfId="14053" xr:uid="{00000000-0005-0000-0000-00000B370000}"/>
    <cellStyle name="Normal 4 2 5 2 2 3 2" xfId="14054" xr:uid="{00000000-0005-0000-0000-00000C370000}"/>
    <cellStyle name="Normal 4 2 5 2 2 3 3" xfId="14055" xr:uid="{00000000-0005-0000-0000-00000D370000}"/>
    <cellStyle name="Normal 4 2 5 2 2 4" xfId="14056" xr:uid="{00000000-0005-0000-0000-00000E370000}"/>
    <cellStyle name="Normal 4 2 5 2 2 5" xfId="14057" xr:uid="{00000000-0005-0000-0000-00000F370000}"/>
    <cellStyle name="Normal 4 2 5 2 3" xfId="14058" xr:uid="{00000000-0005-0000-0000-000010370000}"/>
    <cellStyle name="Normal 4 2 5 2 3 2" xfId="14059" xr:uid="{00000000-0005-0000-0000-000011370000}"/>
    <cellStyle name="Normal 4 2 5 2 3 2 2" xfId="14060" xr:uid="{00000000-0005-0000-0000-000012370000}"/>
    <cellStyle name="Normal 4 2 5 2 3 2 3" xfId="14061" xr:uid="{00000000-0005-0000-0000-000013370000}"/>
    <cellStyle name="Normal 4 2 5 2 3 3" xfId="14062" xr:uid="{00000000-0005-0000-0000-000014370000}"/>
    <cellStyle name="Normal 4 2 5 2 3 4" xfId="14063" xr:uid="{00000000-0005-0000-0000-000015370000}"/>
    <cellStyle name="Normal 4 2 5 2 4" xfId="14064" xr:uid="{00000000-0005-0000-0000-000016370000}"/>
    <cellStyle name="Normal 4 2 5 2 4 2" xfId="14065" xr:uid="{00000000-0005-0000-0000-000017370000}"/>
    <cellStyle name="Normal 4 2 5 2 4 3" xfId="14066" xr:uid="{00000000-0005-0000-0000-000018370000}"/>
    <cellStyle name="Normal 4 2 5 2 5" xfId="14067" xr:uid="{00000000-0005-0000-0000-000019370000}"/>
    <cellStyle name="Normal 4 2 5 2 6" xfId="14068" xr:uid="{00000000-0005-0000-0000-00001A370000}"/>
    <cellStyle name="Normal 4 2 5 3" xfId="14069" xr:uid="{00000000-0005-0000-0000-00001B370000}"/>
    <cellStyle name="Normal 4 2 5 3 2" xfId="14070" xr:uid="{00000000-0005-0000-0000-00001C370000}"/>
    <cellStyle name="Normal 4 2 5 3 2 2" xfId="14071" xr:uid="{00000000-0005-0000-0000-00001D370000}"/>
    <cellStyle name="Normal 4 2 5 3 2 2 2" xfId="14072" xr:uid="{00000000-0005-0000-0000-00001E370000}"/>
    <cellStyle name="Normal 4 2 5 3 2 2 3" xfId="14073" xr:uid="{00000000-0005-0000-0000-00001F370000}"/>
    <cellStyle name="Normal 4 2 5 3 2 3" xfId="14074" xr:uid="{00000000-0005-0000-0000-000020370000}"/>
    <cellStyle name="Normal 4 2 5 3 2 4" xfId="14075" xr:uid="{00000000-0005-0000-0000-000021370000}"/>
    <cellStyle name="Normal 4 2 5 3 3" xfId="14076" xr:uid="{00000000-0005-0000-0000-000022370000}"/>
    <cellStyle name="Normal 4 2 5 3 3 2" xfId="14077" xr:uid="{00000000-0005-0000-0000-000023370000}"/>
    <cellStyle name="Normal 4 2 5 3 3 3" xfId="14078" xr:uid="{00000000-0005-0000-0000-000024370000}"/>
    <cellStyle name="Normal 4 2 5 3 4" xfId="14079" xr:uid="{00000000-0005-0000-0000-000025370000}"/>
    <cellStyle name="Normal 4 2 5 3 5" xfId="14080" xr:uid="{00000000-0005-0000-0000-000026370000}"/>
    <cellStyle name="Normal 4 2 5 4" xfId="14081" xr:uid="{00000000-0005-0000-0000-000027370000}"/>
    <cellStyle name="Normal 4 2 5 4 2" xfId="14082" xr:uid="{00000000-0005-0000-0000-000028370000}"/>
    <cellStyle name="Normal 4 2 5 4 2 2" xfId="14083" xr:uid="{00000000-0005-0000-0000-000029370000}"/>
    <cellStyle name="Normal 4 2 5 4 2 3" xfId="14084" xr:uid="{00000000-0005-0000-0000-00002A370000}"/>
    <cellStyle name="Normal 4 2 5 4 3" xfId="14085" xr:uid="{00000000-0005-0000-0000-00002B370000}"/>
    <cellStyle name="Normal 4 2 5 4 4" xfId="14086" xr:uid="{00000000-0005-0000-0000-00002C370000}"/>
    <cellStyle name="Normal 4 2 5 5" xfId="14087" xr:uid="{00000000-0005-0000-0000-00002D370000}"/>
    <cellStyle name="Normal 4 2 5 5 2" xfId="14088" xr:uid="{00000000-0005-0000-0000-00002E370000}"/>
    <cellStyle name="Normal 4 2 5 5 3" xfId="14089" xr:uid="{00000000-0005-0000-0000-00002F370000}"/>
    <cellStyle name="Normal 4 2 5 6" xfId="14090" xr:uid="{00000000-0005-0000-0000-000030370000}"/>
    <cellStyle name="Normal 4 2 5 7" xfId="14091" xr:uid="{00000000-0005-0000-0000-000031370000}"/>
    <cellStyle name="Normal 4 2 6" xfId="14092" xr:uid="{00000000-0005-0000-0000-000032370000}"/>
    <cellStyle name="Normal 4 2 6 2" xfId="14093" xr:uid="{00000000-0005-0000-0000-000033370000}"/>
    <cellStyle name="Normal 4 2 6 2 2" xfId="14094" xr:uid="{00000000-0005-0000-0000-000034370000}"/>
    <cellStyle name="Normal 4 2 6 2 2 2" xfId="14095" xr:uid="{00000000-0005-0000-0000-000035370000}"/>
    <cellStyle name="Normal 4 2 6 2 2 2 2" xfId="14096" xr:uid="{00000000-0005-0000-0000-000036370000}"/>
    <cellStyle name="Normal 4 2 6 2 2 2 3" xfId="14097" xr:uid="{00000000-0005-0000-0000-000037370000}"/>
    <cellStyle name="Normal 4 2 6 2 2 3" xfId="14098" xr:uid="{00000000-0005-0000-0000-000038370000}"/>
    <cellStyle name="Normal 4 2 6 2 2 4" xfId="14099" xr:uid="{00000000-0005-0000-0000-000039370000}"/>
    <cellStyle name="Normal 4 2 6 2 3" xfId="14100" xr:uid="{00000000-0005-0000-0000-00003A370000}"/>
    <cellStyle name="Normal 4 2 6 2 3 2" xfId="14101" xr:uid="{00000000-0005-0000-0000-00003B370000}"/>
    <cellStyle name="Normal 4 2 6 2 3 3" xfId="14102" xr:uid="{00000000-0005-0000-0000-00003C370000}"/>
    <cellStyle name="Normal 4 2 6 2 4" xfId="14103" xr:uid="{00000000-0005-0000-0000-00003D370000}"/>
    <cellStyle name="Normal 4 2 6 2 5" xfId="14104" xr:uid="{00000000-0005-0000-0000-00003E370000}"/>
    <cellStyle name="Normal 4 2 6 3" xfId="14105" xr:uid="{00000000-0005-0000-0000-00003F370000}"/>
    <cellStyle name="Normal 4 2 6 3 2" xfId="14106" xr:uid="{00000000-0005-0000-0000-000040370000}"/>
    <cellStyle name="Normal 4 2 6 3 2 2" xfId="14107" xr:uid="{00000000-0005-0000-0000-000041370000}"/>
    <cellStyle name="Normal 4 2 6 3 2 3" xfId="14108" xr:uid="{00000000-0005-0000-0000-000042370000}"/>
    <cellStyle name="Normal 4 2 6 3 3" xfId="14109" xr:uid="{00000000-0005-0000-0000-000043370000}"/>
    <cellStyle name="Normal 4 2 6 3 4" xfId="14110" xr:uid="{00000000-0005-0000-0000-000044370000}"/>
    <cellStyle name="Normal 4 2 6 4" xfId="14111" xr:uid="{00000000-0005-0000-0000-000045370000}"/>
    <cellStyle name="Normal 4 2 6 4 2" xfId="14112" xr:uid="{00000000-0005-0000-0000-000046370000}"/>
    <cellStyle name="Normal 4 2 6 4 3" xfId="14113" xr:uid="{00000000-0005-0000-0000-000047370000}"/>
    <cellStyle name="Normal 4 2 6 5" xfId="14114" xr:uid="{00000000-0005-0000-0000-000048370000}"/>
    <cellStyle name="Normal 4 2 6 6" xfId="14115" xr:uid="{00000000-0005-0000-0000-000049370000}"/>
    <cellStyle name="Normal 4 2 7" xfId="14116" xr:uid="{00000000-0005-0000-0000-00004A370000}"/>
    <cellStyle name="Normal 4 2 7 2" xfId="14117" xr:uid="{00000000-0005-0000-0000-00004B370000}"/>
    <cellStyle name="Normal 4 2 7 2 2" xfId="14118" xr:uid="{00000000-0005-0000-0000-00004C370000}"/>
    <cellStyle name="Normal 4 2 7 2 2 2" xfId="14119" xr:uid="{00000000-0005-0000-0000-00004D370000}"/>
    <cellStyle name="Normal 4 2 7 2 2 2 2" xfId="14120" xr:uid="{00000000-0005-0000-0000-00004E370000}"/>
    <cellStyle name="Normal 4 2 7 2 2 2 3" xfId="14121" xr:uid="{00000000-0005-0000-0000-00004F370000}"/>
    <cellStyle name="Normal 4 2 7 2 2 3" xfId="14122" xr:uid="{00000000-0005-0000-0000-000050370000}"/>
    <cellStyle name="Normal 4 2 7 2 2 4" xfId="14123" xr:uid="{00000000-0005-0000-0000-000051370000}"/>
    <cellStyle name="Normal 4 2 7 2 3" xfId="14124" xr:uid="{00000000-0005-0000-0000-000052370000}"/>
    <cellStyle name="Normal 4 2 7 2 3 2" xfId="14125" xr:uid="{00000000-0005-0000-0000-000053370000}"/>
    <cellStyle name="Normal 4 2 7 2 3 3" xfId="14126" xr:uid="{00000000-0005-0000-0000-000054370000}"/>
    <cellStyle name="Normal 4 2 7 2 4" xfId="14127" xr:uid="{00000000-0005-0000-0000-000055370000}"/>
    <cellStyle name="Normal 4 2 7 2 5" xfId="14128" xr:uid="{00000000-0005-0000-0000-000056370000}"/>
    <cellStyle name="Normal 4 2 7 3" xfId="14129" xr:uid="{00000000-0005-0000-0000-000057370000}"/>
    <cellStyle name="Normal 4 2 7 3 2" xfId="14130" xr:uid="{00000000-0005-0000-0000-000058370000}"/>
    <cellStyle name="Normal 4 2 7 3 2 2" xfId="14131" xr:uid="{00000000-0005-0000-0000-000059370000}"/>
    <cellStyle name="Normal 4 2 7 3 2 3" xfId="14132" xr:uid="{00000000-0005-0000-0000-00005A370000}"/>
    <cellStyle name="Normal 4 2 7 3 3" xfId="14133" xr:uid="{00000000-0005-0000-0000-00005B370000}"/>
    <cellStyle name="Normal 4 2 7 3 4" xfId="14134" xr:uid="{00000000-0005-0000-0000-00005C370000}"/>
    <cellStyle name="Normal 4 2 7 4" xfId="14135" xr:uid="{00000000-0005-0000-0000-00005D370000}"/>
    <cellStyle name="Normal 4 2 7 4 2" xfId="14136" xr:uid="{00000000-0005-0000-0000-00005E370000}"/>
    <cellStyle name="Normal 4 2 7 4 3" xfId="14137" xr:uid="{00000000-0005-0000-0000-00005F370000}"/>
    <cellStyle name="Normal 4 2 7 5" xfId="14138" xr:uid="{00000000-0005-0000-0000-000060370000}"/>
    <cellStyle name="Normal 4 2 7 6" xfId="14139" xr:uid="{00000000-0005-0000-0000-000061370000}"/>
    <cellStyle name="Normal 4 2 8" xfId="14140" xr:uid="{00000000-0005-0000-0000-000062370000}"/>
    <cellStyle name="Normal 4 2 8 2" xfId="14141" xr:uid="{00000000-0005-0000-0000-000063370000}"/>
    <cellStyle name="Normal 4 2 8 2 2" xfId="14142" xr:uid="{00000000-0005-0000-0000-000064370000}"/>
    <cellStyle name="Normal 4 2 8 2 2 2" xfId="14143" xr:uid="{00000000-0005-0000-0000-000065370000}"/>
    <cellStyle name="Normal 4 2 8 2 2 2 2" xfId="14144" xr:uid="{00000000-0005-0000-0000-000066370000}"/>
    <cellStyle name="Normal 4 2 8 2 2 2 3" xfId="14145" xr:uid="{00000000-0005-0000-0000-000067370000}"/>
    <cellStyle name="Normal 4 2 8 2 2 3" xfId="14146" xr:uid="{00000000-0005-0000-0000-000068370000}"/>
    <cellStyle name="Normal 4 2 8 2 2 4" xfId="14147" xr:uid="{00000000-0005-0000-0000-000069370000}"/>
    <cellStyle name="Normal 4 2 8 2 3" xfId="14148" xr:uid="{00000000-0005-0000-0000-00006A370000}"/>
    <cellStyle name="Normal 4 2 8 2 3 2" xfId="14149" xr:uid="{00000000-0005-0000-0000-00006B370000}"/>
    <cellStyle name="Normal 4 2 8 2 3 3" xfId="14150" xr:uid="{00000000-0005-0000-0000-00006C370000}"/>
    <cellStyle name="Normal 4 2 8 2 4" xfId="14151" xr:uid="{00000000-0005-0000-0000-00006D370000}"/>
    <cellStyle name="Normal 4 2 8 2 5" xfId="14152" xr:uid="{00000000-0005-0000-0000-00006E370000}"/>
    <cellStyle name="Normal 4 2 8 3" xfId="14153" xr:uid="{00000000-0005-0000-0000-00006F370000}"/>
    <cellStyle name="Normal 4 2 8 3 2" xfId="14154" xr:uid="{00000000-0005-0000-0000-000070370000}"/>
    <cellStyle name="Normal 4 2 8 3 2 2" xfId="14155" xr:uid="{00000000-0005-0000-0000-000071370000}"/>
    <cellStyle name="Normal 4 2 8 3 2 3" xfId="14156" xr:uid="{00000000-0005-0000-0000-000072370000}"/>
    <cellStyle name="Normal 4 2 8 3 3" xfId="14157" xr:uid="{00000000-0005-0000-0000-000073370000}"/>
    <cellStyle name="Normal 4 2 8 3 4" xfId="14158" xr:uid="{00000000-0005-0000-0000-000074370000}"/>
    <cellStyle name="Normal 4 2 8 4" xfId="14159" xr:uid="{00000000-0005-0000-0000-000075370000}"/>
    <cellStyle name="Normal 4 2 8 4 2" xfId="14160" xr:uid="{00000000-0005-0000-0000-000076370000}"/>
    <cellStyle name="Normal 4 2 8 4 3" xfId="14161" xr:uid="{00000000-0005-0000-0000-000077370000}"/>
    <cellStyle name="Normal 4 2 8 5" xfId="14162" xr:uid="{00000000-0005-0000-0000-000078370000}"/>
    <cellStyle name="Normal 4 2 8 6" xfId="14163" xr:uid="{00000000-0005-0000-0000-000079370000}"/>
    <cellStyle name="Normal 4 2 9" xfId="14164" xr:uid="{00000000-0005-0000-0000-00007A370000}"/>
    <cellStyle name="Normal 4 2 9 2" xfId="14165" xr:uid="{00000000-0005-0000-0000-00007B370000}"/>
    <cellStyle name="Normal 4 2 9 2 2" xfId="14166" xr:uid="{00000000-0005-0000-0000-00007C370000}"/>
    <cellStyle name="Normal 4 2 9 2 2 2" xfId="14167" xr:uid="{00000000-0005-0000-0000-00007D370000}"/>
    <cellStyle name="Normal 4 2 9 2 2 2 2" xfId="14168" xr:uid="{00000000-0005-0000-0000-00007E370000}"/>
    <cellStyle name="Normal 4 2 9 2 2 2 3" xfId="14169" xr:uid="{00000000-0005-0000-0000-00007F370000}"/>
    <cellStyle name="Normal 4 2 9 2 2 3" xfId="14170" xr:uid="{00000000-0005-0000-0000-000080370000}"/>
    <cellStyle name="Normal 4 2 9 2 2 4" xfId="14171" xr:uid="{00000000-0005-0000-0000-000081370000}"/>
    <cellStyle name="Normal 4 2 9 2 3" xfId="14172" xr:uid="{00000000-0005-0000-0000-000082370000}"/>
    <cellStyle name="Normal 4 2 9 2 3 2" xfId="14173" xr:uid="{00000000-0005-0000-0000-000083370000}"/>
    <cellStyle name="Normal 4 2 9 2 3 3" xfId="14174" xr:uid="{00000000-0005-0000-0000-000084370000}"/>
    <cellStyle name="Normal 4 2 9 2 4" xfId="14175" xr:uid="{00000000-0005-0000-0000-000085370000}"/>
    <cellStyle name="Normal 4 2 9 2 5" xfId="14176" xr:uid="{00000000-0005-0000-0000-000086370000}"/>
    <cellStyle name="Normal 4 2 9 3" xfId="14177" xr:uid="{00000000-0005-0000-0000-000087370000}"/>
    <cellStyle name="Normal 4 2 9 3 2" xfId="14178" xr:uid="{00000000-0005-0000-0000-000088370000}"/>
    <cellStyle name="Normal 4 2 9 3 2 2" xfId="14179" xr:uid="{00000000-0005-0000-0000-000089370000}"/>
    <cellStyle name="Normal 4 2 9 3 2 3" xfId="14180" xr:uid="{00000000-0005-0000-0000-00008A370000}"/>
    <cellStyle name="Normal 4 2 9 3 3" xfId="14181" xr:uid="{00000000-0005-0000-0000-00008B370000}"/>
    <cellStyle name="Normal 4 2 9 3 4" xfId="14182" xr:uid="{00000000-0005-0000-0000-00008C370000}"/>
    <cellStyle name="Normal 4 2 9 4" xfId="14183" xr:uid="{00000000-0005-0000-0000-00008D370000}"/>
    <cellStyle name="Normal 4 2 9 4 2" xfId="14184" xr:uid="{00000000-0005-0000-0000-00008E370000}"/>
    <cellStyle name="Normal 4 2 9 4 3" xfId="14185" xr:uid="{00000000-0005-0000-0000-00008F370000}"/>
    <cellStyle name="Normal 4 2 9 5" xfId="14186" xr:uid="{00000000-0005-0000-0000-000090370000}"/>
    <cellStyle name="Normal 4 2 9 6" xfId="14187" xr:uid="{00000000-0005-0000-0000-000091370000}"/>
    <cellStyle name="Normal 4 20" xfId="14188" xr:uid="{00000000-0005-0000-0000-000092370000}"/>
    <cellStyle name="Normal 4 21" xfId="14189" xr:uid="{00000000-0005-0000-0000-000093370000}"/>
    <cellStyle name="Normal 4 22" xfId="14190" xr:uid="{00000000-0005-0000-0000-000094370000}"/>
    <cellStyle name="Normal 4 23" xfId="14191" xr:uid="{00000000-0005-0000-0000-000095370000}"/>
    <cellStyle name="Normal 4 24" xfId="14192" xr:uid="{00000000-0005-0000-0000-000096370000}"/>
    <cellStyle name="Normal 4 25" xfId="14193" xr:uid="{00000000-0005-0000-0000-000097370000}"/>
    <cellStyle name="Normal 4 26" xfId="14194" xr:uid="{00000000-0005-0000-0000-000098370000}"/>
    <cellStyle name="Normal 4 27" xfId="14195" xr:uid="{00000000-0005-0000-0000-000099370000}"/>
    <cellStyle name="Normal 4 28" xfId="14196" xr:uid="{00000000-0005-0000-0000-00009A370000}"/>
    <cellStyle name="Normal 4 29" xfId="14197" xr:uid="{00000000-0005-0000-0000-00009B370000}"/>
    <cellStyle name="Normal 4 3" xfId="14198" xr:uid="{00000000-0005-0000-0000-00009C370000}"/>
    <cellStyle name="Normal 4 3 10" xfId="14199" xr:uid="{00000000-0005-0000-0000-00009D370000}"/>
    <cellStyle name="Normal 4 3 11" xfId="14200" xr:uid="{00000000-0005-0000-0000-00009E370000}"/>
    <cellStyle name="Normal 4 3 2" xfId="14201" xr:uid="{00000000-0005-0000-0000-00009F370000}"/>
    <cellStyle name="Normal 4 3 2 10" xfId="14202" xr:uid="{00000000-0005-0000-0000-0000A0370000}"/>
    <cellStyle name="Normal 4 3 2 2" xfId="14203" xr:uid="{00000000-0005-0000-0000-0000A1370000}"/>
    <cellStyle name="Normal 4 3 2 2 2" xfId="14204" xr:uid="{00000000-0005-0000-0000-0000A2370000}"/>
    <cellStyle name="Normal 4 3 2 2 2 2" xfId="14205" xr:uid="{00000000-0005-0000-0000-0000A3370000}"/>
    <cellStyle name="Normal 4 3 2 2 2 2 2" xfId="14206" xr:uid="{00000000-0005-0000-0000-0000A4370000}"/>
    <cellStyle name="Normal 4 3 2 2 2 2 2 2" xfId="14207" xr:uid="{00000000-0005-0000-0000-0000A5370000}"/>
    <cellStyle name="Normal 4 3 2 2 2 2 2 2 2" xfId="14208" xr:uid="{00000000-0005-0000-0000-0000A6370000}"/>
    <cellStyle name="Normal 4 3 2 2 2 2 2 2 2 2" xfId="14209" xr:uid="{00000000-0005-0000-0000-0000A7370000}"/>
    <cellStyle name="Normal 4 3 2 2 2 2 2 2 2 3" xfId="14210" xr:uid="{00000000-0005-0000-0000-0000A8370000}"/>
    <cellStyle name="Normal 4 3 2 2 2 2 2 2 3" xfId="14211" xr:uid="{00000000-0005-0000-0000-0000A9370000}"/>
    <cellStyle name="Normal 4 3 2 2 2 2 2 2 4" xfId="14212" xr:uid="{00000000-0005-0000-0000-0000AA370000}"/>
    <cellStyle name="Normal 4 3 2 2 2 2 2 3" xfId="14213" xr:uid="{00000000-0005-0000-0000-0000AB370000}"/>
    <cellStyle name="Normal 4 3 2 2 2 2 2 3 2" xfId="14214" xr:uid="{00000000-0005-0000-0000-0000AC370000}"/>
    <cellStyle name="Normal 4 3 2 2 2 2 2 3 3" xfId="14215" xr:uid="{00000000-0005-0000-0000-0000AD370000}"/>
    <cellStyle name="Normal 4 3 2 2 2 2 2 4" xfId="14216" xr:uid="{00000000-0005-0000-0000-0000AE370000}"/>
    <cellStyle name="Normal 4 3 2 2 2 2 2 5" xfId="14217" xr:uid="{00000000-0005-0000-0000-0000AF370000}"/>
    <cellStyle name="Normal 4 3 2 2 2 2 3" xfId="14218" xr:uid="{00000000-0005-0000-0000-0000B0370000}"/>
    <cellStyle name="Normal 4 3 2 2 2 2 3 2" xfId="14219" xr:uid="{00000000-0005-0000-0000-0000B1370000}"/>
    <cellStyle name="Normal 4 3 2 2 2 2 3 2 2" xfId="14220" xr:uid="{00000000-0005-0000-0000-0000B2370000}"/>
    <cellStyle name="Normal 4 3 2 2 2 2 3 2 3" xfId="14221" xr:uid="{00000000-0005-0000-0000-0000B3370000}"/>
    <cellStyle name="Normal 4 3 2 2 2 2 3 3" xfId="14222" xr:uid="{00000000-0005-0000-0000-0000B4370000}"/>
    <cellStyle name="Normal 4 3 2 2 2 2 3 4" xfId="14223" xr:uid="{00000000-0005-0000-0000-0000B5370000}"/>
    <cellStyle name="Normal 4 3 2 2 2 2 4" xfId="14224" xr:uid="{00000000-0005-0000-0000-0000B6370000}"/>
    <cellStyle name="Normal 4 3 2 2 2 2 4 2" xfId="14225" xr:uid="{00000000-0005-0000-0000-0000B7370000}"/>
    <cellStyle name="Normal 4 3 2 2 2 2 4 3" xfId="14226" xr:uid="{00000000-0005-0000-0000-0000B8370000}"/>
    <cellStyle name="Normal 4 3 2 2 2 2 5" xfId="14227" xr:uid="{00000000-0005-0000-0000-0000B9370000}"/>
    <cellStyle name="Normal 4 3 2 2 2 2 6" xfId="14228" xr:uid="{00000000-0005-0000-0000-0000BA370000}"/>
    <cellStyle name="Normal 4 3 2 2 2 3" xfId="14229" xr:uid="{00000000-0005-0000-0000-0000BB370000}"/>
    <cellStyle name="Normal 4 3 2 2 2 3 2" xfId="14230" xr:uid="{00000000-0005-0000-0000-0000BC370000}"/>
    <cellStyle name="Normal 4 3 2 2 2 3 2 2" xfId="14231" xr:uid="{00000000-0005-0000-0000-0000BD370000}"/>
    <cellStyle name="Normal 4 3 2 2 2 3 2 2 2" xfId="14232" xr:uid="{00000000-0005-0000-0000-0000BE370000}"/>
    <cellStyle name="Normal 4 3 2 2 2 3 2 2 3" xfId="14233" xr:uid="{00000000-0005-0000-0000-0000BF370000}"/>
    <cellStyle name="Normal 4 3 2 2 2 3 2 3" xfId="14234" xr:uid="{00000000-0005-0000-0000-0000C0370000}"/>
    <cellStyle name="Normal 4 3 2 2 2 3 2 4" xfId="14235" xr:uid="{00000000-0005-0000-0000-0000C1370000}"/>
    <cellStyle name="Normal 4 3 2 2 2 3 3" xfId="14236" xr:uid="{00000000-0005-0000-0000-0000C2370000}"/>
    <cellStyle name="Normal 4 3 2 2 2 3 3 2" xfId="14237" xr:uid="{00000000-0005-0000-0000-0000C3370000}"/>
    <cellStyle name="Normal 4 3 2 2 2 3 3 3" xfId="14238" xr:uid="{00000000-0005-0000-0000-0000C4370000}"/>
    <cellStyle name="Normal 4 3 2 2 2 3 4" xfId="14239" xr:uid="{00000000-0005-0000-0000-0000C5370000}"/>
    <cellStyle name="Normal 4 3 2 2 2 3 5" xfId="14240" xr:uid="{00000000-0005-0000-0000-0000C6370000}"/>
    <cellStyle name="Normal 4 3 2 2 2 4" xfId="14241" xr:uid="{00000000-0005-0000-0000-0000C7370000}"/>
    <cellStyle name="Normal 4 3 2 2 2 4 2" xfId="14242" xr:uid="{00000000-0005-0000-0000-0000C8370000}"/>
    <cellStyle name="Normal 4 3 2 2 2 4 2 2" xfId="14243" xr:uid="{00000000-0005-0000-0000-0000C9370000}"/>
    <cellStyle name="Normal 4 3 2 2 2 4 2 3" xfId="14244" xr:uid="{00000000-0005-0000-0000-0000CA370000}"/>
    <cellStyle name="Normal 4 3 2 2 2 4 3" xfId="14245" xr:uid="{00000000-0005-0000-0000-0000CB370000}"/>
    <cellStyle name="Normal 4 3 2 2 2 4 4" xfId="14246" xr:uid="{00000000-0005-0000-0000-0000CC370000}"/>
    <cellStyle name="Normal 4 3 2 2 2 5" xfId="14247" xr:uid="{00000000-0005-0000-0000-0000CD370000}"/>
    <cellStyle name="Normal 4 3 2 2 2 5 2" xfId="14248" xr:uid="{00000000-0005-0000-0000-0000CE370000}"/>
    <cellStyle name="Normal 4 3 2 2 2 5 3" xfId="14249" xr:uid="{00000000-0005-0000-0000-0000CF370000}"/>
    <cellStyle name="Normal 4 3 2 2 2 6" xfId="14250" xr:uid="{00000000-0005-0000-0000-0000D0370000}"/>
    <cellStyle name="Normal 4 3 2 2 2 7" xfId="14251" xr:uid="{00000000-0005-0000-0000-0000D1370000}"/>
    <cellStyle name="Normal 4 3 2 2 3" xfId="14252" xr:uid="{00000000-0005-0000-0000-0000D2370000}"/>
    <cellStyle name="Normal 4 3 2 2 3 2" xfId="14253" xr:uid="{00000000-0005-0000-0000-0000D3370000}"/>
    <cellStyle name="Normal 4 3 2 2 3 2 2" xfId="14254" xr:uid="{00000000-0005-0000-0000-0000D4370000}"/>
    <cellStyle name="Normal 4 3 2 2 3 2 2 2" xfId="14255" xr:uid="{00000000-0005-0000-0000-0000D5370000}"/>
    <cellStyle name="Normal 4 3 2 2 3 2 2 2 2" xfId="14256" xr:uid="{00000000-0005-0000-0000-0000D6370000}"/>
    <cellStyle name="Normal 4 3 2 2 3 2 2 2 2 2" xfId="14257" xr:uid="{00000000-0005-0000-0000-0000D7370000}"/>
    <cellStyle name="Normal 4 3 2 2 3 2 2 2 2 3" xfId="14258" xr:uid="{00000000-0005-0000-0000-0000D8370000}"/>
    <cellStyle name="Normal 4 3 2 2 3 2 2 2 3" xfId="14259" xr:uid="{00000000-0005-0000-0000-0000D9370000}"/>
    <cellStyle name="Normal 4 3 2 2 3 2 2 2 4" xfId="14260" xr:uid="{00000000-0005-0000-0000-0000DA370000}"/>
    <cellStyle name="Normal 4 3 2 2 3 2 2 3" xfId="14261" xr:uid="{00000000-0005-0000-0000-0000DB370000}"/>
    <cellStyle name="Normal 4 3 2 2 3 2 2 3 2" xfId="14262" xr:uid="{00000000-0005-0000-0000-0000DC370000}"/>
    <cellStyle name="Normal 4 3 2 2 3 2 2 3 3" xfId="14263" xr:uid="{00000000-0005-0000-0000-0000DD370000}"/>
    <cellStyle name="Normal 4 3 2 2 3 2 2 4" xfId="14264" xr:uid="{00000000-0005-0000-0000-0000DE370000}"/>
    <cellStyle name="Normal 4 3 2 2 3 2 2 5" xfId="14265" xr:uid="{00000000-0005-0000-0000-0000DF370000}"/>
    <cellStyle name="Normal 4 3 2 2 3 2 3" xfId="14266" xr:uid="{00000000-0005-0000-0000-0000E0370000}"/>
    <cellStyle name="Normal 4 3 2 2 3 2 3 2" xfId="14267" xr:uid="{00000000-0005-0000-0000-0000E1370000}"/>
    <cellStyle name="Normal 4 3 2 2 3 2 3 2 2" xfId="14268" xr:uid="{00000000-0005-0000-0000-0000E2370000}"/>
    <cellStyle name="Normal 4 3 2 2 3 2 3 2 3" xfId="14269" xr:uid="{00000000-0005-0000-0000-0000E3370000}"/>
    <cellStyle name="Normal 4 3 2 2 3 2 3 3" xfId="14270" xr:uid="{00000000-0005-0000-0000-0000E4370000}"/>
    <cellStyle name="Normal 4 3 2 2 3 2 3 4" xfId="14271" xr:uid="{00000000-0005-0000-0000-0000E5370000}"/>
    <cellStyle name="Normal 4 3 2 2 3 2 4" xfId="14272" xr:uid="{00000000-0005-0000-0000-0000E6370000}"/>
    <cellStyle name="Normal 4 3 2 2 3 2 4 2" xfId="14273" xr:uid="{00000000-0005-0000-0000-0000E7370000}"/>
    <cellStyle name="Normal 4 3 2 2 3 2 4 3" xfId="14274" xr:uid="{00000000-0005-0000-0000-0000E8370000}"/>
    <cellStyle name="Normal 4 3 2 2 3 2 5" xfId="14275" xr:uid="{00000000-0005-0000-0000-0000E9370000}"/>
    <cellStyle name="Normal 4 3 2 2 3 2 6" xfId="14276" xr:uid="{00000000-0005-0000-0000-0000EA370000}"/>
    <cellStyle name="Normal 4 3 2 2 3 3" xfId="14277" xr:uid="{00000000-0005-0000-0000-0000EB370000}"/>
    <cellStyle name="Normal 4 3 2 2 3 3 2" xfId="14278" xr:uid="{00000000-0005-0000-0000-0000EC370000}"/>
    <cellStyle name="Normal 4 3 2 2 3 3 2 2" xfId="14279" xr:uid="{00000000-0005-0000-0000-0000ED370000}"/>
    <cellStyle name="Normal 4 3 2 2 3 3 2 2 2" xfId="14280" xr:uid="{00000000-0005-0000-0000-0000EE370000}"/>
    <cellStyle name="Normal 4 3 2 2 3 3 2 2 3" xfId="14281" xr:uid="{00000000-0005-0000-0000-0000EF370000}"/>
    <cellStyle name="Normal 4 3 2 2 3 3 2 3" xfId="14282" xr:uid="{00000000-0005-0000-0000-0000F0370000}"/>
    <cellStyle name="Normal 4 3 2 2 3 3 2 4" xfId="14283" xr:uid="{00000000-0005-0000-0000-0000F1370000}"/>
    <cellStyle name="Normal 4 3 2 2 3 3 3" xfId="14284" xr:uid="{00000000-0005-0000-0000-0000F2370000}"/>
    <cellStyle name="Normal 4 3 2 2 3 3 3 2" xfId="14285" xr:uid="{00000000-0005-0000-0000-0000F3370000}"/>
    <cellStyle name="Normal 4 3 2 2 3 3 3 3" xfId="14286" xr:uid="{00000000-0005-0000-0000-0000F4370000}"/>
    <cellStyle name="Normal 4 3 2 2 3 3 4" xfId="14287" xr:uid="{00000000-0005-0000-0000-0000F5370000}"/>
    <cellStyle name="Normal 4 3 2 2 3 3 5" xfId="14288" xr:uid="{00000000-0005-0000-0000-0000F6370000}"/>
    <cellStyle name="Normal 4 3 2 2 3 4" xfId="14289" xr:uid="{00000000-0005-0000-0000-0000F7370000}"/>
    <cellStyle name="Normal 4 3 2 2 3 4 2" xfId="14290" xr:uid="{00000000-0005-0000-0000-0000F8370000}"/>
    <cellStyle name="Normal 4 3 2 2 3 4 2 2" xfId="14291" xr:uid="{00000000-0005-0000-0000-0000F9370000}"/>
    <cellStyle name="Normal 4 3 2 2 3 4 2 3" xfId="14292" xr:uid="{00000000-0005-0000-0000-0000FA370000}"/>
    <cellStyle name="Normal 4 3 2 2 3 4 3" xfId="14293" xr:uid="{00000000-0005-0000-0000-0000FB370000}"/>
    <cellStyle name="Normal 4 3 2 2 3 4 4" xfId="14294" xr:uid="{00000000-0005-0000-0000-0000FC370000}"/>
    <cellStyle name="Normal 4 3 2 2 3 5" xfId="14295" xr:uid="{00000000-0005-0000-0000-0000FD370000}"/>
    <cellStyle name="Normal 4 3 2 2 3 5 2" xfId="14296" xr:uid="{00000000-0005-0000-0000-0000FE370000}"/>
    <cellStyle name="Normal 4 3 2 2 3 5 3" xfId="14297" xr:uid="{00000000-0005-0000-0000-0000FF370000}"/>
    <cellStyle name="Normal 4 3 2 2 3 6" xfId="14298" xr:uid="{00000000-0005-0000-0000-000000380000}"/>
    <cellStyle name="Normal 4 3 2 2 3 7" xfId="14299" xr:uid="{00000000-0005-0000-0000-000001380000}"/>
    <cellStyle name="Normal 4 3 2 2 4" xfId="14300" xr:uid="{00000000-0005-0000-0000-000002380000}"/>
    <cellStyle name="Normal 4 3 2 2 4 2" xfId="14301" xr:uid="{00000000-0005-0000-0000-000003380000}"/>
    <cellStyle name="Normal 4 3 2 2 4 2 2" xfId="14302" xr:uid="{00000000-0005-0000-0000-000004380000}"/>
    <cellStyle name="Normal 4 3 2 2 4 2 2 2" xfId="14303" xr:uid="{00000000-0005-0000-0000-000005380000}"/>
    <cellStyle name="Normal 4 3 2 2 4 2 2 2 2" xfId="14304" xr:uid="{00000000-0005-0000-0000-000006380000}"/>
    <cellStyle name="Normal 4 3 2 2 4 2 2 2 3" xfId="14305" xr:uid="{00000000-0005-0000-0000-000007380000}"/>
    <cellStyle name="Normal 4 3 2 2 4 2 2 3" xfId="14306" xr:uid="{00000000-0005-0000-0000-000008380000}"/>
    <cellStyle name="Normal 4 3 2 2 4 2 2 4" xfId="14307" xr:uid="{00000000-0005-0000-0000-000009380000}"/>
    <cellStyle name="Normal 4 3 2 2 4 2 3" xfId="14308" xr:uid="{00000000-0005-0000-0000-00000A380000}"/>
    <cellStyle name="Normal 4 3 2 2 4 2 3 2" xfId="14309" xr:uid="{00000000-0005-0000-0000-00000B380000}"/>
    <cellStyle name="Normal 4 3 2 2 4 2 3 3" xfId="14310" xr:uid="{00000000-0005-0000-0000-00000C380000}"/>
    <cellStyle name="Normal 4 3 2 2 4 2 4" xfId="14311" xr:uid="{00000000-0005-0000-0000-00000D380000}"/>
    <cellStyle name="Normal 4 3 2 2 4 2 5" xfId="14312" xr:uid="{00000000-0005-0000-0000-00000E380000}"/>
    <cellStyle name="Normal 4 3 2 2 4 3" xfId="14313" xr:uid="{00000000-0005-0000-0000-00000F380000}"/>
    <cellStyle name="Normal 4 3 2 2 4 3 2" xfId="14314" xr:uid="{00000000-0005-0000-0000-000010380000}"/>
    <cellStyle name="Normal 4 3 2 2 4 3 2 2" xfId="14315" xr:uid="{00000000-0005-0000-0000-000011380000}"/>
    <cellStyle name="Normal 4 3 2 2 4 3 2 3" xfId="14316" xr:uid="{00000000-0005-0000-0000-000012380000}"/>
    <cellStyle name="Normal 4 3 2 2 4 3 3" xfId="14317" xr:uid="{00000000-0005-0000-0000-000013380000}"/>
    <cellStyle name="Normal 4 3 2 2 4 3 4" xfId="14318" xr:uid="{00000000-0005-0000-0000-000014380000}"/>
    <cellStyle name="Normal 4 3 2 2 4 4" xfId="14319" xr:uid="{00000000-0005-0000-0000-000015380000}"/>
    <cellStyle name="Normal 4 3 2 2 4 4 2" xfId="14320" xr:uid="{00000000-0005-0000-0000-000016380000}"/>
    <cellStyle name="Normal 4 3 2 2 4 4 3" xfId="14321" xr:uid="{00000000-0005-0000-0000-000017380000}"/>
    <cellStyle name="Normal 4 3 2 2 4 5" xfId="14322" xr:uid="{00000000-0005-0000-0000-000018380000}"/>
    <cellStyle name="Normal 4 3 2 2 4 6" xfId="14323" xr:uid="{00000000-0005-0000-0000-000019380000}"/>
    <cellStyle name="Normal 4 3 2 2 5" xfId="14324" xr:uid="{00000000-0005-0000-0000-00001A380000}"/>
    <cellStyle name="Normal 4 3 2 2 5 2" xfId="14325" xr:uid="{00000000-0005-0000-0000-00001B380000}"/>
    <cellStyle name="Normal 4 3 2 2 5 2 2" xfId="14326" xr:uid="{00000000-0005-0000-0000-00001C380000}"/>
    <cellStyle name="Normal 4 3 2 2 5 2 2 2" xfId="14327" xr:uid="{00000000-0005-0000-0000-00001D380000}"/>
    <cellStyle name="Normal 4 3 2 2 5 2 2 3" xfId="14328" xr:uid="{00000000-0005-0000-0000-00001E380000}"/>
    <cellStyle name="Normal 4 3 2 2 5 2 3" xfId="14329" xr:uid="{00000000-0005-0000-0000-00001F380000}"/>
    <cellStyle name="Normal 4 3 2 2 5 2 4" xfId="14330" xr:uid="{00000000-0005-0000-0000-000020380000}"/>
    <cellStyle name="Normal 4 3 2 2 5 3" xfId="14331" xr:uid="{00000000-0005-0000-0000-000021380000}"/>
    <cellStyle name="Normal 4 3 2 2 5 3 2" xfId="14332" xr:uid="{00000000-0005-0000-0000-000022380000}"/>
    <cellStyle name="Normal 4 3 2 2 5 3 3" xfId="14333" xr:uid="{00000000-0005-0000-0000-000023380000}"/>
    <cellStyle name="Normal 4 3 2 2 5 4" xfId="14334" xr:uid="{00000000-0005-0000-0000-000024380000}"/>
    <cellStyle name="Normal 4 3 2 2 5 5" xfId="14335" xr:uid="{00000000-0005-0000-0000-000025380000}"/>
    <cellStyle name="Normal 4 3 2 2 6" xfId="14336" xr:uid="{00000000-0005-0000-0000-000026380000}"/>
    <cellStyle name="Normal 4 3 2 2 6 2" xfId="14337" xr:uid="{00000000-0005-0000-0000-000027380000}"/>
    <cellStyle name="Normal 4 3 2 2 6 2 2" xfId="14338" xr:uid="{00000000-0005-0000-0000-000028380000}"/>
    <cellStyle name="Normal 4 3 2 2 6 2 3" xfId="14339" xr:uid="{00000000-0005-0000-0000-000029380000}"/>
    <cellStyle name="Normal 4 3 2 2 6 3" xfId="14340" xr:uid="{00000000-0005-0000-0000-00002A380000}"/>
    <cellStyle name="Normal 4 3 2 2 6 4" xfId="14341" xr:uid="{00000000-0005-0000-0000-00002B380000}"/>
    <cellStyle name="Normal 4 3 2 2 7" xfId="14342" xr:uid="{00000000-0005-0000-0000-00002C380000}"/>
    <cellStyle name="Normal 4 3 2 2 7 2" xfId="14343" xr:uid="{00000000-0005-0000-0000-00002D380000}"/>
    <cellStyle name="Normal 4 3 2 2 7 3" xfId="14344" xr:uid="{00000000-0005-0000-0000-00002E380000}"/>
    <cellStyle name="Normal 4 3 2 2 8" xfId="14345" xr:uid="{00000000-0005-0000-0000-00002F380000}"/>
    <cellStyle name="Normal 4 3 2 2 9" xfId="14346" xr:uid="{00000000-0005-0000-0000-000030380000}"/>
    <cellStyle name="Normal 4 3 2 3" xfId="14347" xr:uid="{00000000-0005-0000-0000-000031380000}"/>
    <cellStyle name="Normal 4 3 2 3 2" xfId="14348" xr:uid="{00000000-0005-0000-0000-000032380000}"/>
    <cellStyle name="Normal 4 3 2 3 2 2" xfId="14349" xr:uid="{00000000-0005-0000-0000-000033380000}"/>
    <cellStyle name="Normal 4 3 2 3 2 2 2" xfId="14350" xr:uid="{00000000-0005-0000-0000-000034380000}"/>
    <cellStyle name="Normal 4 3 2 3 2 2 2 2" xfId="14351" xr:uid="{00000000-0005-0000-0000-000035380000}"/>
    <cellStyle name="Normal 4 3 2 3 2 2 2 2 2" xfId="14352" xr:uid="{00000000-0005-0000-0000-000036380000}"/>
    <cellStyle name="Normal 4 3 2 3 2 2 2 2 3" xfId="14353" xr:uid="{00000000-0005-0000-0000-000037380000}"/>
    <cellStyle name="Normal 4 3 2 3 2 2 2 3" xfId="14354" xr:uid="{00000000-0005-0000-0000-000038380000}"/>
    <cellStyle name="Normal 4 3 2 3 2 2 2 4" xfId="14355" xr:uid="{00000000-0005-0000-0000-000039380000}"/>
    <cellStyle name="Normal 4 3 2 3 2 2 3" xfId="14356" xr:uid="{00000000-0005-0000-0000-00003A380000}"/>
    <cellStyle name="Normal 4 3 2 3 2 2 3 2" xfId="14357" xr:uid="{00000000-0005-0000-0000-00003B380000}"/>
    <cellStyle name="Normal 4 3 2 3 2 2 3 3" xfId="14358" xr:uid="{00000000-0005-0000-0000-00003C380000}"/>
    <cellStyle name="Normal 4 3 2 3 2 2 4" xfId="14359" xr:uid="{00000000-0005-0000-0000-00003D380000}"/>
    <cellStyle name="Normal 4 3 2 3 2 2 5" xfId="14360" xr:uid="{00000000-0005-0000-0000-00003E380000}"/>
    <cellStyle name="Normal 4 3 2 3 2 3" xfId="14361" xr:uid="{00000000-0005-0000-0000-00003F380000}"/>
    <cellStyle name="Normal 4 3 2 3 2 3 2" xfId="14362" xr:uid="{00000000-0005-0000-0000-000040380000}"/>
    <cellStyle name="Normal 4 3 2 3 2 3 2 2" xfId="14363" xr:uid="{00000000-0005-0000-0000-000041380000}"/>
    <cellStyle name="Normal 4 3 2 3 2 3 2 3" xfId="14364" xr:uid="{00000000-0005-0000-0000-000042380000}"/>
    <cellStyle name="Normal 4 3 2 3 2 3 3" xfId="14365" xr:uid="{00000000-0005-0000-0000-000043380000}"/>
    <cellStyle name="Normal 4 3 2 3 2 3 4" xfId="14366" xr:uid="{00000000-0005-0000-0000-000044380000}"/>
    <cellStyle name="Normal 4 3 2 3 2 4" xfId="14367" xr:uid="{00000000-0005-0000-0000-000045380000}"/>
    <cellStyle name="Normal 4 3 2 3 2 4 2" xfId="14368" xr:uid="{00000000-0005-0000-0000-000046380000}"/>
    <cellStyle name="Normal 4 3 2 3 2 4 3" xfId="14369" xr:uid="{00000000-0005-0000-0000-000047380000}"/>
    <cellStyle name="Normal 4 3 2 3 2 5" xfId="14370" xr:uid="{00000000-0005-0000-0000-000048380000}"/>
    <cellStyle name="Normal 4 3 2 3 2 6" xfId="14371" xr:uid="{00000000-0005-0000-0000-000049380000}"/>
    <cellStyle name="Normal 4 3 2 3 3" xfId="14372" xr:uid="{00000000-0005-0000-0000-00004A380000}"/>
    <cellStyle name="Normal 4 3 2 3 3 2" xfId="14373" xr:uid="{00000000-0005-0000-0000-00004B380000}"/>
    <cellStyle name="Normal 4 3 2 3 3 2 2" xfId="14374" xr:uid="{00000000-0005-0000-0000-00004C380000}"/>
    <cellStyle name="Normal 4 3 2 3 3 2 2 2" xfId="14375" xr:uid="{00000000-0005-0000-0000-00004D380000}"/>
    <cellStyle name="Normal 4 3 2 3 3 2 2 3" xfId="14376" xr:uid="{00000000-0005-0000-0000-00004E380000}"/>
    <cellStyle name="Normal 4 3 2 3 3 2 3" xfId="14377" xr:uid="{00000000-0005-0000-0000-00004F380000}"/>
    <cellStyle name="Normal 4 3 2 3 3 2 4" xfId="14378" xr:uid="{00000000-0005-0000-0000-000050380000}"/>
    <cellStyle name="Normal 4 3 2 3 3 3" xfId="14379" xr:uid="{00000000-0005-0000-0000-000051380000}"/>
    <cellStyle name="Normal 4 3 2 3 3 3 2" xfId="14380" xr:uid="{00000000-0005-0000-0000-000052380000}"/>
    <cellStyle name="Normal 4 3 2 3 3 3 3" xfId="14381" xr:uid="{00000000-0005-0000-0000-000053380000}"/>
    <cellStyle name="Normal 4 3 2 3 3 4" xfId="14382" xr:uid="{00000000-0005-0000-0000-000054380000}"/>
    <cellStyle name="Normal 4 3 2 3 3 5" xfId="14383" xr:uid="{00000000-0005-0000-0000-000055380000}"/>
    <cellStyle name="Normal 4 3 2 3 4" xfId="14384" xr:uid="{00000000-0005-0000-0000-000056380000}"/>
    <cellStyle name="Normal 4 3 2 3 4 2" xfId="14385" xr:uid="{00000000-0005-0000-0000-000057380000}"/>
    <cellStyle name="Normal 4 3 2 3 4 2 2" xfId="14386" xr:uid="{00000000-0005-0000-0000-000058380000}"/>
    <cellStyle name="Normal 4 3 2 3 4 2 3" xfId="14387" xr:uid="{00000000-0005-0000-0000-000059380000}"/>
    <cellStyle name="Normal 4 3 2 3 4 3" xfId="14388" xr:uid="{00000000-0005-0000-0000-00005A380000}"/>
    <cellStyle name="Normal 4 3 2 3 4 4" xfId="14389" xr:uid="{00000000-0005-0000-0000-00005B380000}"/>
    <cellStyle name="Normal 4 3 2 3 5" xfId="14390" xr:uid="{00000000-0005-0000-0000-00005C380000}"/>
    <cellStyle name="Normal 4 3 2 3 5 2" xfId="14391" xr:uid="{00000000-0005-0000-0000-00005D380000}"/>
    <cellStyle name="Normal 4 3 2 3 5 3" xfId="14392" xr:uid="{00000000-0005-0000-0000-00005E380000}"/>
    <cellStyle name="Normal 4 3 2 3 6" xfId="14393" xr:uid="{00000000-0005-0000-0000-00005F380000}"/>
    <cellStyle name="Normal 4 3 2 3 7" xfId="14394" xr:uid="{00000000-0005-0000-0000-000060380000}"/>
    <cellStyle name="Normal 4 3 2 4" xfId="14395" xr:uid="{00000000-0005-0000-0000-000061380000}"/>
    <cellStyle name="Normal 4 3 2 4 2" xfId="14396" xr:uid="{00000000-0005-0000-0000-000062380000}"/>
    <cellStyle name="Normal 4 3 2 4 2 2" xfId="14397" xr:uid="{00000000-0005-0000-0000-000063380000}"/>
    <cellStyle name="Normal 4 3 2 4 2 2 2" xfId="14398" xr:uid="{00000000-0005-0000-0000-000064380000}"/>
    <cellStyle name="Normal 4 3 2 4 2 2 2 2" xfId="14399" xr:uid="{00000000-0005-0000-0000-000065380000}"/>
    <cellStyle name="Normal 4 3 2 4 2 2 2 2 2" xfId="14400" xr:uid="{00000000-0005-0000-0000-000066380000}"/>
    <cellStyle name="Normal 4 3 2 4 2 2 2 2 3" xfId="14401" xr:uid="{00000000-0005-0000-0000-000067380000}"/>
    <cellStyle name="Normal 4 3 2 4 2 2 2 3" xfId="14402" xr:uid="{00000000-0005-0000-0000-000068380000}"/>
    <cellStyle name="Normal 4 3 2 4 2 2 2 4" xfId="14403" xr:uid="{00000000-0005-0000-0000-000069380000}"/>
    <cellStyle name="Normal 4 3 2 4 2 2 3" xfId="14404" xr:uid="{00000000-0005-0000-0000-00006A380000}"/>
    <cellStyle name="Normal 4 3 2 4 2 2 3 2" xfId="14405" xr:uid="{00000000-0005-0000-0000-00006B380000}"/>
    <cellStyle name="Normal 4 3 2 4 2 2 3 3" xfId="14406" xr:uid="{00000000-0005-0000-0000-00006C380000}"/>
    <cellStyle name="Normal 4 3 2 4 2 2 4" xfId="14407" xr:uid="{00000000-0005-0000-0000-00006D380000}"/>
    <cellStyle name="Normal 4 3 2 4 2 2 5" xfId="14408" xr:uid="{00000000-0005-0000-0000-00006E380000}"/>
    <cellStyle name="Normal 4 3 2 4 2 3" xfId="14409" xr:uid="{00000000-0005-0000-0000-00006F380000}"/>
    <cellStyle name="Normal 4 3 2 4 2 3 2" xfId="14410" xr:uid="{00000000-0005-0000-0000-000070380000}"/>
    <cellStyle name="Normal 4 3 2 4 2 3 2 2" xfId="14411" xr:uid="{00000000-0005-0000-0000-000071380000}"/>
    <cellStyle name="Normal 4 3 2 4 2 3 2 3" xfId="14412" xr:uid="{00000000-0005-0000-0000-000072380000}"/>
    <cellStyle name="Normal 4 3 2 4 2 3 3" xfId="14413" xr:uid="{00000000-0005-0000-0000-000073380000}"/>
    <cellStyle name="Normal 4 3 2 4 2 3 4" xfId="14414" xr:uid="{00000000-0005-0000-0000-000074380000}"/>
    <cellStyle name="Normal 4 3 2 4 2 4" xfId="14415" xr:uid="{00000000-0005-0000-0000-000075380000}"/>
    <cellStyle name="Normal 4 3 2 4 2 4 2" xfId="14416" xr:uid="{00000000-0005-0000-0000-000076380000}"/>
    <cellStyle name="Normal 4 3 2 4 2 4 3" xfId="14417" xr:uid="{00000000-0005-0000-0000-000077380000}"/>
    <cellStyle name="Normal 4 3 2 4 2 5" xfId="14418" xr:uid="{00000000-0005-0000-0000-000078380000}"/>
    <cellStyle name="Normal 4 3 2 4 2 6" xfId="14419" xr:uid="{00000000-0005-0000-0000-000079380000}"/>
    <cellStyle name="Normal 4 3 2 4 3" xfId="14420" xr:uid="{00000000-0005-0000-0000-00007A380000}"/>
    <cellStyle name="Normal 4 3 2 4 3 2" xfId="14421" xr:uid="{00000000-0005-0000-0000-00007B380000}"/>
    <cellStyle name="Normal 4 3 2 4 3 2 2" xfId="14422" xr:uid="{00000000-0005-0000-0000-00007C380000}"/>
    <cellStyle name="Normal 4 3 2 4 3 2 2 2" xfId="14423" xr:uid="{00000000-0005-0000-0000-00007D380000}"/>
    <cellStyle name="Normal 4 3 2 4 3 2 2 3" xfId="14424" xr:uid="{00000000-0005-0000-0000-00007E380000}"/>
    <cellStyle name="Normal 4 3 2 4 3 2 3" xfId="14425" xr:uid="{00000000-0005-0000-0000-00007F380000}"/>
    <cellStyle name="Normal 4 3 2 4 3 2 4" xfId="14426" xr:uid="{00000000-0005-0000-0000-000080380000}"/>
    <cellStyle name="Normal 4 3 2 4 3 3" xfId="14427" xr:uid="{00000000-0005-0000-0000-000081380000}"/>
    <cellStyle name="Normal 4 3 2 4 3 3 2" xfId="14428" xr:uid="{00000000-0005-0000-0000-000082380000}"/>
    <cellStyle name="Normal 4 3 2 4 3 3 3" xfId="14429" xr:uid="{00000000-0005-0000-0000-000083380000}"/>
    <cellStyle name="Normal 4 3 2 4 3 4" xfId="14430" xr:uid="{00000000-0005-0000-0000-000084380000}"/>
    <cellStyle name="Normal 4 3 2 4 3 5" xfId="14431" xr:uid="{00000000-0005-0000-0000-000085380000}"/>
    <cellStyle name="Normal 4 3 2 4 4" xfId="14432" xr:uid="{00000000-0005-0000-0000-000086380000}"/>
    <cellStyle name="Normal 4 3 2 4 4 2" xfId="14433" xr:uid="{00000000-0005-0000-0000-000087380000}"/>
    <cellStyle name="Normal 4 3 2 4 4 2 2" xfId="14434" xr:uid="{00000000-0005-0000-0000-000088380000}"/>
    <cellStyle name="Normal 4 3 2 4 4 2 3" xfId="14435" xr:uid="{00000000-0005-0000-0000-000089380000}"/>
    <cellStyle name="Normal 4 3 2 4 4 3" xfId="14436" xr:uid="{00000000-0005-0000-0000-00008A380000}"/>
    <cellStyle name="Normal 4 3 2 4 4 4" xfId="14437" xr:uid="{00000000-0005-0000-0000-00008B380000}"/>
    <cellStyle name="Normal 4 3 2 4 5" xfId="14438" xr:uid="{00000000-0005-0000-0000-00008C380000}"/>
    <cellStyle name="Normal 4 3 2 4 5 2" xfId="14439" xr:uid="{00000000-0005-0000-0000-00008D380000}"/>
    <cellStyle name="Normal 4 3 2 4 5 3" xfId="14440" xr:uid="{00000000-0005-0000-0000-00008E380000}"/>
    <cellStyle name="Normal 4 3 2 4 6" xfId="14441" xr:uid="{00000000-0005-0000-0000-00008F380000}"/>
    <cellStyle name="Normal 4 3 2 4 7" xfId="14442" xr:uid="{00000000-0005-0000-0000-000090380000}"/>
    <cellStyle name="Normal 4 3 2 5" xfId="14443" xr:uid="{00000000-0005-0000-0000-000091380000}"/>
    <cellStyle name="Normal 4 3 2 5 2" xfId="14444" xr:uid="{00000000-0005-0000-0000-000092380000}"/>
    <cellStyle name="Normal 4 3 2 5 2 2" xfId="14445" xr:uid="{00000000-0005-0000-0000-000093380000}"/>
    <cellStyle name="Normal 4 3 2 5 2 2 2" xfId="14446" xr:uid="{00000000-0005-0000-0000-000094380000}"/>
    <cellStyle name="Normal 4 3 2 5 2 2 2 2" xfId="14447" xr:uid="{00000000-0005-0000-0000-000095380000}"/>
    <cellStyle name="Normal 4 3 2 5 2 2 2 3" xfId="14448" xr:uid="{00000000-0005-0000-0000-000096380000}"/>
    <cellStyle name="Normal 4 3 2 5 2 2 3" xfId="14449" xr:uid="{00000000-0005-0000-0000-000097380000}"/>
    <cellStyle name="Normal 4 3 2 5 2 2 4" xfId="14450" xr:uid="{00000000-0005-0000-0000-000098380000}"/>
    <cellStyle name="Normal 4 3 2 5 2 3" xfId="14451" xr:uid="{00000000-0005-0000-0000-000099380000}"/>
    <cellStyle name="Normal 4 3 2 5 2 3 2" xfId="14452" xr:uid="{00000000-0005-0000-0000-00009A380000}"/>
    <cellStyle name="Normal 4 3 2 5 2 3 3" xfId="14453" xr:uid="{00000000-0005-0000-0000-00009B380000}"/>
    <cellStyle name="Normal 4 3 2 5 2 4" xfId="14454" xr:uid="{00000000-0005-0000-0000-00009C380000}"/>
    <cellStyle name="Normal 4 3 2 5 2 5" xfId="14455" xr:uid="{00000000-0005-0000-0000-00009D380000}"/>
    <cellStyle name="Normal 4 3 2 5 3" xfId="14456" xr:uid="{00000000-0005-0000-0000-00009E380000}"/>
    <cellStyle name="Normal 4 3 2 5 3 2" xfId="14457" xr:uid="{00000000-0005-0000-0000-00009F380000}"/>
    <cellStyle name="Normal 4 3 2 5 3 2 2" xfId="14458" xr:uid="{00000000-0005-0000-0000-0000A0380000}"/>
    <cellStyle name="Normal 4 3 2 5 3 2 3" xfId="14459" xr:uid="{00000000-0005-0000-0000-0000A1380000}"/>
    <cellStyle name="Normal 4 3 2 5 3 3" xfId="14460" xr:uid="{00000000-0005-0000-0000-0000A2380000}"/>
    <cellStyle name="Normal 4 3 2 5 3 4" xfId="14461" xr:uid="{00000000-0005-0000-0000-0000A3380000}"/>
    <cellStyle name="Normal 4 3 2 5 4" xfId="14462" xr:uid="{00000000-0005-0000-0000-0000A4380000}"/>
    <cellStyle name="Normal 4 3 2 5 4 2" xfId="14463" xr:uid="{00000000-0005-0000-0000-0000A5380000}"/>
    <cellStyle name="Normal 4 3 2 5 4 3" xfId="14464" xr:uid="{00000000-0005-0000-0000-0000A6380000}"/>
    <cellStyle name="Normal 4 3 2 5 5" xfId="14465" xr:uid="{00000000-0005-0000-0000-0000A7380000}"/>
    <cellStyle name="Normal 4 3 2 5 6" xfId="14466" xr:uid="{00000000-0005-0000-0000-0000A8380000}"/>
    <cellStyle name="Normal 4 3 2 6" xfId="14467" xr:uid="{00000000-0005-0000-0000-0000A9380000}"/>
    <cellStyle name="Normal 4 3 2 6 2" xfId="14468" xr:uid="{00000000-0005-0000-0000-0000AA380000}"/>
    <cellStyle name="Normal 4 3 2 6 2 2" xfId="14469" xr:uid="{00000000-0005-0000-0000-0000AB380000}"/>
    <cellStyle name="Normal 4 3 2 6 2 2 2" xfId="14470" xr:uid="{00000000-0005-0000-0000-0000AC380000}"/>
    <cellStyle name="Normal 4 3 2 6 2 2 3" xfId="14471" xr:uid="{00000000-0005-0000-0000-0000AD380000}"/>
    <cellStyle name="Normal 4 3 2 6 2 3" xfId="14472" xr:uid="{00000000-0005-0000-0000-0000AE380000}"/>
    <cellStyle name="Normal 4 3 2 6 2 4" xfId="14473" xr:uid="{00000000-0005-0000-0000-0000AF380000}"/>
    <cellStyle name="Normal 4 3 2 6 3" xfId="14474" xr:uid="{00000000-0005-0000-0000-0000B0380000}"/>
    <cellStyle name="Normal 4 3 2 6 3 2" xfId="14475" xr:uid="{00000000-0005-0000-0000-0000B1380000}"/>
    <cellStyle name="Normal 4 3 2 6 3 3" xfId="14476" xr:uid="{00000000-0005-0000-0000-0000B2380000}"/>
    <cellStyle name="Normal 4 3 2 6 4" xfId="14477" xr:uid="{00000000-0005-0000-0000-0000B3380000}"/>
    <cellStyle name="Normal 4 3 2 6 5" xfId="14478" xr:uid="{00000000-0005-0000-0000-0000B4380000}"/>
    <cellStyle name="Normal 4 3 2 7" xfId="14479" xr:uid="{00000000-0005-0000-0000-0000B5380000}"/>
    <cellStyle name="Normal 4 3 2 7 2" xfId="14480" xr:uid="{00000000-0005-0000-0000-0000B6380000}"/>
    <cellStyle name="Normal 4 3 2 7 2 2" xfId="14481" xr:uid="{00000000-0005-0000-0000-0000B7380000}"/>
    <cellStyle name="Normal 4 3 2 7 2 3" xfId="14482" xr:uid="{00000000-0005-0000-0000-0000B8380000}"/>
    <cellStyle name="Normal 4 3 2 7 3" xfId="14483" xr:uid="{00000000-0005-0000-0000-0000B9380000}"/>
    <cellStyle name="Normal 4 3 2 7 4" xfId="14484" xr:uid="{00000000-0005-0000-0000-0000BA380000}"/>
    <cellStyle name="Normal 4 3 2 8" xfId="14485" xr:uid="{00000000-0005-0000-0000-0000BB380000}"/>
    <cellStyle name="Normal 4 3 2 8 2" xfId="14486" xr:uid="{00000000-0005-0000-0000-0000BC380000}"/>
    <cellStyle name="Normal 4 3 2 8 3" xfId="14487" xr:uid="{00000000-0005-0000-0000-0000BD380000}"/>
    <cellStyle name="Normal 4 3 2 9" xfId="14488" xr:uid="{00000000-0005-0000-0000-0000BE380000}"/>
    <cellStyle name="Normal 4 3 3" xfId="14489" xr:uid="{00000000-0005-0000-0000-0000BF380000}"/>
    <cellStyle name="Normal 4 3 3 2" xfId="14490" xr:uid="{00000000-0005-0000-0000-0000C0380000}"/>
    <cellStyle name="Normal 4 3 3 2 2" xfId="14491" xr:uid="{00000000-0005-0000-0000-0000C1380000}"/>
    <cellStyle name="Normal 4 3 3 2 2 2" xfId="14492" xr:uid="{00000000-0005-0000-0000-0000C2380000}"/>
    <cellStyle name="Normal 4 3 3 2 2 2 2" xfId="14493" xr:uid="{00000000-0005-0000-0000-0000C3380000}"/>
    <cellStyle name="Normal 4 3 3 2 2 2 2 2" xfId="14494" xr:uid="{00000000-0005-0000-0000-0000C4380000}"/>
    <cellStyle name="Normal 4 3 3 2 2 2 2 2 2" xfId="14495" xr:uid="{00000000-0005-0000-0000-0000C5380000}"/>
    <cellStyle name="Normal 4 3 3 2 2 2 2 2 3" xfId="14496" xr:uid="{00000000-0005-0000-0000-0000C6380000}"/>
    <cellStyle name="Normal 4 3 3 2 2 2 2 3" xfId="14497" xr:uid="{00000000-0005-0000-0000-0000C7380000}"/>
    <cellStyle name="Normal 4 3 3 2 2 2 2 4" xfId="14498" xr:uid="{00000000-0005-0000-0000-0000C8380000}"/>
    <cellStyle name="Normal 4 3 3 2 2 2 3" xfId="14499" xr:uid="{00000000-0005-0000-0000-0000C9380000}"/>
    <cellStyle name="Normal 4 3 3 2 2 2 3 2" xfId="14500" xr:uid="{00000000-0005-0000-0000-0000CA380000}"/>
    <cellStyle name="Normal 4 3 3 2 2 2 3 3" xfId="14501" xr:uid="{00000000-0005-0000-0000-0000CB380000}"/>
    <cellStyle name="Normal 4 3 3 2 2 2 4" xfId="14502" xr:uid="{00000000-0005-0000-0000-0000CC380000}"/>
    <cellStyle name="Normal 4 3 3 2 2 2 5" xfId="14503" xr:uid="{00000000-0005-0000-0000-0000CD380000}"/>
    <cellStyle name="Normal 4 3 3 2 2 3" xfId="14504" xr:uid="{00000000-0005-0000-0000-0000CE380000}"/>
    <cellStyle name="Normal 4 3 3 2 2 3 2" xfId="14505" xr:uid="{00000000-0005-0000-0000-0000CF380000}"/>
    <cellStyle name="Normal 4 3 3 2 2 3 2 2" xfId="14506" xr:uid="{00000000-0005-0000-0000-0000D0380000}"/>
    <cellStyle name="Normal 4 3 3 2 2 3 2 3" xfId="14507" xr:uid="{00000000-0005-0000-0000-0000D1380000}"/>
    <cellStyle name="Normal 4 3 3 2 2 3 3" xfId="14508" xr:uid="{00000000-0005-0000-0000-0000D2380000}"/>
    <cellStyle name="Normal 4 3 3 2 2 3 4" xfId="14509" xr:uid="{00000000-0005-0000-0000-0000D3380000}"/>
    <cellStyle name="Normal 4 3 3 2 2 4" xfId="14510" xr:uid="{00000000-0005-0000-0000-0000D4380000}"/>
    <cellStyle name="Normal 4 3 3 2 2 4 2" xfId="14511" xr:uid="{00000000-0005-0000-0000-0000D5380000}"/>
    <cellStyle name="Normal 4 3 3 2 2 4 3" xfId="14512" xr:uid="{00000000-0005-0000-0000-0000D6380000}"/>
    <cellStyle name="Normal 4 3 3 2 2 5" xfId="14513" xr:uid="{00000000-0005-0000-0000-0000D7380000}"/>
    <cellStyle name="Normal 4 3 3 2 2 6" xfId="14514" xr:uid="{00000000-0005-0000-0000-0000D8380000}"/>
    <cellStyle name="Normal 4 3 3 2 3" xfId="14515" xr:uid="{00000000-0005-0000-0000-0000D9380000}"/>
    <cellStyle name="Normal 4 3 3 2 3 2" xfId="14516" xr:uid="{00000000-0005-0000-0000-0000DA380000}"/>
    <cellStyle name="Normal 4 3 3 2 3 2 2" xfId="14517" xr:uid="{00000000-0005-0000-0000-0000DB380000}"/>
    <cellStyle name="Normal 4 3 3 2 3 2 2 2" xfId="14518" xr:uid="{00000000-0005-0000-0000-0000DC380000}"/>
    <cellStyle name="Normal 4 3 3 2 3 2 2 3" xfId="14519" xr:uid="{00000000-0005-0000-0000-0000DD380000}"/>
    <cellStyle name="Normal 4 3 3 2 3 2 3" xfId="14520" xr:uid="{00000000-0005-0000-0000-0000DE380000}"/>
    <cellStyle name="Normal 4 3 3 2 3 2 4" xfId="14521" xr:uid="{00000000-0005-0000-0000-0000DF380000}"/>
    <cellStyle name="Normal 4 3 3 2 3 3" xfId="14522" xr:uid="{00000000-0005-0000-0000-0000E0380000}"/>
    <cellStyle name="Normal 4 3 3 2 3 3 2" xfId="14523" xr:uid="{00000000-0005-0000-0000-0000E1380000}"/>
    <cellStyle name="Normal 4 3 3 2 3 3 3" xfId="14524" xr:uid="{00000000-0005-0000-0000-0000E2380000}"/>
    <cellStyle name="Normal 4 3 3 2 3 4" xfId="14525" xr:uid="{00000000-0005-0000-0000-0000E3380000}"/>
    <cellStyle name="Normal 4 3 3 2 3 5" xfId="14526" xr:uid="{00000000-0005-0000-0000-0000E4380000}"/>
    <cellStyle name="Normal 4 3 3 2 4" xfId="14527" xr:uid="{00000000-0005-0000-0000-0000E5380000}"/>
    <cellStyle name="Normal 4 3 3 2 4 2" xfId="14528" xr:uid="{00000000-0005-0000-0000-0000E6380000}"/>
    <cellStyle name="Normal 4 3 3 2 4 2 2" xfId="14529" xr:uid="{00000000-0005-0000-0000-0000E7380000}"/>
    <cellStyle name="Normal 4 3 3 2 4 2 3" xfId="14530" xr:uid="{00000000-0005-0000-0000-0000E8380000}"/>
    <cellStyle name="Normal 4 3 3 2 4 3" xfId="14531" xr:uid="{00000000-0005-0000-0000-0000E9380000}"/>
    <cellStyle name="Normal 4 3 3 2 4 4" xfId="14532" xr:uid="{00000000-0005-0000-0000-0000EA380000}"/>
    <cellStyle name="Normal 4 3 3 2 5" xfId="14533" xr:uid="{00000000-0005-0000-0000-0000EB380000}"/>
    <cellStyle name="Normal 4 3 3 2 5 2" xfId="14534" xr:uid="{00000000-0005-0000-0000-0000EC380000}"/>
    <cellStyle name="Normal 4 3 3 2 5 3" xfId="14535" xr:uid="{00000000-0005-0000-0000-0000ED380000}"/>
    <cellStyle name="Normal 4 3 3 2 6" xfId="14536" xr:uid="{00000000-0005-0000-0000-0000EE380000}"/>
    <cellStyle name="Normal 4 3 3 2 7" xfId="14537" xr:uid="{00000000-0005-0000-0000-0000EF380000}"/>
    <cellStyle name="Normal 4 3 3 3" xfId="14538" xr:uid="{00000000-0005-0000-0000-0000F0380000}"/>
    <cellStyle name="Normal 4 3 3 3 2" xfId="14539" xr:uid="{00000000-0005-0000-0000-0000F1380000}"/>
    <cellStyle name="Normal 4 3 3 3 2 2" xfId="14540" xr:uid="{00000000-0005-0000-0000-0000F2380000}"/>
    <cellStyle name="Normal 4 3 3 3 2 2 2" xfId="14541" xr:uid="{00000000-0005-0000-0000-0000F3380000}"/>
    <cellStyle name="Normal 4 3 3 3 2 2 2 2" xfId="14542" xr:uid="{00000000-0005-0000-0000-0000F4380000}"/>
    <cellStyle name="Normal 4 3 3 3 2 2 2 2 2" xfId="14543" xr:uid="{00000000-0005-0000-0000-0000F5380000}"/>
    <cellStyle name="Normal 4 3 3 3 2 2 2 2 3" xfId="14544" xr:uid="{00000000-0005-0000-0000-0000F6380000}"/>
    <cellStyle name="Normal 4 3 3 3 2 2 2 3" xfId="14545" xr:uid="{00000000-0005-0000-0000-0000F7380000}"/>
    <cellStyle name="Normal 4 3 3 3 2 2 2 4" xfId="14546" xr:uid="{00000000-0005-0000-0000-0000F8380000}"/>
    <cellStyle name="Normal 4 3 3 3 2 2 3" xfId="14547" xr:uid="{00000000-0005-0000-0000-0000F9380000}"/>
    <cellStyle name="Normal 4 3 3 3 2 2 3 2" xfId="14548" xr:uid="{00000000-0005-0000-0000-0000FA380000}"/>
    <cellStyle name="Normal 4 3 3 3 2 2 3 3" xfId="14549" xr:uid="{00000000-0005-0000-0000-0000FB380000}"/>
    <cellStyle name="Normal 4 3 3 3 2 2 4" xfId="14550" xr:uid="{00000000-0005-0000-0000-0000FC380000}"/>
    <cellStyle name="Normal 4 3 3 3 2 2 5" xfId="14551" xr:uid="{00000000-0005-0000-0000-0000FD380000}"/>
    <cellStyle name="Normal 4 3 3 3 2 3" xfId="14552" xr:uid="{00000000-0005-0000-0000-0000FE380000}"/>
    <cellStyle name="Normal 4 3 3 3 2 3 2" xfId="14553" xr:uid="{00000000-0005-0000-0000-0000FF380000}"/>
    <cellStyle name="Normal 4 3 3 3 2 3 2 2" xfId="14554" xr:uid="{00000000-0005-0000-0000-000000390000}"/>
    <cellStyle name="Normal 4 3 3 3 2 3 2 3" xfId="14555" xr:uid="{00000000-0005-0000-0000-000001390000}"/>
    <cellStyle name="Normal 4 3 3 3 2 3 3" xfId="14556" xr:uid="{00000000-0005-0000-0000-000002390000}"/>
    <cellStyle name="Normal 4 3 3 3 2 3 4" xfId="14557" xr:uid="{00000000-0005-0000-0000-000003390000}"/>
    <cellStyle name="Normal 4 3 3 3 2 4" xfId="14558" xr:uid="{00000000-0005-0000-0000-000004390000}"/>
    <cellStyle name="Normal 4 3 3 3 2 4 2" xfId="14559" xr:uid="{00000000-0005-0000-0000-000005390000}"/>
    <cellStyle name="Normal 4 3 3 3 2 4 3" xfId="14560" xr:uid="{00000000-0005-0000-0000-000006390000}"/>
    <cellStyle name="Normal 4 3 3 3 2 5" xfId="14561" xr:uid="{00000000-0005-0000-0000-000007390000}"/>
    <cellStyle name="Normal 4 3 3 3 2 6" xfId="14562" xr:uid="{00000000-0005-0000-0000-000008390000}"/>
    <cellStyle name="Normal 4 3 3 3 3" xfId="14563" xr:uid="{00000000-0005-0000-0000-000009390000}"/>
    <cellStyle name="Normal 4 3 3 3 3 2" xfId="14564" xr:uid="{00000000-0005-0000-0000-00000A390000}"/>
    <cellStyle name="Normal 4 3 3 3 3 2 2" xfId="14565" xr:uid="{00000000-0005-0000-0000-00000B390000}"/>
    <cellStyle name="Normal 4 3 3 3 3 2 2 2" xfId="14566" xr:uid="{00000000-0005-0000-0000-00000C390000}"/>
    <cellStyle name="Normal 4 3 3 3 3 2 2 3" xfId="14567" xr:uid="{00000000-0005-0000-0000-00000D390000}"/>
    <cellStyle name="Normal 4 3 3 3 3 2 3" xfId="14568" xr:uid="{00000000-0005-0000-0000-00000E390000}"/>
    <cellStyle name="Normal 4 3 3 3 3 2 4" xfId="14569" xr:uid="{00000000-0005-0000-0000-00000F390000}"/>
    <cellStyle name="Normal 4 3 3 3 3 3" xfId="14570" xr:uid="{00000000-0005-0000-0000-000010390000}"/>
    <cellStyle name="Normal 4 3 3 3 3 3 2" xfId="14571" xr:uid="{00000000-0005-0000-0000-000011390000}"/>
    <cellStyle name="Normal 4 3 3 3 3 3 3" xfId="14572" xr:uid="{00000000-0005-0000-0000-000012390000}"/>
    <cellStyle name="Normal 4 3 3 3 3 4" xfId="14573" xr:uid="{00000000-0005-0000-0000-000013390000}"/>
    <cellStyle name="Normal 4 3 3 3 3 5" xfId="14574" xr:uid="{00000000-0005-0000-0000-000014390000}"/>
    <cellStyle name="Normal 4 3 3 3 4" xfId="14575" xr:uid="{00000000-0005-0000-0000-000015390000}"/>
    <cellStyle name="Normal 4 3 3 3 4 2" xfId="14576" xr:uid="{00000000-0005-0000-0000-000016390000}"/>
    <cellStyle name="Normal 4 3 3 3 4 2 2" xfId="14577" xr:uid="{00000000-0005-0000-0000-000017390000}"/>
    <cellStyle name="Normal 4 3 3 3 4 2 3" xfId="14578" xr:uid="{00000000-0005-0000-0000-000018390000}"/>
    <cellStyle name="Normal 4 3 3 3 4 3" xfId="14579" xr:uid="{00000000-0005-0000-0000-000019390000}"/>
    <cellStyle name="Normal 4 3 3 3 4 4" xfId="14580" xr:uid="{00000000-0005-0000-0000-00001A390000}"/>
    <cellStyle name="Normal 4 3 3 3 5" xfId="14581" xr:uid="{00000000-0005-0000-0000-00001B390000}"/>
    <cellStyle name="Normal 4 3 3 3 5 2" xfId="14582" xr:uid="{00000000-0005-0000-0000-00001C390000}"/>
    <cellStyle name="Normal 4 3 3 3 5 3" xfId="14583" xr:uid="{00000000-0005-0000-0000-00001D390000}"/>
    <cellStyle name="Normal 4 3 3 3 6" xfId="14584" xr:uid="{00000000-0005-0000-0000-00001E390000}"/>
    <cellStyle name="Normal 4 3 3 3 7" xfId="14585" xr:uid="{00000000-0005-0000-0000-00001F390000}"/>
    <cellStyle name="Normal 4 3 3 4" xfId="14586" xr:uid="{00000000-0005-0000-0000-000020390000}"/>
    <cellStyle name="Normal 4 3 3 4 2" xfId="14587" xr:uid="{00000000-0005-0000-0000-000021390000}"/>
    <cellStyle name="Normal 4 3 3 4 2 2" xfId="14588" xr:uid="{00000000-0005-0000-0000-000022390000}"/>
    <cellStyle name="Normal 4 3 3 4 2 2 2" xfId="14589" xr:uid="{00000000-0005-0000-0000-000023390000}"/>
    <cellStyle name="Normal 4 3 3 4 2 2 2 2" xfId="14590" xr:uid="{00000000-0005-0000-0000-000024390000}"/>
    <cellStyle name="Normal 4 3 3 4 2 2 2 3" xfId="14591" xr:uid="{00000000-0005-0000-0000-000025390000}"/>
    <cellStyle name="Normal 4 3 3 4 2 2 3" xfId="14592" xr:uid="{00000000-0005-0000-0000-000026390000}"/>
    <cellStyle name="Normal 4 3 3 4 2 2 4" xfId="14593" xr:uid="{00000000-0005-0000-0000-000027390000}"/>
    <cellStyle name="Normal 4 3 3 4 2 3" xfId="14594" xr:uid="{00000000-0005-0000-0000-000028390000}"/>
    <cellStyle name="Normal 4 3 3 4 2 3 2" xfId="14595" xr:uid="{00000000-0005-0000-0000-000029390000}"/>
    <cellStyle name="Normal 4 3 3 4 2 3 3" xfId="14596" xr:uid="{00000000-0005-0000-0000-00002A390000}"/>
    <cellStyle name="Normal 4 3 3 4 2 4" xfId="14597" xr:uid="{00000000-0005-0000-0000-00002B390000}"/>
    <cellStyle name="Normal 4 3 3 4 2 5" xfId="14598" xr:uid="{00000000-0005-0000-0000-00002C390000}"/>
    <cellStyle name="Normal 4 3 3 4 3" xfId="14599" xr:uid="{00000000-0005-0000-0000-00002D390000}"/>
    <cellStyle name="Normal 4 3 3 4 3 2" xfId="14600" xr:uid="{00000000-0005-0000-0000-00002E390000}"/>
    <cellStyle name="Normal 4 3 3 4 3 2 2" xfId="14601" xr:uid="{00000000-0005-0000-0000-00002F390000}"/>
    <cellStyle name="Normal 4 3 3 4 3 2 3" xfId="14602" xr:uid="{00000000-0005-0000-0000-000030390000}"/>
    <cellStyle name="Normal 4 3 3 4 3 3" xfId="14603" xr:uid="{00000000-0005-0000-0000-000031390000}"/>
    <cellStyle name="Normal 4 3 3 4 3 4" xfId="14604" xr:uid="{00000000-0005-0000-0000-000032390000}"/>
    <cellStyle name="Normal 4 3 3 4 4" xfId="14605" xr:uid="{00000000-0005-0000-0000-000033390000}"/>
    <cellStyle name="Normal 4 3 3 4 4 2" xfId="14606" xr:uid="{00000000-0005-0000-0000-000034390000}"/>
    <cellStyle name="Normal 4 3 3 4 4 3" xfId="14607" xr:uid="{00000000-0005-0000-0000-000035390000}"/>
    <cellStyle name="Normal 4 3 3 4 5" xfId="14608" xr:uid="{00000000-0005-0000-0000-000036390000}"/>
    <cellStyle name="Normal 4 3 3 4 6" xfId="14609" xr:uid="{00000000-0005-0000-0000-000037390000}"/>
    <cellStyle name="Normal 4 3 3 5" xfId="14610" xr:uid="{00000000-0005-0000-0000-000038390000}"/>
    <cellStyle name="Normal 4 3 3 5 2" xfId="14611" xr:uid="{00000000-0005-0000-0000-000039390000}"/>
    <cellStyle name="Normal 4 3 3 5 2 2" xfId="14612" xr:uid="{00000000-0005-0000-0000-00003A390000}"/>
    <cellStyle name="Normal 4 3 3 5 2 2 2" xfId="14613" xr:uid="{00000000-0005-0000-0000-00003B390000}"/>
    <cellStyle name="Normal 4 3 3 5 2 2 3" xfId="14614" xr:uid="{00000000-0005-0000-0000-00003C390000}"/>
    <cellStyle name="Normal 4 3 3 5 2 3" xfId="14615" xr:uid="{00000000-0005-0000-0000-00003D390000}"/>
    <cellStyle name="Normal 4 3 3 5 2 4" xfId="14616" xr:uid="{00000000-0005-0000-0000-00003E390000}"/>
    <cellStyle name="Normal 4 3 3 5 3" xfId="14617" xr:uid="{00000000-0005-0000-0000-00003F390000}"/>
    <cellStyle name="Normal 4 3 3 5 3 2" xfId="14618" xr:uid="{00000000-0005-0000-0000-000040390000}"/>
    <cellStyle name="Normal 4 3 3 5 3 3" xfId="14619" xr:uid="{00000000-0005-0000-0000-000041390000}"/>
    <cellStyle name="Normal 4 3 3 5 4" xfId="14620" xr:uid="{00000000-0005-0000-0000-000042390000}"/>
    <cellStyle name="Normal 4 3 3 5 5" xfId="14621" xr:uid="{00000000-0005-0000-0000-000043390000}"/>
    <cellStyle name="Normal 4 3 3 6" xfId="14622" xr:uid="{00000000-0005-0000-0000-000044390000}"/>
    <cellStyle name="Normal 4 3 3 6 2" xfId="14623" xr:uid="{00000000-0005-0000-0000-000045390000}"/>
    <cellStyle name="Normal 4 3 3 6 2 2" xfId="14624" xr:uid="{00000000-0005-0000-0000-000046390000}"/>
    <cellStyle name="Normal 4 3 3 6 2 3" xfId="14625" xr:uid="{00000000-0005-0000-0000-000047390000}"/>
    <cellStyle name="Normal 4 3 3 6 3" xfId="14626" xr:uid="{00000000-0005-0000-0000-000048390000}"/>
    <cellStyle name="Normal 4 3 3 6 4" xfId="14627" xr:uid="{00000000-0005-0000-0000-000049390000}"/>
    <cellStyle name="Normal 4 3 3 7" xfId="14628" xr:uid="{00000000-0005-0000-0000-00004A390000}"/>
    <cellStyle name="Normal 4 3 3 7 2" xfId="14629" xr:uid="{00000000-0005-0000-0000-00004B390000}"/>
    <cellStyle name="Normal 4 3 3 7 3" xfId="14630" xr:uid="{00000000-0005-0000-0000-00004C390000}"/>
    <cellStyle name="Normal 4 3 3 8" xfId="14631" xr:uid="{00000000-0005-0000-0000-00004D390000}"/>
    <cellStyle name="Normal 4 3 3 9" xfId="14632" xr:uid="{00000000-0005-0000-0000-00004E390000}"/>
    <cellStyle name="Normal 4 3 4" xfId="14633" xr:uid="{00000000-0005-0000-0000-00004F390000}"/>
    <cellStyle name="Normal 4 3 4 2" xfId="14634" xr:uid="{00000000-0005-0000-0000-000050390000}"/>
    <cellStyle name="Normal 4 3 4 2 2" xfId="14635" xr:uid="{00000000-0005-0000-0000-000051390000}"/>
    <cellStyle name="Normal 4 3 4 2 2 2" xfId="14636" xr:uid="{00000000-0005-0000-0000-000052390000}"/>
    <cellStyle name="Normal 4 3 4 2 2 2 2" xfId="14637" xr:uid="{00000000-0005-0000-0000-000053390000}"/>
    <cellStyle name="Normal 4 3 4 2 2 2 2 2" xfId="14638" xr:uid="{00000000-0005-0000-0000-000054390000}"/>
    <cellStyle name="Normal 4 3 4 2 2 2 2 3" xfId="14639" xr:uid="{00000000-0005-0000-0000-000055390000}"/>
    <cellStyle name="Normal 4 3 4 2 2 2 3" xfId="14640" xr:uid="{00000000-0005-0000-0000-000056390000}"/>
    <cellStyle name="Normal 4 3 4 2 2 2 4" xfId="14641" xr:uid="{00000000-0005-0000-0000-000057390000}"/>
    <cellStyle name="Normal 4 3 4 2 2 3" xfId="14642" xr:uid="{00000000-0005-0000-0000-000058390000}"/>
    <cellStyle name="Normal 4 3 4 2 2 3 2" xfId="14643" xr:uid="{00000000-0005-0000-0000-000059390000}"/>
    <cellStyle name="Normal 4 3 4 2 2 3 3" xfId="14644" xr:uid="{00000000-0005-0000-0000-00005A390000}"/>
    <cellStyle name="Normal 4 3 4 2 2 4" xfId="14645" xr:uid="{00000000-0005-0000-0000-00005B390000}"/>
    <cellStyle name="Normal 4 3 4 2 2 5" xfId="14646" xr:uid="{00000000-0005-0000-0000-00005C390000}"/>
    <cellStyle name="Normal 4 3 4 2 3" xfId="14647" xr:uid="{00000000-0005-0000-0000-00005D390000}"/>
    <cellStyle name="Normal 4 3 4 2 3 2" xfId="14648" xr:uid="{00000000-0005-0000-0000-00005E390000}"/>
    <cellStyle name="Normal 4 3 4 2 3 2 2" xfId="14649" xr:uid="{00000000-0005-0000-0000-00005F390000}"/>
    <cellStyle name="Normal 4 3 4 2 3 2 3" xfId="14650" xr:uid="{00000000-0005-0000-0000-000060390000}"/>
    <cellStyle name="Normal 4 3 4 2 3 3" xfId="14651" xr:uid="{00000000-0005-0000-0000-000061390000}"/>
    <cellStyle name="Normal 4 3 4 2 3 4" xfId="14652" xr:uid="{00000000-0005-0000-0000-000062390000}"/>
    <cellStyle name="Normal 4 3 4 2 4" xfId="14653" xr:uid="{00000000-0005-0000-0000-000063390000}"/>
    <cellStyle name="Normal 4 3 4 2 4 2" xfId="14654" xr:uid="{00000000-0005-0000-0000-000064390000}"/>
    <cellStyle name="Normal 4 3 4 2 4 3" xfId="14655" xr:uid="{00000000-0005-0000-0000-000065390000}"/>
    <cellStyle name="Normal 4 3 4 2 5" xfId="14656" xr:uid="{00000000-0005-0000-0000-000066390000}"/>
    <cellStyle name="Normal 4 3 4 2 6" xfId="14657" xr:uid="{00000000-0005-0000-0000-000067390000}"/>
    <cellStyle name="Normal 4 3 4 3" xfId="14658" xr:uid="{00000000-0005-0000-0000-000068390000}"/>
    <cellStyle name="Normal 4 3 4 3 2" xfId="14659" xr:uid="{00000000-0005-0000-0000-000069390000}"/>
    <cellStyle name="Normal 4 3 4 3 2 2" xfId="14660" xr:uid="{00000000-0005-0000-0000-00006A390000}"/>
    <cellStyle name="Normal 4 3 4 3 2 2 2" xfId="14661" xr:uid="{00000000-0005-0000-0000-00006B390000}"/>
    <cellStyle name="Normal 4 3 4 3 2 2 3" xfId="14662" xr:uid="{00000000-0005-0000-0000-00006C390000}"/>
    <cellStyle name="Normal 4 3 4 3 2 3" xfId="14663" xr:uid="{00000000-0005-0000-0000-00006D390000}"/>
    <cellStyle name="Normal 4 3 4 3 2 4" xfId="14664" xr:uid="{00000000-0005-0000-0000-00006E390000}"/>
    <cellStyle name="Normal 4 3 4 3 3" xfId="14665" xr:uid="{00000000-0005-0000-0000-00006F390000}"/>
    <cellStyle name="Normal 4 3 4 3 3 2" xfId="14666" xr:uid="{00000000-0005-0000-0000-000070390000}"/>
    <cellStyle name="Normal 4 3 4 3 3 3" xfId="14667" xr:uid="{00000000-0005-0000-0000-000071390000}"/>
    <cellStyle name="Normal 4 3 4 3 4" xfId="14668" xr:uid="{00000000-0005-0000-0000-000072390000}"/>
    <cellStyle name="Normal 4 3 4 3 5" xfId="14669" xr:uid="{00000000-0005-0000-0000-000073390000}"/>
    <cellStyle name="Normal 4 3 4 4" xfId="14670" xr:uid="{00000000-0005-0000-0000-000074390000}"/>
    <cellStyle name="Normal 4 3 4 4 2" xfId="14671" xr:uid="{00000000-0005-0000-0000-000075390000}"/>
    <cellStyle name="Normal 4 3 4 4 2 2" xfId="14672" xr:uid="{00000000-0005-0000-0000-000076390000}"/>
    <cellStyle name="Normal 4 3 4 4 2 3" xfId="14673" xr:uid="{00000000-0005-0000-0000-000077390000}"/>
    <cellStyle name="Normal 4 3 4 4 3" xfId="14674" xr:uid="{00000000-0005-0000-0000-000078390000}"/>
    <cellStyle name="Normal 4 3 4 4 4" xfId="14675" xr:uid="{00000000-0005-0000-0000-000079390000}"/>
    <cellStyle name="Normal 4 3 4 5" xfId="14676" xr:uid="{00000000-0005-0000-0000-00007A390000}"/>
    <cellStyle name="Normal 4 3 4 5 2" xfId="14677" xr:uid="{00000000-0005-0000-0000-00007B390000}"/>
    <cellStyle name="Normal 4 3 4 5 3" xfId="14678" xr:uid="{00000000-0005-0000-0000-00007C390000}"/>
    <cellStyle name="Normal 4 3 4 6" xfId="14679" xr:uid="{00000000-0005-0000-0000-00007D390000}"/>
    <cellStyle name="Normal 4 3 4 7" xfId="14680" xr:uid="{00000000-0005-0000-0000-00007E390000}"/>
    <cellStyle name="Normal 4 3 5" xfId="14681" xr:uid="{00000000-0005-0000-0000-00007F390000}"/>
    <cellStyle name="Normal 4 3 5 2" xfId="14682" xr:uid="{00000000-0005-0000-0000-000080390000}"/>
    <cellStyle name="Normal 4 3 5 2 2" xfId="14683" xr:uid="{00000000-0005-0000-0000-000081390000}"/>
    <cellStyle name="Normal 4 3 5 2 2 2" xfId="14684" xr:uid="{00000000-0005-0000-0000-000082390000}"/>
    <cellStyle name="Normal 4 3 5 2 2 2 2" xfId="14685" xr:uid="{00000000-0005-0000-0000-000083390000}"/>
    <cellStyle name="Normal 4 3 5 2 2 2 2 2" xfId="14686" xr:uid="{00000000-0005-0000-0000-000084390000}"/>
    <cellStyle name="Normal 4 3 5 2 2 2 2 3" xfId="14687" xr:uid="{00000000-0005-0000-0000-000085390000}"/>
    <cellStyle name="Normal 4 3 5 2 2 2 3" xfId="14688" xr:uid="{00000000-0005-0000-0000-000086390000}"/>
    <cellStyle name="Normal 4 3 5 2 2 2 4" xfId="14689" xr:uid="{00000000-0005-0000-0000-000087390000}"/>
    <cellStyle name="Normal 4 3 5 2 2 3" xfId="14690" xr:uid="{00000000-0005-0000-0000-000088390000}"/>
    <cellStyle name="Normal 4 3 5 2 2 3 2" xfId="14691" xr:uid="{00000000-0005-0000-0000-000089390000}"/>
    <cellStyle name="Normal 4 3 5 2 2 3 3" xfId="14692" xr:uid="{00000000-0005-0000-0000-00008A390000}"/>
    <cellStyle name="Normal 4 3 5 2 2 4" xfId="14693" xr:uid="{00000000-0005-0000-0000-00008B390000}"/>
    <cellStyle name="Normal 4 3 5 2 2 5" xfId="14694" xr:uid="{00000000-0005-0000-0000-00008C390000}"/>
    <cellStyle name="Normal 4 3 5 2 3" xfId="14695" xr:uid="{00000000-0005-0000-0000-00008D390000}"/>
    <cellStyle name="Normal 4 3 5 2 3 2" xfId="14696" xr:uid="{00000000-0005-0000-0000-00008E390000}"/>
    <cellStyle name="Normal 4 3 5 2 3 2 2" xfId="14697" xr:uid="{00000000-0005-0000-0000-00008F390000}"/>
    <cellStyle name="Normal 4 3 5 2 3 2 3" xfId="14698" xr:uid="{00000000-0005-0000-0000-000090390000}"/>
    <cellStyle name="Normal 4 3 5 2 3 3" xfId="14699" xr:uid="{00000000-0005-0000-0000-000091390000}"/>
    <cellStyle name="Normal 4 3 5 2 3 4" xfId="14700" xr:uid="{00000000-0005-0000-0000-000092390000}"/>
    <cellStyle name="Normal 4 3 5 2 4" xfId="14701" xr:uid="{00000000-0005-0000-0000-000093390000}"/>
    <cellStyle name="Normal 4 3 5 2 4 2" xfId="14702" xr:uid="{00000000-0005-0000-0000-000094390000}"/>
    <cellStyle name="Normal 4 3 5 2 4 3" xfId="14703" xr:uid="{00000000-0005-0000-0000-000095390000}"/>
    <cellStyle name="Normal 4 3 5 2 5" xfId="14704" xr:uid="{00000000-0005-0000-0000-000096390000}"/>
    <cellStyle name="Normal 4 3 5 2 6" xfId="14705" xr:uid="{00000000-0005-0000-0000-000097390000}"/>
    <cellStyle name="Normal 4 3 5 3" xfId="14706" xr:uid="{00000000-0005-0000-0000-000098390000}"/>
    <cellStyle name="Normal 4 3 5 3 2" xfId="14707" xr:uid="{00000000-0005-0000-0000-000099390000}"/>
    <cellStyle name="Normal 4 3 5 3 2 2" xfId="14708" xr:uid="{00000000-0005-0000-0000-00009A390000}"/>
    <cellStyle name="Normal 4 3 5 3 2 2 2" xfId="14709" xr:uid="{00000000-0005-0000-0000-00009B390000}"/>
    <cellStyle name="Normal 4 3 5 3 2 2 3" xfId="14710" xr:uid="{00000000-0005-0000-0000-00009C390000}"/>
    <cellStyle name="Normal 4 3 5 3 2 3" xfId="14711" xr:uid="{00000000-0005-0000-0000-00009D390000}"/>
    <cellStyle name="Normal 4 3 5 3 2 4" xfId="14712" xr:uid="{00000000-0005-0000-0000-00009E390000}"/>
    <cellStyle name="Normal 4 3 5 3 3" xfId="14713" xr:uid="{00000000-0005-0000-0000-00009F390000}"/>
    <cellStyle name="Normal 4 3 5 3 3 2" xfId="14714" xr:uid="{00000000-0005-0000-0000-0000A0390000}"/>
    <cellStyle name="Normal 4 3 5 3 3 3" xfId="14715" xr:uid="{00000000-0005-0000-0000-0000A1390000}"/>
    <cellStyle name="Normal 4 3 5 3 4" xfId="14716" xr:uid="{00000000-0005-0000-0000-0000A2390000}"/>
    <cellStyle name="Normal 4 3 5 3 5" xfId="14717" xr:uid="{00000000-0005-0000-0000-0000A3390000}"/>
    <cellStyle name="Normal 4 3 5 4" xfId="14718" xr:uid="{00000000-0005-0000-0000-0000A4390000}"/>
    <cellStyle name="Normal 4 3 5 4 2" xfId="14719" xr:uid="{00000000-0005-0000-0000-0000A5390000}"/>
    <cellStyle name="Normal 4 3 5 4 2 2" xfId="14720" xr:uid="{00000000-0005-0000-0000-0000A6390000}"/>
    <cellStyle name="Normal 4 3 5 4 2 3" xfId="14721" xr:uid="{00000000-0005-0000-0000-0000A7390000}"/>
    <cellStyle name="Normal 4 3 5 4 3" xfId="14722" xr:uid="{00000000-0005-0000-0000-0000A8390000}"/>
    <cellStyle name="Normal 4 3 5 4 4" xfId="14723" xr:uid="{00000000-0005-0000-0000-0000A9390000}"/>
    <cellStyle name="Normal 4 3 5 5" xfId="14724" xr:uid="{00000000-0005-0000-0000-0000AA390000}"/>
    <cellStyle name="Normal 4 3 5 5 2" xfId="14725" xr:uid="{00000000-0005-0000-0000-0000AB390000}"/>
    <cellStyle name="Normal 4 3 5 5 3" xfId="14726" xr:uid="{00000000-0005-0000-0000-0000AC390000}"/>
    <cellStyle name="Normal 4 3 5 6" xfId="14727" xr:uid="{00000000-0005-0000-0000-0000AD390000}"/>
    <cellStyle name="Normal 4 3 5 7" xfId="14728" xr:uid="{00000000-0005-0000-0000-0000AE390000}"/>
    <cellStyle name="Normal 4 3 6" xfId="14729" xr:uid="{00000000-0005-0000-0000-0000AF390000}"/>
    <cellStyle name="Normal 4 3 6 2" xfId="14730" xr:uid="{00000000-0005-0000-0000-0000B0390000}"/>
    <cellStyle name="Normal 4 3 6 2 2" xfId="14731" xr:uid="{00000000-0005-0000-0000-0000B1390000}"/>
    <cellStyle name="Normal 4 3 6 2 2 2" xfId="14732" xr:uid="{00000000-0005-0000-0000-0000B2390000}"/>
    <cellStyle name="Normal 4 3 6 2 2 2 2" xfId="14733" xr:uid="{00000000-0005-0000-0000-0000B3390000}"/>
    <cellStyle name="Normal 4 3 6 2 2 2 3" xfId="14734" xr:uid="{00000000-0005-0000-0000-0000B4390000}"/>
    <cellStyle name="Normal 4 3 6 2 2 3" xfId="14735" xr:uid="{00000000-0005-0000-0000-0000B5390000}"/>
    <cellStyle name="Normal 4 3 6 2 2 4" xfId="14736" xr:uid="{00000000-0005-0000-0000-0000B6390000}"/>
    <cellStyle name="Normal 4 3 6 2 3" xfId="14737" xr:uid="{00000000-0005-0000-0000-0000B7390000}"/>
    <cellStyle name="Normal 4 3 6 2 3 2" xfId="14738" xr:uid="{00000000-0005-0000-0000-0000B8390000}"/>
    <cellStyle name="Normal 4 3 6 2 3 3" xfId="14739" xr:uid="{00000000-0005-0000-0000-0000B9390000}"/>
    <cellStyle name="Normal 4 3 6 2 4" xfId="14740" xr:uid="{00000000-0005-0000-0000-0000BA390000}"/>
    <cellStyle name="Normal 4 3 6 2 5" xfId="14741" xr:uid="{00000000-0005-0000-0000-0000BB390000}"/>
    <cellStyle name="Normal 4 3 6 3" xfId="14742" xr:uid="{00000000-0005-0000-0000-0000BC390000}"/>
    <cellStyle name="Normal 4 3 6 3 2" xfId="14743" xr:uid="{00000000-0005-0000-0000-0000BD390000}"/>
    <cellStyle name="Normal 4 3 6 3 2 2" xfId="14744" xr:uid="{00000000-0005-0000-0000-0000BE390000}"/>
    <cellStyle name="Normal 4 3 6 3 2 3" xfId="14745" xr:uid="{00000000-0005-0000-0000-0000BF390000}"/>
    <cellStyle name="Normal 4 3 6 3 3" xfId="14746" xr:uid="{00000000-0005-0000-0000-0000C0390000}"/>
    <cellStyle name="Normal 4 3 6 3 4" xfId="14747" xr:uid="{00000000-0005-0000-0000-0000C1390000}"/>
    <cellStyle name="Normal 4 3 6 4" xfId="14748" xr:uid="{00000000-0005-0000-0000-0000C2390000}"/>
    <cellStyle name="Normal 4 3 6 4 2" xfId="14749" xr:uid="{00000000-0005-0000-0000-0000C3390000}"/>
    <cellStyle name="Normal 4 3 6 4 3" xfId="14750" xr:uid="{00000000-0005-0000-0000-0000C4390000}"/>
    <cellStyle name="Normal 4 3 6 5" xfId="14751" xr:uid="{00000000-0005-0000-0000-0000C5390000}"/>
    <cellStyle name="Normal 4 3 6 6" xfId="14752" xr:uid="{00000000-0005-0000-0000-0000C6390000}"/>
    <cellStyle name="Normal 4 3 7" xfId="14753" xr:uid="{00000000-0005-0000-0000-0000C7390000}"/>
    <cellStyle name="Normal 4 3 7 2" xfId="14754" xr:uid="{00000000-0005-0000-0000-0000C8390000}"/>
    <cellStyle name="Normal 4 3 7 2 2" xfId="14755" xr:uid="{00000000-0005-0000-0000-0000C9390000}"/>
    <cellStyle name="Normal 4 3 7 2 2 2" xfId="14756" xr:uid="{00000000-0005-0000-0000-0000CA390000}"/>
    <cellStyle name="Normal 4 3 7 2 2 3" xfId="14757" xr:uid="{00000000-0005-0000-0000-0000CB390000}"/>
    <cellStyle name="Normal 4 3 7 2 3" xfId="14758" xr:uid="{00000000-0005-0000-0000-0000CC390000}"/>
    <cellStyle name="Normal 4 3 7 2 4" xfId="14759" xr:uid="{00000000-0005-0000-0000-0000CD390000}"/>
    <cellStyle name="Normal 4 3 7 3" xfId="14760" xr:uid="{00000000-0005-0000-0000-0000CE390000}"/>
    <cellStyle name="Normal 4 3 7 3 2" xfId="14761" xr:uid="{00000000-0005-0000-0000-0000CF390000}"/>
    <cellStyle name="Normal 4 3 7 3 3" xfId="14762" xr:uid="{00000000-0005-0000-0000-0000D0390000}"/>
    <cellStyle name="Normal 4 3 7 4" xfId="14763" xr:uid="{00000000-0005-0000-0000-0000D1390000}"/>
    <cellStyle name="Normal 4 3 7 5" xfId="14764" xr:uid="{00000000-0005-0000-0000-0000D2390000}"/>
    <cellStyle name="Normal 4 3 8" xfId="14765" xr:uid="{00000000-0005-0000-0000-0000D3390000}"/>
    <cellStyle name="Normal 4 3 8 2" xfId="14766" xr:uid="{00000000-0005-0000-0000-0000D4390000}"/>
    <cellStyle name="Normal 4 3 8 2 2" xfId="14767" xr:uid="{00000000-0005-0000-0000-0000D5390000}"/>
    <cellStyle name="Normal 4 3 8 2 3" xfId="14768" xr:uid="{00000000-0005-0000-0000-0000D6390000}"/>
    <cellStyle name="Normal 4 3 8 3" xfId="14769" xr:uid="{00000000-0005-0000-0000-0000D7390000}"/>
    <cellStyle name="Normal 4 3 8 4" xfId="14770" xr:uid="{00000000-0005-0000-0000-0000D8390000}"/>
    <cellStyle name="Normal 4 3 9" xfId="14771" xr:uid="{00000000-0005-0000-0000-0000D9390000}"/>
    <cellStyle name="Normal 4 3 9 2" xfId="14772" xr:uid="{00000000-0005-0000-0000-0000DA390000}"/>
    <cellStyle name="Normal 4 3 9 3" xfId="14773" xr:uid="{00000000-0005-0000-0000-0000DB390000}"/>
    <cellStyle name="Normal 4 30" xfId="14774" xr:uid="{00000000-0005-0000-0000-0000DC390000}"/>
    <cellStyle name="Normal 4 31" xfId="14775" xr:uid="{00000000-0005-0000-0000-0000DD390000}"/>
    <cellStyle name="Normal 4 32" xfId="14776" xr:uid="{00000000-0005-0000-0000-0000DE390000}"/>
    <cellStyle name="Normal 4 33" xfId="14777" xr:uid="{00000000-0005-0000-0000-0000DF390000}"/>
    <cellStyle name="Normal 4 34" xfId="14778" xr:uid="{00000000-0005-0000-0000-0000E0390000}"/>
    <cellStyle name="Normal 4 35" xfId="14779" xr:uid="{00000000-0005-0000-0000-0000E1390000}"/>
    <cellStyle name="Normal 4 36" xfId="14780" xr:uid="{00000000-0005-0000-0000-0000E2390000}"/>
    <cellStyle name="Normal 4 37" xfId="14781" xr:uid="{00000000-0005-0000-0000-0000E3390000}"/>
    <cellStyle name="Normal 4 4" xfId="14782" xr:uid="{00000000-0005-0000-0000-0000E4390000}"/>
    <cellStyle name="Normal 4 4 2" xfId="14783" xr:uid="{00000000-0005-0000-0000-0000E5390000}"/>
    <cellStyle name="Normal 4 4 2 2" xfId="14784" xr:uid="{00000000-0005-0000-0000-0000E6390000}"/>
    <cellStyle name="Normal 4 4 2 2 2" xfId="14785" xr:uid="{00000000-0005-0000-0000-0000E7390000}"/>
    <cellStyle name="Normal 4 4 2 2 2 2" xfId="14786" xr:uid="{00000000-0005-0000-0000-0000E8390000}"/>
    <cellStyle name="Normal 4 4 2 2 2 2 2" xfId="14787" xr:uid="{00000000-0005-0000-0000-0000E9390000}"/>
    <cellStyle name="Normal 4 4 2 2 2 2 3" xfId="14788" xr:uid="{00000000-0005-0000-0000-0000EA390000}"/>
    <cellStyle name="Normal 4 4 2 2 2 3" xfId="14789" xr:uid="{00000000-0005-0000-0000-0000EB390000}"/>
    <cellStyle name="Normal 4 4 2 2 2 4" xfId="14790" xr:uid="{00000000-0005-0000-0000-0000EC390000}"/>
    <cellStyle name="Normal 4 4 2 2 3" xfId="14791" xr:uid="{00000000-0005-0000-0000-0000ED390000}"/>
    <cellStyle name="Normal 4 4 2 2 3 2" xfId="14792" xr:uid="{00000000-0005-0000-0000-0000EE390000}"/>
    <cellStyle name="Normal 4 4 2 2 3 3" xfId="14793" xr:uid="{00000000-0005-0000-0000-0000EF390000}"/>
    <cellStyle name="Normal 4 4 2 2 4" xfId="14794" xr:uid="{00000000-0005-0000-0000-0000F0390000}"/>
    <cellStyle name="Normal 4 4 2 2 5" xfId="14795" xr:uid="{00000000-0005-0000-0000-0000F1390000}"/>
    <cellStyle name="Normal 4 4 2 3" xfId="14796" xr:uid="{00000000-0005-0000-0000-0000F2390000}"/>
    <cellStyle name="Normal 4 4 2 3 2" xfId="14797" xr:uid="{00000000-0005-0000-0000-0000F3390000}"/>
    <cellStyle name="Normal 4 4 2 3 2 2" xfId="14798" xr:uid="{00000000-0005-0000-0000-0000F4390000}"/>
    <cellStyle name="Normal 4 4 2 3 2 3" xfId="14799" xr:uid="{00000000-0005-0000-0000-0000F5390000}"/>
    <cellStyle name="Normal 4 4 2 3 3" xfId="14800" xr:uid="{00000000-0005-0000-0000-0000F6390000}"/>
    <cellStyle name="Normal 4 4 2 3 4" xfId="14801" xr:uid="{00000000-0005-0000-0000-0000F7390000}"/>
    <cellStyle name="Normal 4 4 2 4" xfId="14802" xr:uid="{00000000-0005-0000-0000-0000F8390000}"/>
    <cellStyle name="Normal 4 4 2 4 2" xfId="14803" xr:uid="{00000000-0005-0000-0000-0000F9390000}"/>
    <cellStyle name="Normal 4 4 2 4 3" xfId="14804" xr:uid="{00000000-0005-0000-0000-0000FA390000}"/>
    <cellStyle name="Normal 4 4 2 5" xfId="14805" xr:uid="{00000000-0005-0000-0000-0000FB390000}"/>
    <cellStyle name="Normal 4 4 2 6" xfId="14806" xr:uid="{00000000-0005-0000-0000-0000FC390000}"/>
    <cellStyle name="Normal 4 4 3" xfId="14807" xr:uid="{00000000-0005-0000-0000-0000FD390000}"/>
    <cellStyle name="Normal 4 4 4" xfId="14808" xr:uid="{00000000-0005-0000-0000-0000FE390000}"/>
    <cellStyle name="Normal 4 4 4 2" xfId="14809" xr:uid="{00000000-0005-0000-0000-0000FF390000}"/>
    <cellStyle name="Normal 4 4 4 2 2" xfId="14810" xr:uid="{00000000-0005-0000-0000-0000003A0000}"/>
    <cellStyle name="Normal 4 4 4 2 2 2" xfId="14811" xr:uid="{00000000-0005-0000-0000-0000013A0000}"/>
    <cellStyle name="Normal 4 4 4 2 2 3" xfId="14812" xr:uid="{00000000-0005-0000-0000-0000023A0000}"/>
    <cellStyle name="Normal 4 4 4 2 3" xfId="14813" xr:uid="{00000000-0005-0000-0000-0000033A0000}"/>
    <cellStyle name="Normal 4 4 4 2 4" xfId="14814" xr:uid="{00000000-0005-0000-0000-0000043A0000}"/>
    <cellStyle name="Normal 4 4 4 3" xfId="14815" xr:uid="{00000000-0005-0000-0000-0000053A0000}"/>
    <cellStyle name="Normal 4 4 4 3 2" xfId="14816" xr:uid="{00000000-0005-0000-0000-0000063A0000}"/>
    <cellStyle name="Normal 4 4 4 3 3" xfId="14817" xr:uid="{00000000-0005-0000-0000-0000073A0000}"/>
    <cellStyle name="Normal 4 4 4 4" xfId="14818" xr:uid="{00000000-0005-0000-0000-0000083A0000}"/>
    <cellStyle name="Normal 4 4 4 5" xfId="14819" xr:uid="{00000000-0005-0000-0000-0000093A0000}"/>
    <cellStyle name="Normal 4 4 5" xfId="14820" xr:uid="{00000000-0005-0000-0000-00000A3A0000}"/>
    <cellStyle name="Normal 4 4 5 2" xfId="14821" xr:uid="{00000000-0005-0000-0000-00000B3A0000}"/>
    <cellStyle name="Normal 4 4 5 2 2" xfId="14822" xr:uid="{00000000-0005-0000-0000-00000C3A0000}"/>
    <cellStyle name="Normal 4 4 5 2 3" xfId="14823" xr:uid="{00000000-0005-0000-0000-00000D3A0000}"/>
    <cellStyle name="Normal 4 4 5 3" xfId="14824" xr:uid="{00000000-0005-0000-0000-00000E3A0000}"/>
    <cellStyle name="Normal 4 4 5 4" xfId="14825" xr:uid="{00000000-0005-0000-0000-00000F3A0000}"/>
    <cellStyle name="Normal 4 4 6" xfId="14826" xr:uid="{00000000-0005-0000-0000-0000103A0000}"/>
    <cellStyle name="Normal 4 4 6 2" xfId="14827" xr:uid="{00000000-0005-0000-0000-0000113A0000}"/>
    <cellStyle name="Normal 4 4 6 3" xfId="14828" xr:uid="{00000000-0005-0000-0000-0000123A0000}"/>
    <cellStyle name="Normal 4 4 7" xfId="14829" xr:uid="{00000000-0005-0000-0000-0000133A0000}"/>
    <cellStyle name="Normal 4 4 8" xfId="14830" xr:uid="{00000000-0005-0000-0000-0000143A0000}"/>
    <cellStyle name="Normal 4 5" xfId="14831" xr:uid="{00000000-0005-0000-0000-0000153A0000}"/>
    <cellStyle name="Normal 4 5 2" xfId="14832" xr:uid="{00000000-0005-0000-0000-0000163A0000}"/>
    <cellStyle name="Normal 4 5 2 2" xfId="14833" xr:uid="{00000000-0005-0000-0000-0000173A0000}"/>
    <cellStyle name="Normal 4 5 2 2 2" xfId="14834" xr:uid="{00000000-0005-0000-0000-0000183A0000}"/>
    <cellStyle name="Normal 4 5 2 2 2 2" xfId="14835" xr:uid="{00000000-0005-0000-0000-0000193A0000}"/>
    <cellStyle name="Normal 4 5 2 2 2 3" xfId="14836" xr:uid="{00000000-0005-0000-0000-00001A3A0000}"/>
    <cellStyle name="Normal 4 5 2 2 3" xfId="14837" xr:uid="{00000000-0005-0000-0000-00001B3A0000}"/>
    <cellStyle name="Normal 4 5 2 2 4" xfId="14838" xr:uid="{00000000-0005-0000-0000-00001C3A0000}"/>
    <cellStyle name="Normal 4 5 2 3" xfId="14839" xr:uid="{00000000-0005-0000-0000-00001D3A0000}"/>
    <cellStyle name="Normal 4 5 2 3 2" xfId="14840" xr:uid="{00000000-0005-0000-0000-00001E3A0000}"/>
    <cellStyle name="Normal 4 5 2 3 3" xfId="14841" xr:uid="{00000000-0005-0000-0000-00001F3A0000}"/>
    <cellStyle name="Normal 4 5 2 4" xfId="14842" xr:uid="{00000000-0005-0000-0000-0000203A0000}"/>
    <cellStyle name="Normal 4 5 2 5" xfId="14843" xr:uid="{00000000-0005-0000-0000-0000213A0000}"/>
    <cellStyle name="Normal 4 5 3" xfId="14844" xr:uid="{00000000-0005-0000-0000-0000223A0000}"/>
    <cellStyle name="Normal 4 5 3 2" xfId="14845" xr:uid="{00000000-0005-0000-0000-0000233A0000}"/>
    <cellStyle name="Normal 4 5 3 2 2" xfId="14846" xr:uid="{00000000-0005-0000-0000-0000243A0000}"/>
    <cellStyle name="Normal 4 5 3 2 3" xfId="14847" xr:uid="{00000000-0005-0000-0000-0000253A0000}"/>
    <cellStyle name="Normal 4 5 3 3" xfId="14848" xr:uid="{00000000-0005-0000-0000-0000263A0000}"/>
    <cellStyle name="Normal 4 5 3 4" xfId="14849" xr:uid="{00000000-0005-0000-0000-0000273A0000}"/>
    <cellStyle name="Normal 4 5 4" xfId="14850" xr:uid="{00000000-0005-0000-0000-0000283A0000}"/>
    <cellStyle name="Normal 4 5 4 2" xfId="14851" xr:uid="{00000000-0005-0000-0000-0000293A0000}"/>
    <cellStyle name="Normal 4 5 4 3" xfId="14852" xr:uid="{00000000-0005-0000-0000-00002A3A0000}"/>
    <cellStyle name="Normal 4 5 5" xfId="14853" xr:uid="{00000000-0005-0000-0000-00002B3A0000}"/>
    <cellStyle name="Normal 4 5 6" xfId="14854" xr:uid="{00000000-0005-0000-0000-00002C3A0000}"/>
    <cellStyle name="Normal 4 6" xfId="14855" xr:uid="{00000000-0005-0000-0000-00002D3A0000}"/>
    <cellStyle name="Normal 4 6 2" xfId="14856" xr:uid="{00000000-0005-0000-0000-00002E3A0000}"/>
    <cellStyle name="Normal 4 6 2 2" xfId="14857" xr:uid="{00000000-0005-0000-0000-00002F3A0000}"/>
    <cellStyle name="Normal 4 6 2 2 2" xfId="14858" xr:uid="{00000000-0005-0000-0000-0000303A0000}"/>
    <cellStyle name="Normal 4 6 2 2 2 2" xfId="14859" xr:uid="{00000000-0005-0000-0000-0000313A0000}"/>
    <cellStyle name="Normal 4 6 2 2 2 3" xfId="14860" xr:uid="{00000000-0005-0000-0000-0000323A0000}"/>
    <cellStyle name="Normal 4 6 2 2 3" xfId="14861" xr:uid="{00000000-0005-0000-0000-0000333A0000}"/>
    <cellStyle name="Normal 4 6 2 2 4" xfId="14862" xr:uid="{00000000-0005-0000-0000-0000343A0000}"/>
    <cellStyle name="Normal 4 6 2 3" xfId="14863" xr:uid="{00000000-0005-0000-0000-0000353A0000}"/>
    <cellStyle name="Normal 4 6 2 3 2" xfId="14864" xr:uid="{00000000-0005-0000-0000-0000363A0000}"/>
    <cellStyle name="Normal 4 6 2 3 3" xfId="14865" xr:uid="{00000000-0005-0000-0000-0000373A0000}"/>
    <cellStyle name="Normal 4 6 2 4" xfId="14866" xr:uid="{00000000-0005-0000-0000-0000383A0000}"/>
    <cellStyle name="Normal 4 6 2 5" xfId="14867" xr:uid="{00000000-0005-0000-0000-0000393A0000}"/>
    <cellStyle name="Normal 4 6 3" xfId="14868" xr:uid="{00000000-0005-0000-0000-00003A3A0000}"/>
    <cellStyle name="Normal 4 6 3 2" xfId="14869" xr:uid="{00000000-0005-0000-0000-00003B3A0000}"/>
    <cellStyle name="Normal 4 6 3 2 2" xfId="14870" xr:uid="{00000000-0005-0000-0000-00003C3A0000}"/>
    <cellStyle name="Normal 4 6 3 2 3" xfId="14871" xr:uid="{00000000-0005-0000-0000-00003D3A0000}"/>
    <cellStyle name="Normal 4 6 3 3" xfId="14872" xr:uid="{00000000-0005-0000-0000-00003E3A0000}"/>
    <cellStyle name="Normal 4 6 3 4" xfId="14873" xr:uid="{00000000-0005-0000-0000-00003F3A0000}"/>
    <cellStyle name="Normal 4 6 4" xfId="14874" xr:uid="{00000000-0005-0000-0000-0000403A0000}"/>
    <cellStyle name="Normal 4 6 4 2" xfId="14875" xr:uid="{00000000-0005-0000-0000-0000413A0000}"/>
    <cellStyle name="Normal 4 6 4 3" xfId="14876" xr:uid="{00000000-0005-0000-0000-0000423A0000}"/>
    <cellStyle name="Normal 4 6 5" xfId="14877" xr:uid="{00000000-0005-0000-0000-0000433A0000}"/>
    <cellStyle name="Normal 4 6 6" xfId="14878" xr:uid="{00000000-0005-0000-0000-0000443A0000}"/>
    <cellStyle name="Normal 4 7" xfId="14879" xr:uid="{00000000-0005-0000-0000-0000453A0000}"/>
    <cellStyle name="Normal 4 7 2" xfId="14880" xr:uid="{00000000-0005-0000-0000-0000463A0000}"/>
    <cellStyle name="Normal 4 7 2 2" xfId="14881" xr:uid="{00000000-0005-0000-0000-0000473A0000}"/>
    <cellStyle name="Normal 4 7 2 2 2" xfId="14882" xr:uid="{00000000-0005-0000-0000-0000483A0000}"/>
    <cellStyle name="Normal 4 7 2 2 2 2" xfId="14883" xr:uid="{00000000-0005-0000-0000-0000493A0000}"/>
    <cellStyle name="Normal 4 7 2 2 2 3" xfId="14884" xr:uid="{00000000-0005-0000-0000-00004A3A0000}"/>
    <cellStyle name="Normal 4 7 2 2 3" xfId="14885" xr:uid="{00000000-0005-0000-0000-00004B3A0000}"/>
    <cellStyle name="Normal 4 7 2 2 4" xfId="14886" xr:uid="{00000000-0005-0000-0000-00004C3A0000}"/>
    <cellStyle name="Normal 4 7 2 3" xfId="14887" xr:uid="{00000000-0005-0000-0000-00004D3A0000}"/>
    <cellStyle name="Normal 4 7 2 3 2" xfId="14888" xr:uid="{00000000-0005-0000-0000-00004E3A0000}"/>
    <cellStyle name="Normal 4 7 2 3 3" xfId="14889" xr:uid="{00000000-0005-0000-0000-00004F3A0000}"/>
    <cellStyle name="Normal 4 7 2 4" xfId="14890" xr:uid="{00000000-0005-0000-0000-0000503A0000}"/>
    <cellStyle name="Normal 4 7 2 5" xfId="14891" xr:uid="{00000000-0005-0000-0000-0000513A0000}"/>
    <cellStyle name="Normal 4 7 3" xfId="14892" xr:uid="{00000000-0005-0000-0000-0000523A0000}"/>
    <cellStyle name="Normal 4 7 3 2" xfId="14893" xr:uid="{00000000-0005-0000-0000-0000533A0000}"/>
    <cellStyle name="Normal 4 7 3 2 2" xfId="14894" xr:uid="{00000000-0005-0000-0000-0000543A0000}"/>
    <cellStyle name="Normal 4 7 3 2 3" xfId="14895" xr:uid="{00000000-0005-0000-0000-0000553A0000}"/>
    <cellStyle name="Normal 4 7 3 3" xfId="14896" xr:uid="{00000000-0005-0000-0000-0000563A0000}"/>
    <cellStyle name="Normal 4 7 3 4" xfId="14897" xr:uid="{00000000-0005-0000-0000-0000573A0000}"/>
    <cellStyle name="Normal 4 7 4" xfId="14898" xr:uid="{00000000-0005-0000-0000-0000583A0000}"/>
    <cellStyle name="Normal 4 7 4 2" xfId="14899" xr:uid="{00000000-0005-0000-0000-0000593A0000}"/>
    <cellStyle name="Normal 4 7 4 3" xfId="14900" xr:uid="{00000000-0005-0000-0000-00005A3A0000}"/>
    <cellStyle name="Normal 4 7 5" xfId="14901" xr:uid="{00000000-0005-0000-0000-00005B3A0000}"/>
    <cellStyle name="Normal 4 7 6" xfId="14902" xr:uid="{00000000-0005-0000-0000-00005C3A0000}"/>
    <cellStyle name="Normal 4 8" xfId="14903" xr:uid="{00000000-0005-0000-0000-00005D3A0000}"/>
    <cellStyle name="Normal 4 8 2" xfId="14904" xr:uid="{00000000-0005-0000-0000-00005E3A0000}"/>
    <cellStyle name="Normal 4 8 2 2" xfId="14905" xr:uid="{00000000-0005-0000-0000-00005F3A0000}"/>
    <cellStyle name="Normal 4 8 2 2 2" xfId="14906" xr:uid="{00000000-0005-0000-0000-0000603A0000}"/>
    <cellStyle name="Normal 4 8 2 2 2 2" xfId="14907" xr:uid="{00000000-0005-0000-0000-0000613A0000}"/>
    <cellStyle name="Normal 4 8 2 2 2 3" xfId="14908" xr:uid="{00000000-0005-0000-0000-0000623A0000}"/>
    <cellStyle name="Normal 4 8 2 2 3" xfId="14909" xr:uid="{00000000-0005-0000-0000-0000633A0000}"/>
    <cellStyle name="Normal 4 8 2 2 4" xfId="14910" xr:uid="{00000000-0005-0000-0000-0000643A0000}"/>
    <cellStyle name="Normal 4 8 2 3" xfId="14911" xr:uid="{00000000-0005-0000-0000-0000653A0000}"/>
    <cellStyle name="Normal 4 8 2 3 2" xfId="14912" xr:uid="{00000000-0005-0000-0000-0000663A0000}"/>
    <cellStyle name="Normal 4 8 2 3 3" xfId="14913" xr:uid="{00000000-0005-0000-0000-0000673A0000}"/>
    <cellStyle name="Normal 4 8 2 4" xfId="14914" xr:uid="{00000000-0005-0000-0000-0000683A0000}"/>
    <cellStyle name="Normal 4 8 2 5" xfId="14915" xr:uid="{00000000-0005-0000-0000-0000693A0000}"/>
    <cellStyle name="Normal 4 8 3" xfId="14916" xr:uid="{00000000-0005-0000-0000-00006A3A0000}"/>
    <cellStyle name="Normal 4 8 3 2" xfId="14917" xr:uid="{00000000-0005-0000-0000-00006B3A0000}"/>
    <cellStyle name="Normal 4 8 3 2 2" xfId="14918" xr:uid="{00000000-0005-0000-0000-00006C3A0000}"/>
    <cellStyle name="Normal 4 8 3 2 3" xfId="14919" xr:uid="{00000000-0005-0000-0000-00006D3A0000}"/>
    <cellStyle name="Normal 4 8 3 3" xfId="14920" xr:uid="{00000000-0005-0000-0000-00006E3A0000}"/>
    <cellStyle name="Normal 4 8 3 4" xfId="14921" xr:uid="{00000000-0005-0000-0000-00006F3A0000}"/>
    <cellStyle name="Normal 4 8 4" xfId="14922" xr:uid="{00000000-0005-0000-0000-0000703A0000}"/>
    <cellStyle name="Normal 4 8 4 2" xfId="14923" xr:uid="{00000000-0005-0000-0000-0000713A0000}"/>
    <cellStyle name="Normal 4 8 4 3" xfId="14924" xr:uid="{00000000-0005-0000-0000-0000723A0000}"/>
    <cellStyle name="Normal 4 8 5" xfId="14925" xr:uid="{00000000-0005-0000-0000-0000733A0000}"/>
    <cellStyle name="Normal 4 8 6" xfId="14926" xr:uid="{00000000-0005-0000-0000-0000743A0000}"/>
    <cellStyle name="Normal 4 9" xfId="14927" xr:uid="{00000000-0005-0000-0000-0000753A0000}"/>
    <cellStyle name="Normal 40" xfId="14928" xr:uid="{00000000-0005-0000-0000-0000763A0000}"/>
    <cellStyle name="Normal 40 2" xfId="14929" xr:uid="{00000000-0005-0000-0000-0000773A0000}"/>
    <cellStyle name="Normal 41" xfId="14930" xr:uid="{00000000-0005-0000-0000-0000783A0000}"/>
    <cellStyle name="Normal 41 2" xfId="14931" xr:uid="{00000000-0005-0000-0000-0000793A0000}"/>
    <cellStyle name="Normal 41 2 2" xfId="14932" xr:uid="{00000000-0005-0000-0000-00007A3A0000}"/>
    <cellStyle name="Normal 41 2 2 2" xfId="14933" xr:uid="{00000000-0005-0000-0000-00007B3A0000}"/>
    <cellStyle name="Normal 41 2 2 2 2" xfId="14934" xr:uid="{00000000-0005-0000-0000-00007C3A0000}"/>
    <cellStyle name="Normal 41 2 2 2 2 2" xfId="14935" xr:uid="{00000000-0005-0000-0000-00007D3A0000}"/>
    <cellStyle name="Normal 41 2 2 2 2 3" xfId="14936" xr:uid="{00000000-0005-0000-0000-00007E3A0000}"/>
    <cellStyle name="Normal 41 2 2 2 3" xfId="14937" xr:uid="{00000000-0005-0000-0000-00007F3A0000}"/>
    <cellStyle name="Normal 41 2 2 2 4" xfId="14938" xr:uid="{00000000-0005-0000-0000-0000803A0000}"/>
    <cellStyle name="Normal 41 2 2 3" xfId="14939" xr:uid="{00000000-0005-0000-0000-0000813A0000}"/>
    <cellStyle name="Normal 41 2 2 3 2" xfId="14940" xr:uid="{00000000-0005-0000-0000-0000823A0000}"/>
    <cellStyle name="Normal 41 2 2 3 3" xfId="14941" xr:uid="{00000000-0005-0000-0000-0000833A0000}"/>
    <cellStyle name="Normal 41 2 2 4" xfId="14942" xr:uid="{00000000-0005-0000-0000-0000843A0000}"/>
    <cellStyle name="Normal 41 2 2 5" xfId="14943" xr:uid="{00000000-0005-0000-0000-0000853A0000}"/>
    <cellStyle name="Normal 41 2 3" xfId="14944" xr:uid="{00000000-0005-0000-0000-0000863A0000}"/>
    <cellStyle name="Normal 41 2 3 2" xfId="14945" xr:uid="{00000000-0005-0000-0000-0000873A0000}"/>
    <cellStyle name="Normal 41 2 3 2 2" xfId="14946" xr:uid="{00000000-0005-0000-0000-0000883A0000}"/>
    <cellStyle name="Normal 41 2 3 2 3" xfId="14947" xr:uid="{00000000-0005-0000-0000-0000893A0000}"/>
    <cellStyle name="Normal 41 2 3 3" xfId="14948" xr:uid="{00000000-0005-0000-0000-00008A3A0000}"/>
    <cellStyle name="Normal 41 2 3 4" xfId="14949" xr:uid="{00000000-0005-0000-0000-00008B3A0000}"/>
    <cellStyle name="Normal 41 2 4" xfId="14950" xr:uid="{00000000-0005-0000-0000-00008C3A0000}"/>
    <cellStyle name="Normal 41 2 4 2" xfId="14951" xr:uid="{00000000-0005-0000-0000-00008D3A0000}"/>
    <cellStyle name="Normal 41 2 4 3" xfId="14952" xr:uid="{00000000-0005-0000-0000-00008E3A0000}"/>
    <cellStyle name="Normal 41 2 5" xfId="14953" xr:uid="{00000000-0005-0000-0000-00008F3A0000}"/>
    <cellStyle name="Normal 41 2 6" xfId="14954" xr:uid="{00000000-0005-0000-0000-0000903A0000}"/>
    <cellStyle name="Normal 41 3" xfId="14955" xr:uid="{00000000-0005-0000-0000-0000913A0000}"/>
    <cellStyle name="Normal 41 3 2" xfId="14956" xr:uid="{00000000-0005-0000-0000-0000923A0000}"/>
    <cellStyle name="Normal 41 4" xfId="14957" xr:uid="{00000000-0005-0000-0000-0000933A0000}"/>
    <cellStyle name="Normal 42" xfId="14958" xr:uid="{00000000-0005-0000-0000-0000943A0000}"/>
    <cellStyle name="Normal 42 2" xfId="14959" xr:uid="{00000000-0005-0000-0000-0000953A0000}"/>
    <cellStyle name="Normal 43" xfId="14960" xr:uid="{00000000-0005-0000-0000-0000963A0000}"/>
    <cellStyle name="Normal 44" xfId="14961" xr:uid="{00000000-0005-0000-0000-0000973A0000}"/>
    <cellStyle name="Normal 44 2" xfId="14962" xr:uid="{00000000-0005-0000-0000-0000983A0000}"/>
    <cellStyle name="Normal 45" xfId="14963" xr:uid="{00000000-0005-0000-0000-0000993A0000}"/>
    <cellStyle name="Normal 46" xfId="14964" xr:uid="{00000000-0005-0000-0000-00009A3A0000}"/>
    <cellStyle name="Normal 46 2" xfId="14965" xr:uid="{00000000-0005-0000-0000-00009B3A0000}"/>
    <cellStyle name="Normal 46 2 2" xfId="14966" xr:uid="{00000000-0005-0000-0000-00009C3A0000}"/>
    <cellStyle name="Normal 46 2 2 2" xfId="14967" xr:uid="{00000000-0005-0000-0000-00009D3A0000}"/>
    <cellStyle name="Normal 46 2 2 2 2" xfId="14968" xr:uid="{00000000-0005-0000-0000-00009E3A0000}"/>
    <cellStyle name="Normal 46 2 2 2 3" xfId="14969" xr:uid="{00000000-0005-0000-0000-00009F3A0000}"/>
    <cellStyle name="Normal 46 2 2 3" xfId="14970" xr:uid="{00000000-0005-0000-0000-0000A03A0000}"/>
    <cellStyle name="Normal 46 2 2 4" xfId="14971" xr:uid="{00000000-0005-0000-0000-0000A13A0000}"/>
    <cellStyle name="Normal 46 2 3" xfId="14972" xr:uid="{00000000-0005-0000-0000-0000A23A0000}"/>
    <cellStyle name="Normal 46 2 3 2" xfId="14973" xr:uid="{00000000-0005-0000-0000-0000A33A0000}"/>
    <cellStyle name="Normal 46 2 3 3" xfId="14974" xr:uid="{00000000-0005-0000-0000-0000A43A0000}"/>
    <cellStyle name="Normal 46 2 4" xfId="14975" xr:uid="{00000000-0005-0000-0000-0000A53A0000}"/>
    <cellStyle name="Normal 46 2 5" xfId="14976" xr:uid="{00000000-0005-0000-0000-0000A63A0000}"/>
    <cellStyle name="Normal 46 3" xfId="14977" xr:uid="{00000000-0005-0000-0000-0000A73A0000}"/>
    <cellStyle name="Normal 46 3 2" xfId="14978" xr:uid="{00000000-0005-0000-0000-0000A83A0000}"/>
    <cellStyle name="Normal 46 3 2 2" xfId="14979" xr:uid="{00000000-0005-0000-0000-0000A93A0000}"/>
    <cellStyle name="Normal 46 3 2 3" xfId="14980" xr:uid="{00000000-0005-0000-0000-0000AA3A0000}"/>
    <cellStyle name="Normal 46 3 3" xfId="14981" xr:uid="{00000000-0005-0000-0000-0000AB3A0000}"/>
    <cellStyle name="Normal 46 3 4" xfId="14982" xr:uid="{00000000-0005-0000-0000-0000AC3A0000}"/>
    <cellStyle name="Normal 46 4" xfId="14983" xr:uid="{00000000-0005-0000-0000-0000AD3A0000}"/>
    <cellStyle name="Normal 46 4 2" xfId="14984" xr:uid="{00000000-0005-0000-0000-0000AE3A0000}"/>
    <cellStyle name="Normal 46 4 3" xfId="14985" xr:uid="{00000000-0005-0000-0000-0000AF3A0000}"/>
    <cellStyle name="Normal 46 5" xfId="14986" xr:uid="{00000000-0005-0000-0000-0000B03A0000}"/>
    <cellStyle name="Normal 46 6" xfId="14987" xr:uid="{00000000-0005-0000-0000-0000B13A0000}"/>
    <cellStyle name="Normal 47" xfId="14988" xr:uid="{00000000-0005-0000-0000-0000B23A0000}"/>
    <cellStyle name="Normal 48" xfId="14989" xr:uid="{00000000-0005-0000-0000-0000B33A0000}"/>
    <cellStyle name="Normal 49" xfId="14990" xr:uid="{00000000-0005-0000-0000-0000B43A0000}"/>
    <cellStyle name="Normal 5" xfId="30" xr:uid="{00000000-0005-0000-0000-0000B53A0000}"/>
    <cellStyle name="Normal 5 10" xfId="14991" xr:uid="{00000000-0005-0000-0000-0000B63A0000}"/>
    <cellStyle name="Normal 5 11" xfId="14992" xr:uid="{00000000-0005-0000-0000-0000B73A0000}"/>
    <cellStyle name="Normal 5 12" xfId="14993" xr:uid="{00000000-0005-0000-0000-0000B83A0000}"/>
    <cellStyle name="Normal 5 13" xfId="14994" xr:uid="{00000000-0005-0000-0000-0000B93A0000}"/>
    <cellStyle name="Normal 5 14" xfId="14995" xr:uid="{00000000-0005-0000-0000-0000BA3A0000}"/>
    <cellStyle name="Normal 5 15" xfId="14996" xr:uid="{00000000-0005-0000-0000-0000BB3A0000}"/>
    <cellStyle name="Normal 5 16" xfId="14997" xr:uid="{00000000-0005-0000-0000-0000BC3A0000}"/>
    <cellStyle name="Normal 5 17" xfId="14998" xr:uid="{00000000-0005-0000-0000-0000BD3A0000}"/>
    <cellStyle name="Normal 5 18" xfId="14999" xr:uid="{00000000-0005-0000-0000-0000BE3A0000}"/>
    <cellStyle name="Normal 5 19" xfId="15000" xr:uid="{00000000-0005-0000-0000-0000BF3A0000}"/>
    <cellStyle name="Normal 5 2" xfId="31" xr:uid="{00000000-0005-0000-0000-0000C03A0000}"/>
    <cellStyle name="Normal 5 2 10" xfId="15001" xr:uid="{00000000-0005-0000-0000-0000C13A0000}"/>
    <cellStyle name="Normal 5 2 11" xfId="15002" xr:uid="{00000000-0005-0000-0000-0000C23A0000}"/>
    <cellStyle name="Normal 5 2 12" xfId="15003" xr:uid="{00000000-0005-0000-0000-0000C33A0000}"/>
    <cellStyle name="Normal 5 2 2" xfId="15004" xr:uid="{00000000-0005-0000-0000-0000C43A0000}"/>
    <cellStyle name="Normal 5 2 2 2" xfId="15005" xr:uid="{00000000-0005-0000-0000-0000C53A0000}"/>
    <cellStyle name="Normal 5 2 2 2 2" xfId="15006" xr:uid="{00000000-0005-0000-0000-0000C63A0000}"/>
    <cellStyle name="Normal 5 2 2 2 2 2" xfId="15007" xr:uid="{00000000-0005-0000-0000-0000C73A0000}"/>
    <cellStyle name="Normal 5 2 2 2 2 2 2" xfId="15008" xr:uid="{00000000-0005-0000-0000-0000C83A0000}"/>
    <cellStyle name="Normal 5 2 2 2 2 2 2 2" xfId="15009" xr:uid="{00000000-0005-0000-0000-0000C93A0000}"/>
    <cellStyle name="Normal 5 2 2 2 2 2 2 2 2" xfId="15010" xr:uid="{00000000-0005-0000-0000-0000CA3A0000}"/>
    <cellStyle name="Normal 5 2 2 2 2 2 2 2 3" xfId="15011" xr:uid="{00000000-0005-0000-0000-0000CB3A0000}"/>
    <cellStyle name="Normal 5 2 2 2 2 2 2 3" xfId="15012" xr:uid="{00000000-0005-0000-0000-0000CC3A0000}"/>
    <cellStyle name="Normal 5 2 2 2 2 2 2 4" xfId="15013" xr:uid="{00000000-0005-0000-0000-0000CD3A0000}"/>
    <cellStyle name="Normal 5 2 2 2 2 2 3" xfId="15014" xr:uid="{00000000-0005-0000-0000-0000CE3A0000}"/>
    <cellStyle name="Normal 5 2 2 2 2 2 3 2" xfId="15015" xr:uid="{00000000-0005-0000-0000-0000CF3A0000}"/>
    <cellStyle name="Normal 5 2 2 2 2 2 3 3" xfId="15016" xr:uid="{00000000-0005-0000-0000-0000D03A0000}"/>
    <cellStyle name="Normal 5 2 2 2 2 2 4" xfId="15017" xr:uid="{00000000-0005-0000-0000-0000D13A0000}"/>
    <cellStyle name="Normal 5 2 2 2 2 2 5" xfId="15018" xr:uid="{00000000-0005-0000-0000-0000D23A0000}"/>
    <cellStyle name="Normal 5 2 2 2 2 3" xfId="15019" xr:uid="{00000000-0005-0000-0000-0000D33A0000}"/>
    <cellStyle name="Normal 5 2 2 2 2 3 2" xfId="15020" xr:uid="{00000000-0005-0000-0000-0000D43A0000}"/>
    <cellStyle name="Normal 5 2 2 2 2 3 2 2" xfId="15021" xr:uid="{00000000-0005-0000-0000-0000D53A0000}"/>
    <cellStyle name="Normal 5 2 2 2 2 3 2 3" xfId="15022" xr:uid="{00000000-0005-0000-0000-0000D63A0000}"/>
    <cellStyle name="Normal 5 2 2 2 2 3 3" xfId="15023" xr:uid="{00000000-0005-0000-0000-0000D73A0000}"/>
    <cellStyle name="Normal 5 2 2 2 2 3 4" xfId="15024" xr:uid="{00000000-0005-0000-0000-0000D83A0000}"/>
    <cellStyle name="Normal 5 2 2 2 2 4" xfId="15025" xr:uid="{00000000-0005-0000-0000-0000D93A0000}"/>
    <cellStyle name="Normal 5 2 2 2 2 4 2" xfId="15026" xr:uid="{00000000-0005-0000-0000-0000DA3A0000}"/>
    <cellStyle name="Normal 5 2 2 2 2 4 3" xfId="15027" xr:uid="{00000000-0005-0000-0000-0000DB3A0000}"/>
    <cellStyle name="Normal 5 2 2 2 2 5" xfId="15028" xr:uid="{00000000-0005-0000-0000-0000DC3A0000}"/>
    <cellStyle name="Normal 5 2 2 2 2 6" xfId="15029" xr:uid="{00000000-0005-0000-0000-0000DD3A0000}"/>
    <cellStyle name="Normal 5 2 2 3" xfId="15030" xr:uid="{00000000-0005-0000-0000-0000DE3A0000}"/>
    <cellStyle name="Normal 5 2 2 3 2" xfId="15031" xr:uid="{00000000-0005-0000-0000-0000DF3A0000}"/>
    <cellStyle name="Normal 5 2 2 3 2 2" xfId="15032" xr:uid="{00000000-0005-0000-0000-0000E03A0000}"/>
    <cellStyle name="Normal 5 2 2 3 2 2 2" xfId="15033" xr:uid="{00000000-0005-0000-0000-0000E13A0000}"/>
    <cellStyle name="Normal 5 2 2 3 2 2 2 2" xfId="15034" xr:uid="{00000000-0005-0000-0000-0000E23A0000}"/>
    <cellStyle name="Normal 5 2 2 3 2 2 2 3" xfId="15035" xr:uid="{00000000-0005-0000-0000-0000E33A0000}"/>
    <cellStyle name="Normal 5 2 2 3 2 2 3" xfId="15036" xr:uid="{00000000-0005-0000-0000-0000E43A0000}"/>
    <cellStyle name="Normal 5 2 2 3 2 2 4" xfId="15037" xr:uid="{00000000-0005-0000-0000-0000E53A0000}"/>
    <cellStyle name="Normal 5 2 2 3 2 3" xfId="15038" xr:uid="{00000000-0005-0000-0000-0000E63A0000}"/>
    <cellStyle name="Normal 5 2 2 3 2 3 2" xfId="15039" xr:uid="{00000000-0005-0000-0000-0000E73A0000}"/>
    <cellStyle name="Normal 5 2 2 3 2 3 3" xfId="15040" xr:uid="{00000000-0005-0000-0000-0000E83A0000}"/>
    <cellStyle name="Normal 5 2 2 3 2 4" xfId="15041" xr:uid="{00000000-0005-0000-0000-0000E93A0000}"/>
    <cellStyle name="Normal 5 2 2 3 2 5" xfId="15042" xr:uid="{00000000-0005-0000-0000-0000EA3A0000}"/>
    <cellStyle name="Normal 5 2 2 3 3" xfId="15043" xr:uid="{00000000-0005-0000-0000-0000EB3A0000}"/>
    <cellStyle name="Normal 5 2 2 3 3 2" xfId="15044" xr:uid="{00000000-0005-0000-0000-0000EC3A0000}"/>
    <cellStyle name="Normal 5 2 2 3 3 2 2" xfId="15045" xr:uid="{00000000-0005-0000-0000-0000ED3A0000}"/>
    <cellStyle name="Normal 5 2 2 3 3 2 3" xfId="15046" xr:uid="{00000000-0005-0000-0000-0000EE3A0000}"/>
    <cellStyle name="Normal 5 2 2 3 3 3" xfId="15047" xr:uid="{00000000-0005-0000-0000-0000EF3A0000}"/>
    <cellStyle name="Normal 5 2 2 3 3 4" xfId="15048" xr:uid="{00000000-0005-0000-0000-0000F03A0000}"/>
    <cellStyle name="Normal 5 2 2 3 4" xfId="15049" xr:uid="{00000000-0005-0000-0000-0000F13A0000}"/>
    <cellStyle name="Normal 5 2 2 3 4 2" xfId="15050" xr:uid="{00000000-0005-0000-0000-0000F23A0000}"/>
    <cellStyle name="Normal 5 2 2 3 4 3" xfId="15051" xr:uid="{00000000-0005-0000-0000-0000F33A0000}"/>
    <cellStyle name="Normal 5 2 2 3 5" xfId="15052" xr:uid="{00000000-0005-0000-0000-0000F43A0000}"/>
    <cellStyle name="Normal 5 2 2 3 6" xfId="15053" xr:uid="{00000000-0005-0000-0000-0000F53A0000}"/>
    <cellStyle name="Normal 5 2 3" xfId="15054" xr:uid="{00000000-0005-0000-0000-0000F63A0000}"/>
    <cellStyle name="Normal 5 2 3 2" xfId="15055" xr:uid="{00000000-0005-0000-0000-0000F73A0000}"/>
    <cellStyle name="Normal 5 2 3 2 2" xfId="15056" xr:uid="{00000000-0005-0000-0000-0000F83A0000}"/>
    <cellStyle name="Normal 5 2 3 2 2 2" xfId="15057" xr:uid="{00000000-0005-0000-0000-0000F93A0000}"/>
    <cellStyle name="Normal 5 2 3 2 2 2 2" xfId="15058" xr:uid="{00000000-0005-0000-0000-0000FA3A0000}"/>
    <cellStyle name="Normal 5 2 3 2 2 2 2 2" xfId="15059" xr:uid="{00000000-0005-0000-0000-0000FB3A0000}"/>
    <cellStyle name="Normal 5 2 3 2 2 2 2 2 2" xfId="15060" xr:uid="{00000000-0005-0000-0000-0000FC3A0000}"/>
    <cellStyle name="Normal 5 2 3 2 2 2 2 2 3" xfId="15061" xr:uid="{00000000-0005-0000-0000-0000FD3A0000}"/>
    <cellStyle name="Normal 5 2 3 2 2 2 2 3" xfId="15062" xr:uid="{00000000-0005-0000-0000-0000FE3A0000}"/>
    <cellStyle name="Normal 5 2 3 2 2 2 2 4" xfId="15063" xr:uid="{00000000-0005-0000-0000-0000FF3A0000}"/>
    <cellStyle name="Normal 5 2 3 2 2 2 3" xfId="15064" xr:uid="{00000000-0005-0000-0000-0000003B0000}"/>
    <cellStyle name="Normal 5 2 3 2 2 2 3 2" xfId="15065" xr:uid="{00000000-0005-0000-0000-0000013B0000}"/>
    <cellStyle name="Normal 5 2 3 2 2 2 3 3" xfId="15066" xr:uid="{00000000-0005-0000-0000-0000023B0000}"/>
    <cellStyle name="Normal 5 2 3 2 2 2 4" xfId="15067" xr:uid="{00000000-0005-0000-0000-0000033B0000}"/>
    <cellStyle name="Normal 5 2 3 2 2 2 5" xfId="15068" xr:uid="{00000000-0005-0000-0000-0000043B0000}"/>
    <cellStyle name="Normal 5 2 3 2 2 3" xfId="15069" xr:uid="{00000000-0005-0000-0000-0000053B0000}"/>
    <cellStyle name="Normal 5 2 3 2 2 3 2" xfId="15070" xr:uid="{00000000-0005-0000-0000-0000063B0000}"/>
    <cellStyle name="Normal 5 2 3 2 2 3 2 2" xfId="15071" xr:uid="{00000000-0005-0000-0000-0000073B0000}"/>
    <cellStyle name="Normal 5 2 3 2 2 3 2 3" xfId="15072" xr:uid="{00000000-0005-0000-0000-0000083B0000}"/>
    <cellStyle name="Normal 5 2 3 2 2 3 3" xfId="15073" xr:uid="{00000000-0005-0000-0000-0000093B0000}"/>
    <cellStyle name="Normal 5 2 3 2 2 3 4" xfId="15074" xr:uid="{00000000-0005-0000-0000-00000A3B0000}"/>
    <cellStyle name="Normal 5 2 3 2 2 4" xfId="15075" xr:uid="{00000000-0005-0000-0000-00000B3B0000}"/>
    <cellStyle name="Normal 5 2 3 2 2 4 2" xfId="15076" xr:uid="{00000000-0005-0000-0000-00000C3B0000}"/>
    <cellStyle name="Normal 5 2 3 2 2 4 3" xfId="15077" xr:uid="{00000000-0005-0000-0000-00000D3B0000}"/>
    <cellStyle name="Normal 5 2 3 2 2 5" xfId="15078" xr:uid="{00000000-0005-0000-0000-00000E3B0000}"/>
    <cellStyle name="Normal 5 2 3 2 2 6" xfId="15079" xr:uid="{00000000-0005-0000-0000-00000F3B0000}"/>
    <cellStyle name="Normal 5 2 3 3" xfId="15080" xr:uid="{00000000-0005-0000-0000-0000103B0000}"/>
    <cellStyle name="Normal 5 2 3 3 2" xfId="15081" xr:uid="{00000000-0005-0000-0000-0000113B0000}"/>
    <cellStyle name="Normal 5 2 3 3 2 2" xfId="15082" xr:uid="{00000000-0005-0000-0000-0000123B0000}"/>
    <cellStyle name="Normal 5 2 3 3 2 2 2" xfId="15083" xr:uid="{00000000-0005-0000-0000-0000133B0000}"/>
    <cellStyle name="Normal 5 2 3 3 2 2 2 2" xfId="15084" xr:uid="{00000000-0005-0000-0000-0000143B0000}"/>
    <cellStyle name="Normal 5 2 3 3 2 2 2 3" xfId="15085" xr:uid="{00000000-0005-0000-0000-0000153B0000}"/>
    <cellStyle name="Normal 5 2 3 3 2 2 3" xfId="15086" xr:uid="{00000000-0005-0000-0000-0000163B0000}"/>
    <cellStyle name="Normal 5 2 3 3 2 2 4" xfId="15087" xr:uid="{00000000-0005-0000-0000-0000173B0000}"/>
    <cellStyle name="Normal 5 2 3 3 2 3" xfId="15088" xr:uid="{00000000-0005-0000-0000-0000183B0000}"/>
    <cellStyle name="Normal 5 2 3 3 2 3 2" xfId="15089" xr:uid="{00000000-0005-0000-0000-0000193B0000}"/>
    <cellStyle name="Normal 5 2 3 3 2 3 3" xfId="15090" xr:uid="{00000000-0005-0000-0000-00001A3B0000}"/>
    <cellStyle name="Normal 5 2 3 3 2 4" xfId="15091" xr:uid="{00000000-0005-0000-0000-00001B3B0000}"/>
    <cellStyle name="Normal 5 2 3 3 2 5" xfId="15092" xr:uid="{00000000-0005-0000-0000-00001C3B0000}"/>
    <cellStyle name="Normal 5 2 3 3 3" xfId="15093" xr:uid="{00000000-0005-0000-0000-00001D3B0000}"/>
    <cellStyle name="Normal 5 2 3 3 3 2" xfId="15094" xr:uid="{00000000-0005-0000-0000-00001E3B0000}"/>
    <cellStyle name="Normal 5 2 3 3 3 2 2" xfId="15095" xr:uid="{00000000-0005-0000-0000-00001F3B0000}"/>
    <cellStyle name="Normal 5 2 3 3 3 2 3" xfId="15096" xr:uid="{00000000-0005-0000-0000-0000203B0000}"/>
    <cellStyle name="Normal 5 2 3 3 3 3" xfId="15097" xr:uid="{00000000-0005-0000-0000-0000213B0000}"/>
    <cellStyle name="Normal 5 2 3 3 3 4" xfId="15098" xr:uid="{00000000-0005-0000-0000-0000223B0000}"/>
    <cellStyle name="Normal 5 2 3 3 4" xfId="15099" xr:uid="{00000000-0005-0000-0000-0000233B0000}"/>
    <cellStyle name="Normal 5 2 3 3 4 2" xfId="15100" xr:uid="{00000000-0005-0000-0000-0000243B0000}"/>
    <cellStyle name="Normal 5 2 3 3 4 3" xfId="15101" xr:uid="{00000000-0005-0000-0000-0000253B0000}"/>
    <cellStyle name="Normal 5 2 3 3 5" xfId="15102" xr:uid="{00000000-0005-0000-0000-0000263B0000}"/>
    <cellStyle name="Normal 5 2 3 3 6" xfId="15103" xr:uid="{00000000-0005-0000-0000-0000273B0000}"/>
    <cellStyle name="Normal 5 2 4" xfId="15104" xr:uid="{00000000-0005-0000-0000-0000283B0000}"/>
    <cellStyle name="Normal 5 2 4 2" xfId="15105" xr:uid="{00000000-0005-0000-0000-0000293B0000}"/>
    <cellStyle name="Normal 5 2 4 2 2" xfId="15106" xr:uid="{00000000-0005-0000-0000-00002A3B0000}"/>
    <cellStyle name="Normal 5 2 4 2 2 2" xfId="15107" xr:uid="{00000000-0005-0000-0000-00002B3B0000}"/>
    <cellStyle name="Normal 5 2 4 2 2 2 2" xfId="15108" xr:uid="{00000000-0005-0000-0000-00002C3B0000}"/>
    <cellStyle name="Normal 5 2 4 2 2 2 2 2" xfId="15109" xr:uid="{00000000-0005-0000-0000-00002D3B0000}"/>
    <cellStyle name="Normal 5 2 4 2 2 2 2 3" xfId="15110" xr:uid="{00000000-0005-0000-0000-00002E3B0000}"/>
    <cellStyle name="Normal 5 2 4 2 2 2 3" xfId="15111" xr:uid="{00000000-0005-0000-0000-00002F3B0000}"/>
    <cellStyle name="Normal 5 2 4 2 2 2 4" xfId="15112" xr:uid="{00000000-0005-0000-0000-0000303B0000}"/>
    <cellStyle name="Normal 5 2 4 2 2 3" xfId="15113" xr:uid="{00000000-0005-0000-0000-0000313B0000}"/>
    <cellStyle name="Normal 5 2 4 2 2 3 2" xfId="15114" xr:uid="{00000000-0005-0000-0000-0000323B0000}"/>
    <cellStyle name="Normal 5 2 4 2 2 3 3" xfId="15115" xr:uid="{00000000-0005-0000-0000-0000333B0000}"/>
    <cellStyle name="Normal 5 2 4 2 2 4" xfId="15116" xr:uid="{00000000-0005-0000-0000-0000343B0000}"/>
    <cellStyle name="Normal 5 2 4 2 2 5" xfId="15117" xr:uid="{00000000-0005-0000-0000-0000353B0000}"/>
    <cellStyle name="Normal 5 2 4 2 3" xfId="15118" xr:uid="{00000000-0005-0000-0000-0000363B0000}"/>
    <cellStyle name="Normal 5 2 4 2 3 2" xfId="15119" xr:uid="{00000000-0005-0000-0000-0000373B0000}"/>
    <cellStyle name="Normal 5 2 4 2 3 2 2" xfId="15120" xr:uid="{00000000-0005-0000-0000-0000383B0000}"/>
    <cellStyle name="Normal 5 2 4 2 3 2 3" xfId="15121" xr:uid="{00000000-0005-0000-0000-0000393B0000}"/>
    <cellStyle name="Normal 5 2 4 2 3 3" xfId="15122" xr:uid="{00000000-0005-0000-0000-00003A3B0000}"/>
    <cellStyle name="Normal 5 2 4 2 3 4" xfId="15123" xr:uid="{00000000-0005-0000-0000-00003B3B0000}"/>
    <cellStyle name="Normal 5 2 4 2 4" xfId="15124" xr:uid="{00000000-0005-0000-0000-00003C3B0000}"/>
    <cellStyle name="Normal 5 2 4 2 4 2" xfId="15125" xr:uid="{00000000-0005-0000-0000-00003D3B0000}"/>
    <cellStyle name="Normal 5 2 4 2 4 3" xfId="15126" xr:uid="{00000000-0005-0000-0000-00003E3B0000}"/>
    <cellStyle name="Normal 5 2 4 2 5" xfId="15127" xr:uid="{00000000-0005-0000-0000-00003F3B0000}"/>
    <cellStyle name="Normal 5 2 4 2 6" xfId="15128" xr:uid="{00000000-0005-0000-0000-0000403B0000}"/>
    <cellStyle name="Normal 5 2 5" xfId="15129" xr:uid="{00000000-0005-0000-0000-0000413B0000}"/>
    <cellStyle name="Normal 5 2 6" xfId="15130" xr:uid="{00000000-0005-0000-0000-0000423B0000}"/>
    <cellStyle name="Normal 5 2 6 2" xfId="15131" xr:uid="{00000000-0005-0000-0000-0000433B0000}"/>
    <cellStyle name="Normal 5 2 6 2 2" xfId="15132" xr:uid="{00000000-0005-0000-0000-0000443B0000}"/>
    <cellStyle name="Normal 5 2 6 2 2 2" xfId="15133" xr:uid="{00000000-0005-0000-0000-0000453B0000}"/>
    <cellStyle name="Normal 5 2 6 2 2 2 2" xfId="15134" xr:uid="{00000000-0005-0000-0000-0000463B0000}"/>
    <cellStyle name="Normal 5 2 6 2 2 2 3" xfId="15135" xr:uid="{00000000-0005-0000-0000-0000473B0000}"/>
    <cellStyle name="Normal 5 2 6 2 2 3" xfId="15136" xr:uid="{00000000-0005-0000-0000-0000483B0000}"/>
    <cellStyle name="Normal 5 2 6 2 2 4" xfId="15137" xr:uid="{00000000-0005-0000-0000-0000493B0000}"/>
    <cellStyle name="Normal 5 2 6 2 3" xfId="15138" xr:uid="{00000000-0005-0000-0000-00004A3B0000}"/>
    <cellStyle name="Normal 5 2 6 2 3 2" xfId="15139" xr:uid="{00000000-0005-0000-0000-00004B3B0000}"/>
    <cellStyle name="Normal 5 2 6 2 3 3" xfId="15140" xr:uid="{00000000-0005-0000-0000-00004C3B0000}"/>
    <cellStyle name="Normal 5 2 6 2 4" xfId="15141" xr:uid="{00000000-0005-0000-0000-00004D3B0000}"/>
    <cellStyle name="Normal 5 2 6 2 5" xfId="15142" xr:uid="{00000000-0005-0000-0000-00004E3B0000}"/>
    <cellStyle name="Normal 5 2 6 3" xfId="15143" xr:uid="{00000000-0005-0000-0000-00004F3B0000}"/>
    <cellStyle name="Normal 5 2 6 3 2" xfId="15144" xr:uid="{00000000-0005-0000-0000-0000503B0000}"/>
    <cellStyle name="Normal 5 2 6 3 2 2" xfId="15145" xr:uid="{00000000-0005-0000-0000-0000513B0000}"/>
    <cellStyle name="Normal 5 2 6 3 2 3" xfId="15146" xr:uid="{00000000-0005-0000-0000-0000523B0000}"/>
    <cellStyle name="Normal 5 2 6 3 3" xfId="15147" xr:uid="{00000000-0005-0000-0000-0000533B0000}"/>
    <cellStyle name="Normal 5 2 6 3 4" xfId="15148" xr:uid="{00000000-0005-0000-0000-0000543B0000}"/>
    <cellStyle name="Normal 5 2 6 4" xfId="15149" xr:uid="{00000000-0005-0000-0000-0000553B0000}"/>
    <cellStyle name="Normal 5 2 6 4 2" xfId="15150" xr:uid="{00000000-0005-0000-0000-0000563B0000}"/>
    <cellStyle name="Normal 5 2 6 4 3" xfId="15151" xr:uid="{00000000-0005-0000-0000-0000573B0000}"/>
    <cellStyle name="Normal 5 2 6 5" xfId="15152" xr:uid="{00000000-0005-0000-0000-0000583B0000}"/>
    <cellStyle name="Normal 5 2 6 6" xfId="15153" xr:uid="{00000000-0005-0000-0000-0000593B0000}"/>
    <cellStyle name="Normal 5 2 7" xfId="15154" xr:uid="{00000000-0005-0000-0000-00005A3B0000}"/>
    <cellStyle name="Normal 5 2 7 2" xfId="15155" xr:uid="{00000000-0005-0000-0000-00005B3B0000}"/>
    <cellStyle name="Normal 5 2 7 2 2" xfId="15156" xr:uid="{00000000-0005-0000-0000-00005C3B0000}"/>
    <cellStyle name="Normal 5 2 7 2 2 2" xfId="15157" xr:uid="{00000000-0005-0000-0000-00005D3B0000}"/>
    <cellStyle name="Normal 5 2 7 2 2 3" xfId="15158" xr:uid="{00000000-0005-0000-0000-00005E3B0000}"/>
    <cellStyle name="Normal 5 2 7 2 3" xfId="15159" xr:uid="{00000000-0005-0000-0000-00005F3B0000}"/>
    <cellStyle name="Normal 5 2 7 2 4" xfId="15160" xr:uid="{00000000-0005-0000-0000-0000603B0000}"/>
    <cellStyle name="Normal 5 2 7 3" xfId="15161" xr:uid="{00000000-0005-0000-0000-0000613B0000}"/>
    <cellStyle name="Normal 5 2 7 3 2" xfId="15162" xr:uid="{00000000-0005-0000-0000-0000623B0000}"/>
    <cellStyle name="Normal 5 2 7 3 3" xfId="15163" xr:uid="{00000000-0005-0000-0000-0000633B0000}"/>
    <cellStyle name="Normal 5 2 7 4" xfId="15164" xr:uid="{00000000-0005-0000-0000-0000643B0000}"/>
    <cellStyle name="Normal 5 2 7 5" xfId="15165" xr:uid="{00000000-0005-0000-0000-0000653B0000}"/>
    <cellStyle name="Normal 5 2 8" xfId="15166" xr:uid="{00000000-0005-0000-0000-0000663B0000}"/>
    <cellStyle name="Normal 5 2 8 2" xfId="15167" xr:uid="{00000000-0005-0000-0000-0000673B0000}"/>
    <cellStyle name="Normal 5 2 8 2 2" xfId="15168" xr:uid="{00000000-0005-0000-0000-0000683B0000}"/>
    <cellStyle name="Normal 5 2 8 2 3" xfId="15169" xr:uid="{00000000-0005-0000-0000-0000693B0000}"/>
    <cellStyle name="Normal 5 2 8 3" xfId="15170" xr:uid="{00000000-0005-0000-0000-00006A3B0000}"/>
    <cellStyle name="Normal 5 2 8 4" xfId="15171" xr:uid="{00000000-0005-0000-0000-00006B3B0000}"/>
    <cellStyle name="Normal 5 2 9" xfId="15172" xr:uid="{00000000-0005-0000-0000-00006C3B0000}"/>
    <cellStyle name="Normal 5 2 9 2" xfId="15173" xr:uid="{00000000-0005-0000-0000-00006D3B0000}"/>
    <cellStyle name="Normal 5 2 9 3" xfId="15174" xr:uid="{00000000-0005-0000-0000-00006E3B0000}"/>
    <cellStyle name="Normal 5 20" xfId="15175" xr:uid="{00000000-0005-0000-0000-00006F3B0000}"/>
    <cellStyle name="Normal 5 21" xfId="15176" xr:uid="{00000000-0005-0000-0000-0000703B0000}"/>
    <cellStyle name="Normal 5 22" xfId="15177" xr:uid="{00000000-0005-0000-0000-0000713B0000}"/>
    <cellStyle name="Normal 5 23" xfId="15178" xr:uid="{00000000-0005-0000-0000-0000723B0000}"/>
    <cellStyle name="Normal 5 24" xfId="15179" xr:uid="{00000000-0005-0000-0000-0000733B0000}"/>
    <cellStyle name="Normal 5 24 2" xfId="15180" xr:uid="{00000000-0005-0000-0000-0000743B0000}"/>
    <cellStyle name="Normal 5 24 2 2" xfId="15181" xr:uid="{00000000-0005-0000-0000-0000753B0000}"/>
    <cellStyle name="Normal 5 24 2 2 2" xfId="15182" xr:uid="{00000000-0005-0000-0000-0000763B0000}"/>
    <cellStyle name="Normal 5 24 2 2 2 2" xfId="15183" xr:uid="{00000000-0005-0000-0000-0000773B0000}"/>
    <cellStyle name="Normal 5 24 2 2 2 3" xfId="15184" xr:uid="{00000000-0005-0000-0000-0000783B0000}"/>
    <cellStyle name="Normal 5 24 2 2 3" xfId="15185" xr:uid="{00000000-0005-0000-0000-0000793B0000}"/>
    <cellStyle name="Normal 5 24 2 2 4" xfId="15186" xr:uid="{00000000-0005-0000-0000-00007A3B0000}"/>
    <cellStyle name="Normal 5 24 2 3" xfId="15187" xr:uid="{00000000-0005-0000-0000-00007B3B0000}"/>
    <cellStyle name="Normal 5 24 2 3 2" xfId="15188" xr:uid="{00000000-0005-0000-0000-00007C3B0000}"/>
    <cellStyle name="Normal 5 24 2 3 3" xfId="15189" xr:uid="{00000000-0005-0000-0000-00007D3B0000}"/>
    <cellStyle name="Normal 5 24 2 4" xfId="15190" xr:uid="{00000000-0005-0000-0000-00007E3B0000}"/>
    <cellStyle name="Normal 5 24 2 5" xfId="15191" xr:uid="{00000000-0005-0000-0000-00007F3B0000}"/>
    <cellStyle name="Normal 5 24 3" xfId="15192" xr:uid="{00000000-0005-0000-0000-0000803B0000}"/>
    <cellStyle name="Normal 5 24 3 2" xfId="15193" xr:uid="{00000000-0005-0000-0000-0000813B0000}"/>
    <cellStyle name="Normal 5 24 3 2 2" xfId="15194" xr:uid="{00000000-0005-0000-0000-0000823B0000}"/>
    <cellStyle name="Normal 5 24 3 2 3" xfId="15195" xr:uid="{00000000-0005-0000-0000-0000833B0000}"/>
    <cellStyle name="Normal 5 24 3 3" xfId="15196" xr:uid="{00000000-0005-0000-0000-0000843B0000}"/>
    <cellStyle name="Normal 5 24 3 4" xfId="15197" xr:uid="{00000000-0005-0000-0000-0000853B0000}"/>
    <cellStyle name="Normal 5 24 4" xfId="15198" xr:uid="{00000000-0005-0000-0000-0000863B0000}"/>
    <cellStyle name="Normal 5 24 4 2" xfId="15199" xr:uid="{00000000-0005-0000-0000-0000873B0000}"/>
    <cellStyle name="Normal 5 24 4 3" xfId="15200" xr:uid="{00000000-0005-0000-0000-0000883B0000}"/>
    <cellStyle name="Normal 5 24 5" xfId="15201" xr:uid="{00000000-0005-0000-0000-0000893B0000}"/>
    <cellStyle name="Normal 5 24 6" xfId="15202" xr:uid="{00000000-0005-0000-0000-00008A3B0000}"/>
    <cellStyle name="Normal 5 25" xfId="15203" xr:uid="{00000000-0005-0000-0000-00008B3B0000}"/>
    <cellStyle name="Normal 5 25 2" xfId="15204" xr:uid="{00000000-0005-0000-0000-00008C3B0000}"/>
    <cellStyle name="Normal 5 26" xfId="15205" xr:uid="{00000000-0005-0000-0000-00008D3B0000}"/>
    <cellStyle name="Normal 5 26 2" xfId="15206" xr:uid="{00000000-0005-0000-0000-00008E3B0000}"/>
    <cellStyle name="Normal 5 27" xfId="15207" xr:uid="{00000000-0005-0000-0000-00008F3B0000}"/>
    <cellStyle name="Normal 5 28" xfId="15208" xr:uid="{00000000-0005-0000-0000-0000903B0000}"/>
    <cellStyle name="Normal 5 28 2" xfId="15209" xr:uid="{00000000-0005-0000-0000-0000913B0000}"/>
    <cellStyle name="Normal 5 28 2 2" xfId="15210" xr:uid="{00000000-0005-0000-0000-0000923B0000}"/>
    <cellStyle name="Normal 5 28 2 2 2" xfId="15211" xr:uid="{00000000-0005-0000-0000-0000933B0000}"/>
    <cellStyle name="Normal 5 28 2 2 2 2" xfId="15212" xr:uid="{00000000-0005-0000-0000-0000943B0000}"/>
    <cellStyle name="Normal 5 28 2 2 2 3" xfId="15213" xr:uid="{00000000-0005-0000-0000-0000953B0000}"/>
    <cellStyle name="Normal 5 28 2 2 3" xfId="15214" xr:uid="{00000000-0005-0000-0000-0000963B0000}"/>
    <cellStyle name="Normal 5 28 2 2 4" xfId="15215" xr:uid="{00000000-0005-0000-0000-0000973B0000}"/>
    <cellStyle name="Normal 5 28 2 3" xfId="15216" xr:uid="{00000000-0005-0000-0000-0000983B0000}"/>
    <cellStyle name="Normal 5 28 2 3 2" xfId="15217" xr:uid="{00000000-0005-0000-0000-0000993B0000}"/>
    <cellStyle name="Normal 5 28 2 3 3" xfId="15218" xr:uid="{00000000-0005-0000-0000-00009A3B0000}"/>
    <cellStyle name="Normal 5 28 2 4" xfId="15219" xr:uid="{00000000-0005-0000-0000-00009B3B0000}"/>
    <cellStyle name="Normal 5 28 2 5" xfId="15220" xr:uid="{00000000-0005-0000-0000-00009C3B0000}"/>
    <cellStyle name="Normal 5 28 3" xfId="15221" xr:uid="{00000000-0005-0000-0000-00009D3B0000}"/>
    <cellStyle name="Normal 5 28 3 2" xfId="15222" xr:uid="{00000000-0005-0000-0000-00009E3B0000}"/>
    <cellStyle name="Normal 5 28 3 2 2" xfId="15223" xr:uid="{00000000-0005-0000-0000-00009F3B0000}"/>
    <cellStyle name="Normal 5 28 3 2 3" xfId="15224" xr:uid="{00000000-0005-0000-0000-0000A03B0000}"/>
    <cellStyle name="Normal 5 28 3 3" xfId="15225" xr:uid="{00000000-0005-0000-0000-0000A13B0000}"/>
    <cellStyle name="Normal 5 28 3 4" xfId="15226" xr:uid="{00000000-0005-0000-0000-0000A23B0000}"/>
    <cellStyle name="Normal 5 28 4" xfId="15227" xr:uid="{00000000-0005-0000-0000-0000A33B0000}"/>
    <cellStyle name="Normal 5 28 4 2" xfId="15228" xr:uid="{00000000-0005-0000-0000-0000A43B0000}"/>
    <cellStyle name="Normal 5 28 4 3" xfId="15229" xr:uid="{00000000-0005-0000-0000-0000A53B0000}"/>
    <cellStyle name="Normal 5 28 5" xfId="15230" xr:uid="{00000000-0005-0000-0000-0000A63B0000}"/>
    <cellStyle name="Normal 5 28 6" xfId="15231" xr:uid="{00000000-0005-0000-0000-0000A73B0000}"/>
    <cellStyle name="Normal 5 29" xfId="15232" xr:uid="{00000000-0005-0000-0000-0000A83B0000}"/>
    <cellStyle name="Normal 5 3" xfId="15233" xr:uid="{00000000-0005-0000-0000-0000A93B0000}"/>
    <cellStyle name="Normal 5 3 2" xfId="15234" xr:uid="{00000000-0005-0000-0000-0000AA3B0000}"/>
    <cellStyle name="Normal 5 3 3" xfId="15235" xr:uid="{00000000-0005-0000-0000-0000AB3B0000}"/>
    <cellStyle name="Normal 5 3 3 2" xfId="15236" xr:uid="{00000000-0005-0000-0000-0000AC3B0000}"/>
    <cellStyle name="Normal 5 3 3 2 2" xfId="15237" xr:uid="{00000000-0005-0000-0000-0000AD3B0000}"/>
    <cellStyle name="Normal 5 3 3 2 2 2" xfId="15238" xr:uid="{00000000-0005-0000-0000-0000AE3B0000}"/>
    <cellStyle name="Normal 5 3 3 2 2 3" xfId="15239" xr:uid="{00000000-0005-0000-0000-0000AF3B0000}"/>
    <cellStyle name="Normal 5 3 3 2 3" xfId="15240" xr:uid="{00000000-0005-0000-0000-0000B03B0000}"/>
    <cellStyle name="Normal 5 3 3 2 4" xfId="15241" xr:uid="{00000000-0005-0000-0000-0000B13B0000}"/>
    <cellStyle name="Normal 5 3 3 3" xfId="15242" xr:uid="{00000000-0005-0000-0000-0000B23B0000}"/>
    <cellStyle name="Normal 5 3 3 3 2" xfId="15243" xr:uid="{00000000-0005-0000-0000-0000B33B0000}"/>
    <cellStyle name="Normal 5 3 3 3 3" xfId="15244" xr:uid="{00000000-0005-0000-0000-0000B43B0000}"/>
    <cellStyle name="Normal 5 3 3 4" xfId="15245" xr:uid="{00000000-0005-0000-0000-0000B53B0000}"/>
    <cellStyle name="Normal 5 3 3 5" xfId="15246" xr:uid="{00000000-0005-0000-0000-0000B63B0000}"/>
    <cellStyle name="Normal 5 3 4" xfId="15247" xr:uid="{00000000-0005-0000-0000-0000B73B0000}"/>
    <cellStyle name="Normal 5 3 4 2" xfId="15248" xr:uid="{00000000-0005-0000-0000-0000B83B0000}"/>
    <cellStyle name="Normal 5 3 4 2 2" xfId="15249" xr:uid="{00000000-0005-0000-0000-0000B93B0000}"/>
    <cellStyle name="Normal 5 3 4 2 3" xfId="15250" xr:uid="{00000000-0005-0000-0000-0000BA3B0000}"/>
    <cellStyle name="Normal 5 3 4 3" xfId="15251" xr:uid="{00000000-0005-0000-0000-0000BB3B0000}"/>
    <cellStyle name="Normal 5 3 4 4" xfId="15252" xr:uid="{00000000-0005-0000-0000-0000BC3B0000}"/>
    <cellStyle name="Normal 5 3 5" xfId="15253" xr:uid="{00000000-0005-0000-0000-0000BD3B0000}"/>
    <cellStyle name="Normal 5 3 5 2" xfId="15254" xr:uid="{00000000-0005-0000-0000-0000BE3B0000}"/>
    <cellStyle name="Normal 5 3 5 3" xfId="15255" xr:uid="{00000000-0005-0000-0000-0000BF3B0000}"/>
    <cellStyle name="Normal 5 3 6" xfId="15256" xr:uid="{00000000-0005-0000-0000-0000C03B0000}"/>
    <cellStyle name="Normal 5 3 7" xfId="15257" xr:uid="{00000000-0005-0000-0000-0000C13B0000}"/>
    <cellStyle name="Normal 5 4" xfId="15258" xr:uid="{00000000-0005-0000-0000-0000C23B0000}"/>
    <cellStyle name="Normal 5 4 2" xfId="15259" xr:uid="{00000000-0005-0000-0000-0000C33B0000}"/>
    <cellStyle name="Normal 5 4 3" xfId="15260" xr:uid="{00000000-0005-0000-0000-0000C43B0000}"/>
    <cellStyle name="Normal 5 4 3 2" xfId="15261" xr:uid="{00000000-0005-0000-0000-0000C53B0000}"/>
    <cellStyle name="Normal 5 4 3 2 2" xfId="15262" xr:uid="{00000000-0005-0000-0000-0000C63B0000}"/>
    <cellStyle name="Normal 5 4 3 2 2 2" xfId="15263" xr:uid="{00000000-0005-0000-0000-0000C73B0000}"/>
    <cellStyle name="Normal 5 4 3 2 2 3" xfId="15264" xr:uid="{00000000-0005-0000-0000-0000C83B0000}"/>
    <cellStyle name="Normal 5 4 3 2 3" xfId="15265" xr:uid="{00000000-0005-0000-0000-0000C93B0000}"/>
    <cellStyle name="Normal 5 4 3 2 4" xfId="15266" xr:uid="{00000000-0005-0000-0000-0000CA3B0000}"/>
    <cellStyle name="Normal 5 4 3 3" xfId="15267" xr:uid="{00000000-0005-0000-0000-0000CB3B0000}"/>
    <cellStyle name="Normal 5 4 3 3 2" xfId="15268" xr:uid="{00000000-0005-0000-0000-0000CC3B0000}"/>
    <cellStyle name="Normal 5 4 3 3 3" xfId="15269" xr:uid="{00000000-0005-0000-0000-0000CD3B0000}"/>
    <cellStyle name="Normal 5 4 3 4" xfId="15270" xr:uid="{00000000-0005-0000-0000-0000CE3B0000}"/>
    <cellStyle name="Normal 5 4 3 5" xfId="15271" xr:uid="{00000000-0005-0000-0000-0000CF3B0000}"/>
    <cellStyle name="Normal 5 4 4" xfId="15272" xr:uid="{00000000-0005-0000-0000-0000D03B0000}"/>
    <cellStyle name="Normal 5 4 4 2" xfId="15273" xr:uid="{00000000-0005-0000-0000-0000D13B0000}"/>
    <cellStyle name="Normal 5 4 4 2 2" xfId="15274" xr:uid="{00000000-0005-0000-0000-0000D23B0000}"/>
    <cellStyle name="Normal 5 4 4 2 3" xfId="15275" xr:uid="{00000000-0005-0000-0000-0000D33B0000}"/>
    <cellStyle name="Normal 5 4 4 3" xfId="15276" xr:uid="{00000000-0005-0000-0000-0000D43B0000}"/>
    <cellStyle name="Normal 5 4 4 4" xfId="15277" xr:uid="{00000000-0005-0000-0000-0000D53B0000}"/>
    <cellStyle name="Normal 5 4 5" xfId="15278" xr:uid="{00000000-0005-0000-0000-0000D63B0000}"/>
    <cellStyle name="Normal 5 4 5 2" xfId="15279" xr:uid="{00000000-0005-0000-0000-0000D73B0000}"/>
    <cellStyle name="Normal 5 4 5 3" xfId="15280" xr:uid="{00000000-0005-0000-0000-0000D83B0000}"/>
    <cellStyle name="Normal 5 4 6" xfId="15281" xr:uid="{00000000-0005-0000-0000-0000D93B0000}"/>
    <cellStyle name="Normal 5 4 7" xfId="15282" xr:uid="{00000000-0005-0000-0000-0000DA3B0000}"/>
    <cellStyle name="Normal 5 5" xfId="15283" xr:uid="{00000000-0005-0000-0000-0000DB3B0000}"/>
    <cellStyle name="Normal 5 5 2" xfId="15284" xr:uid="{00000000-0005-0000-0000-0000DC3B0000}"/>
    <cellStyle name="Normal 5 5 3" xfId="15285" xr:uid="{00000000-0005-0000-0000-0000DD3B0000}"/>
    <cellStyle name="Normal 5 5 3 2" xfId="15286" xr:uid="{00000000-0005-0000-0000-0000DE3B0000}"/>
    <cellStyle name="Normal 5 5 3 2 2" xfId="15287" xr:uid="{00000000-0005-0000-0000-0000DF3B0000}"/>
    <cellStyle name="Normal 5 5 3 2 2 2" xfId="15288" xr:uid="{00000000-0005-0000-0000-0000E03B0000}"/>
    <cellStyle name="Normal 5 5 3 2 2 3" xfId="15289" xr:uid="{00000000-0005-0000-0000-0000E13B0000}"/>
    <cellStyle name="Normal 5 5 3 2 3" xfId="15290" xr:uid="{00000000-0005-0000-0000-0000E23B0000}"/>
    <cellStyle name="Normal 5 5 3 2 4" xfId="15291" xr:uid="{00000000-0005-0000-0000-0000E33B0000}"/>
    <cellStyle name="Normal 5 5 3 3" xfId="15292" xr:uid="{00000000-0005-0000-0000-0000E43B0000}"/>
    <cellStyle name="Normal 5 5 3 3 2" xfId="15293" xr:uid="{00000000-0005-0000-0000-0000E53B0000}"/>
    <cellStyle name="Normal 5 5 3 3 3" xfId="15294" xr:uid="{00000000-0005-0000-0000-0000E63B0000}"/>
    <cellStyle name="Normal 5 5 3 4" xfId="15295" xr:uid="{00000000-0005-0000-0000-0000E73B0000}"/>
    <cellStyle name="Normal 5 5 3 5" xfId="15296" xr:uid="{00000000-0005-0000-0000-0000E83B0000}"/>
    <cellStyle name="Normal 5 5 4" xfId="15297" xr:uid="{00000000-0005-0000-0000-0000E93B0000}"/>
    <cellStyle name="Normal 5 5 4 2" xfId="15298" xr:uid="{00000000-0005-0000-0000-0000EA3B0000}"/>
    <cellStyle name="Normal 5 5 4 2 2" xfId="15299" xr:uid="{00000000-0005-0000-0000-0000EB3B0000}"/>
    <cellStyle name="Normal 5 5 4 2 3" xfId="15300" xr:uid="{00000000-0005-0000-0000-0000EC3B0000}"/>
    <cellStyle name="Normal 5 5 4 3" xfId="15301" xr:uid="{00000000-0005-0000-0000-0000ED3B0000}"/>
    <cellStyle name="Normal 5 5 4 4" xfId="15302" xr:uid="{00000000-0005-0000-0000-0000EE3B0000}"/>
    <cellStyle name="Normal 5 5 5" xfId="15303" xr:uid="{00000000-0005-0000-0000-0000EF3B0000}"/>
    <cellStyle name="Normal 5 5 5 2" xfId="15304" xr:uid="{00000000-0005-0000-0000-0000F03B0000}"/>
    <cellStyle name="Normal 5 5 5 3" xfId="15305" xr:uid="{00000000-0005-0000-0000-0000F13B0000}"/>
    <cellStyle name="Normal 5 5 6" xfId="15306" xr:uid="{00000000-0005-0000-0000-0000F23B0000}"/>
    <cellStyle name="Normal 5 5 7" xfId="15307" xr:uid="{00000000-0005-0000-0000-0000F33B0000}"/>
    <cellStyle name="Normal 5 6" xfId="15308" xr:uid="{00000000-0005-0000-0000-0000F43B0000}"/>
    <cellStyle name="Normal 5 6 2" xfId="15309" xr:uid="{00000000-0005-0000-0000-0000F53B0000}"/>
    <cellStyle name="Normal 5 6 3" xfId="15310" xr:uid="{00000000-0005-0000-0000-0000F63B0000}"/>
    <cellStyle name="Normal 5 6 3 2" xfId="15311" xr:uid="{00000000-0005-0000-0000-0000F73B0000}"/>
    <cellStyle name="Normal 5 6 3 2 2" xfId="15312" xr:uid="{00000000-0005-0000-0000-0000F83B0000}"/>
    <cellStyle name="Normal 5 6 3 2 2 2" xfId="15313" xr:uid="{00000000-0005-0000-0000-0000F93B0000}"/>
    <cellStyle name="Normal 5 6 3 2 2 3" xfId="15314" xr:uid="{00000000-0005-0000-0000-0000FA3B0000}"/>
    <cellStyle name="Normal 5 6 3 2 3" xfId="15315" xr:uid="{00000000-0005-0000-0000-0000FB3B0000}"/>
    <cellStyle name="Normal 5 6 3 2 4" xfId="15316" xr:uid="{00000000-0005-0000-0000-0000FC3B0000}"/>
    <cellStyle name="Normal 5 6 3 3" xfId="15317" xr:uid="{00000000-0005-0000-0000-0000FD3B0000}"/>
    <cellStyle name="Normal 5 6 3 3 2" xfId="15318" xr:uid="{00000000-0005-0000-0000-0000FE3B0000}"/>
    <cellStyle name="Normal 5 6 3 3 3" xfId="15319" xr:uid="{00000000-0005-0000-0000-0000FF3B0000}"/>
    <cellStyle name="Normal 5 6 3 4" xfId="15320" xr:uid="{00000000-0005-0000-0000-0000003C0000}"/>
    <cellStyle name="Normal 5 6 3 5" xfId="15321" xr:uid="{00000000-0005-0000-0000-0000013C0000}"/>
    <cellStyle name="Normal 5 6 4" xfId="15322" xr:uid="{00000000-0005-0000-0000-0000023C0000}"/>
    <cellStyle name="Normal 5 6 4 2" xfId="15323" xr:uid="{00000000-0005-0000-0000-0000033C0000}"/>
    <cellStyle name="Normal 5 6 4 2 2" xfId="15324" xr:uid="{00000000-0005-0000-0000-0000043C0000}"/>
    <cellStyle name="Normal 5 6 4 2 3" xfId="15325" xr:uid="{00000000-0005-0000-0000-0000053C0000}"/>
    <cellStyle name="Normal 5 6 4 3" xfId="15326" xr:uid="{00000000-0005-0000-0000-0000063C0000}"/>
    <cellStyle name="Normal 5 6 4 4" xfId="15327" xr:uid="{00000000-0005-0000-0000-0000073C0000}"/>
    <cellStyle name="Normal 5 6 5" xfId="15328" xr:uid="{00000000-0005-0000-0000-0000083C0000}"/>
    <cellStyle name="Normal 5 6 5 2" xfId="15329" xr:uid="{00000000-0005-0000-0000-0000093C0000}"/>
    <cellStyle name="Normal 5 6 5 3" xfId="15330" xr:uid="{00000000-0005-0000-0000-00000A3C0000}"/>
    <cellStyle name="Normal 5 6 6" xfId="15331" xr:uid="{00000000-0005-0000-0000-00000B3C0000}"/>
    <cellStyle name="Normal 5 6 7" xfId="15332" xr:uid="{00000000-0005-0000-0000-00000C3C0000}"/>
    <cellStyle name="Normal 5 7" xfId="15333" xr:uid="{00000000-0005-0000-0000-00000D3C0000}"/>
    <cellStyle name="Normal 5 7 2" xfId="15334" xr:uid="{00000000-0005-0000-0000-00000E3C0000}"/>
    <cellStyle name="Normal 5 7 3" xfId="15335" xr:uid="{00000000-0005-0000-0000-00000F3C0000}"/>
    <cellStyle name="Normal 5 7 3 2" xfId="15336" xr:uid="{00000000-0005-0000-0000-0000103C0000}"/>
    <cellStyle name="Normal 5 7 3 2 2" xfId="15337" xr:uid="{00000000-0005-0000-0000-0000113C0000}"/>
    <cellStyle name="Normal 5 7 3 2 2 2" xfId="15338" xr:uid="{00000000-0005-0000-0000-0000123C0000}"/>
    <cellStyle name="Normal 5 7 3 2 2 3" xfId="15339" xr:uid="{00000000-0005-0000-0000-0000133C0000}"/>
    <cellStyle name="Normal 5 7 3 2 3" xfId="15340" xr:uid="{00000000-0005-0000-0000-0000143C0000}"/>
    <cellStyle name="Normal 5 7 3 2 4" xfId="15341" xr:uid="{00000000-0005-0000-0000-0000153C0000}"/>
    <cellStyle name="Normal 5 7 3 3" xfId="15342" xr:uid="{00000000-0005-0000-0000-0000163C0000}"/>
    <cellStyle name="Normal 5 7 3 3 2" xfId="15343" xr:uid="{00000000-0005-0000-0000-0000173C0000}"/>
    <cellStyle name="Normal 5 7 3 3 3" xfId="15344" xr:uid="{00000000-0005-0000-0000-0000183C0000}"/>
    <cellStyle name="Normal 5 7 3 4" xfId="15345" xr:uid="{00000000-0005-0000-0000-0000193C0000}"/>
    <cellStyle name="Normal 5 7 3 5" xfId="15346" xr:uid="{00000000-0005-0000-0000-00001A3C0000}"/>
    <cellStyle name="Normal 5 7 4" xfId="15347" xr:uid="{00000000-0005-0000-0000-00001B3C0000}"/>
    <cellStyle name="Normal 5 7 4 2" xfId="15348" xr:uid="{00000000-0005-0000-0000-00001C3C0000}"/>
    <cellStyle name="Normal 5 7 4 2 2" xfId="15349" xr:uid="{00000000-0005-0000-0000-00001D3C0000}"/>
    <cellStyle name="Normal 5 7 4 2 3" xfId="15350" xr:uid="{00000000-0005-0000-0000-00001E3C0000}"/>
    <cellStyle name="Normal 5 7 4 3" xfId="15351" xr:uid="{00000000-0005-0000-0000-00001F3C0000}"/>
    <cellStyle name="Normal 5 7 4 4" xfId="15352" xr:uid="{00000000-0005-0000-0000-0000203C0000}"/>
    <cellStyle name="Normal 5 7 5" xfId="15353" xr:uid="{00000000-0005-0000-0000-0000213C0000}"/>
    <cellStyle name="Normal 5 7 5 2" xfId="15354" xr:uid="{00000000-0005-0000-0000-0000223C0000}"/>
    <cellStyle name="Normal 5 7 5 3" xfId="15355" xr:uid="{00000000-0005-0000-0000-0000233C0000}"/>
    <cellStyle name="Normal 5 7 6" xfId="15356" xr:uid="{00000000-0005-0000-0000-0000243C0000}"/>
    <cellStyle name="Normal 5 7 7" xfId="15357" xr:uid="{00000000-0005-0000-0000-0000253C0000}"/>
    <cellStyle name="Normal 5 8" xfId="15358" xr:uid="{00000000-0005-0000-0000-0000263C0000}"/>
    <cellStyle name="Normal 5 9" xfId="15359" xr:uid="{00000000-0005-0000-0000-0000273C0000}"/>
    <cellStyle name="Normal 5_GRCW" xfId="32" xr:uid="{00000000-0005-0000-0000-0000283C0000}"/>
    <cellStyle name="Normal 50" xfId="15360" xr:uid="{00000000-0005-0000-0000-0000293C0000}"/>
    <cellStyle name="Normal 50 2" xfId="15361" xr:uid="{00000000-0005-0000-0000-00002A3C0000}"/>
    <cellStyle name="Normal 50 2 2" xfId="15362" xr:uid="{00000000-0005-0000-0000-00002B3C0000}"/>
    <cellStyle name="Normal 50 2 2 2" xfId="15363" xr:uid="{00000000-0005-0000-0000-00002C3C0000}"/>
    <cellStyle name="Normal 50 2 2 2 2" xfId="15364" xr:uid="{00000000-0005-0000-0000-00002D3C0000}"/>
    <cellStyle name="Normal 50 2 2 2 3" xfId="15365" xr:uid="{00000000-0005-0000-0000-00002E3C0000}"/>
    <cellStyle name="Normal 50 2 2 3" xfId="15366" xr:uid="{00000000-0005-0000-0000-00002F3C0000}"/>
    <cellStyle name="Normal 50 2 2 4" xfId="15367" xr:uid="{00000000-0005-0000-0000-0000303C0000}"/>
    <cellStyle name="Normal 50 2 3" xfId="15368" xr:uid="{00000000-0005-0000-0000-0000313C0000}"/>
    <cellStyle name="Normal 50 2 3 2" xfId="15369" xr:uid="{00000000-0005-0000-0000-0000323C0000}"/>
    <cellStyle name="Normal 50 2 3 3" xfId="15370" xr:uid="{00000000-0005-0000-0000-0000333C0000}"/>
    <cellStyle name="Normal 50 2 4" xfId="15371" xr:uid="{00000000-0005-0000-0000-0000343C0000}"/>
    <cellStyle name="Normal 50 2 5" xfId="15372" xr:uid="{00000000-0005-0000-0000-0000353C0000}"/>
    <cellStyle name="Normal 50 3" xfId="15373" xr:uid="{00000000-0005-0000-0000-0000363C0000}"/>
    <cellStyle name="Normal 50 3 2" xfId="15374" xr:uid="{00000000-0005-0000-0000-0000373C0000}"/>
    <cellStyle name="Normal 50 3 2 2" xfId="15375" xr:uid="{00000000-0005-0000-0000-0000383C0000}"/>
    <cellStyle name="Normal 50 3 2 3" xfId="15376" xr:uid="{00000000-0005-0000-0000-0000393C0000}"/>
    <cellStyle name="Normal 50 3 3" xfId="15377" xr:uid="{00000000-0005-0000-0000-00003A3C0000}"/>
    <cellStyle name="Normal 50 3 4" xfId="15378" xr:uid="{00000000-0005-0000-0000-00003B3C0000}"/>
    <cellStyle name="Normal 50 4" xfId="15379" xr:uid="{00000000-0005-0000-0000-00003C3C0000}"/>
    <cellStyle name="Normal 50 4 2" xfId="15380" xr:uid="{00000000-0005-0000-0000-00003D3C0000}"/>
    <cellStyle name="Normal 50 4 3" xfId="15381" xr:uid="{00000000-0005-0000-0000-00003E3C0000}"/>
    <cellStyle name="Normal 50 5" xfId="15382" xr:uid="{00000000-0005-0000-0000-00003F3C0000}"/>
    <cellStyle name="Normal 50 6" xfId="15383" xr:uid="{00000000-0005-0000-0000-0000403C0000}"/>
    <cellStyle name="Normal 51" xfId="15384" xr:uid="{00000000-0005-0000-0000-0000413C0000}"/>
    <cellStyle name="Normal 51 2" xfId="15385" xr:uid="{00000000-0005-0000-0000-0000423C0000}"/>
    <cellStyle name="Normal 51 3" xfId="15386" xr:uid="{00000000-0005-0000-0000-0000433C0000}"/>
    <cellStyle name="Normal 51 3 2" xfId="15387" xr:uid="{00000000-0005-0000-0000-0000443C0000}"/>
    <cellStyle name="Normal 51 3 2 2" xfId="15388" xr:uid="{00000000-0005-0000-0000-0000453C0000}"/>
    <cellStyle name="Normal 51 3 2 3" xfId="15389" xr:uid="{00000000-0005-0000-0000-0000463C0000}"/>
    <cellStyle name="Normal 51 3 3" xfId="15390" xr:uid="{00000000-0005-0000-0000-0000473C0000}"/>
    <cellStyle name="Normal 51 3 4" xfId="15391" xr:uid="{00000000-0005-0000-0000-0000483C0000}"/>
    <cellStyle name="Normal 51 4" xfId="15392" xr:uid="{00000000-0005-0000-0000-0000493C0000}"/>
    <cellStyle name="Normal 51 4 2" xfId="15393" xr:uid="{00000000-0005-0000-0000-00004A3C0000}"/>
    <cellStyle name="Normal 51 4 3" xfId="15394" xr:uid="{00000000-0005-0000-0000-00004B3C0000}"/>
    <cellStyle name="Normal 51 5" xfId="15395" xr:uid="{00000000-0005-0000-0000-00004C3C0000}"/>
    <cellStyle name="Normal 51 6" xfId="15396" xr:uid="{00000000-0005-0000-0000-00004D3C0000}"/>
    <cellStyle name="Normal 52" xfId="15397" xr:uid="{00000000-0005-0000-0000-00004E3C0000}"/>
    <cellStyle name="Normal 52 2" xfId="15398" xr:uid="{00000000-0005-0000-0000-00004F3C0000}"/>
    <cellStyle name="Normal 52 2 2" xfId="15399" xr:uid="{00000000-0005-0000-0000-0000503C0000}"/>
    <cellStyle name="Normal 52 2 3" xfId="15400" xr:uid="{00000000-0005-0000-0000-0000513C0000}"/>
    <cellStyle name="Normal 52 3" xfId="15401" xr:uid="{00000000-0005-0000-0000-0000523C0000}"/>
    <cellStyle name="Normal 52 4" xfId="15402" xr:uid="{00000000-0005-0000-0000-0000533C0000}"/>
    <cellStyle name="Normal 53" xfId="15403" xr:uid="{00000000-0005-0000-0000-0000543C0000}"/>
    <cellStyle name="Normal 54" xfId="15404" xr:uid="{00000000-0005-0000-0000-0000553C0000}"/>
    <cellStyle name="Normal 54 2" xfId="15405" xr:uid="{00000000-0005-0000-0000-0000563C0000}"/>
    <cellStyle name="Normal 54 3" xfId="15406" xr:uid="{00000000-0005-0000-0000-0000573C0000}"/>
    <cellStyle name="Normal 55" xfId="15407" xr:uid="{00000000-0005-0000-0000-0000583C0000}"/>
    <cellStyle name="Normal 56" xfId="15408" xr:uid="{00000000-0005-0000-0000-0000593C0000}"/>
    <cellStyle name="Normal 57" xfId="15409" xr:uid="{00000000-0005-0000-0000-00005A3C0000}"/>
    <cellStyle name="Normal 58" xfId="15410" xr:uid="{00000000-0005-0000-0000-00005B3C0000}"/>
    <cellStyle name="Normal 59" xfId="15411" xr:uid="{00000000-0005-0000-0000-00005C3C0000}"/>
    <cellStyle name="Normal 59 2" xfId="21935" xr:uid="{00000000-0005-0000-0000-00005D3C0000}"/>
    <cellStyle name="Normal 6" xfId="33" xr:uid="{00000000-0005-0000-0000-00005E3C0000}"/>
    <cellStyle name="Normal 6 2" xfId="15412" xr:uid="{00000000-0005-0000-0000-00005F3C0000}"/>
    <cellStyle name="Normal 6 2 2" xfId="15413" xr:uid="{00000000-0005-0000-0000-0000603C0000}"/>
    <cellStyle name="Normal 6 3" xfId="15414" xr:uid="{00000000-0005-0000-0000-0000613C0000}"/>
    <cellStyle name="Normal 6 4" xfId="15415" xr:uid="{00000000-0005-0000-0000-0000623C0000}"/>
    <cellStyle name="Normal 6 5" xfId="15416" xr:uid="{00000000-0005-0000-0000-0000633C0000}"/>
    <cellStyle name="Normal 6 5 2" xfId="15417" xr:uid="{00000000-0005-0000-0000-0000643C0000}"/>
    <cellStyle name="Normal 6 6" xfId="15418" xr:uid="{00000000-0005-0000-0000-0000653C0000}"/>
    <cellStyle name="Normal 6 6 2" xfId="15419" xr:uid="{00000000-0005-0000-0000-0000663C0000}"/>
    <cellStyle name="Normal 6 7" xfId="15420" xr:uid="{00000000-0005-0000-0000-0000673C0000}"/>
    <cellStyle name="Normal 6 8" xfId="15421" xr:uid="{00000000-0005-0000-0000-0000683C0000}"/>
    <cellStyle name="Normal 60" xfId="21841" xr:uid="{00000000-0005-0000-0000-0000693C0000}"/>
    <cellStyle name="Normal 61" xfId="21930" xr:uid="{00000000-0005-0000-0000-00006A3C0000}"/>
    <cellStyle name="Normal 62" xfId="21931" xr:uid="{00000000-0005-0000-0000-00006B3C0000}"/>
    <cellStyle name="Normal 63" xfId="21936" xr:uid="{0FA932C1-6F92-44BB-8C49-A1B1842A6E0F}"/>
    <cellStyle name="Normal 7" xfId="34" xr:uid="{00000000-0005-0000-0000-00006C3C0000}"/>
    <cellStyle name="Normal 7 10" xfId="15422" xr:uid="{00000000-0005-0000-0000-00006D3C0000}"/>
    <cellStyle name="Normal 7 10 2" xfId="15423" xr:uid="{00000000-0005-0000-0000-00006E3C0000}"/>
    <cellStyle name="Normal 7 10 2 2" xfId="15424" xr:uid="{00000000-0005-0000-0000-00006F3C0000}"/>
    <cellStyle name="Normal 7 10 2 2 2" xfId="15425" xr:uid="{00000000-0005-0000-0000-0000703C0000}"/>
    <cellStyle name="Normal 7 10 2 2 2 2" xfId="15426" xr:uid="{00000000-0005-0000-0000-0000713C0000}"/>
    <cellStyle name="Normal 7 10 2 2 2 3" xfId="15427" xr:uid="{00000000-0005-0000-0000-0000723C0000}"/>
    <cellStyle name="Normal 7 10 2 2 3" xfId="15428" xr:uid="{00000000-0005-0000-0000-0000733C0000}"/>
    <cellStyle name="Normal 7 10 2 2 4" xfId="15429" xr:uid="{00000000-0005-0000-0000-0000743C0000}"/>
    <cellStyle name="Normal 7 10 2 3" xfId="15430" xr:uid="{00000000-0005-0000-0000-0000753C0000}"/>
    <cellStyle name="Normal 7 10 2 3 2" xfId="15431" xr:uid="{00000000-0005-0000-0000-0000763C0000}"/>
    <cellStyle name="Normal 7 10 2 3 3" xfId="15432" xr:uid="{00000000-0005-0000-0000-0000773C0000}"/>
    <cellStyle name="Normal 7 10 2 4" xfId="15433" xr:uid="{00000000-0005-0000-0000-0000783C0000}"/>
    <cellStyle name="Normal 7 10 2 5" xfId="15434" xr:uid="{00000000-0005-0000-0000-0000793C0000}"/>
    <cellStyle name="Normal 7 10 3" xfId="15435" xr:uid="{00000000-0005-0000-0000-00007A3C0000}"/>
    <cellStyle name="Normal 7 10 3 2" xfId="15436" xr:uid="{00000000-0005-0000-0000-00007B3C0000}"/>
    <cellStyle name="Normal 7 10 3 2 2" xfId="15437" xr:uid="{00000000-0005-0000-0000-00007C3C0000}"/>
    <cellStyle name="Normal 7 10 3 2 3" xfId="15438" xr:uid="{00000000-0005-0000-0000-00007D3C0000}"/>
    <cellStyle name="Normal 7 10 3 3" xfId="15439" xr:uid="{00000000-0005-0000-0000-00007E3C0000}"/>
    <cellStyle name="Normal 7 10 3 4" xfId="15440" xr:uid="{00000000-0005-0000-0000-00007F3C0000}"/>
    <cellStyle name="Normal 7 10 4" xfId="15441" xr:uid="{00000000-0005-0000-0000-0000803C0000}"/>
    <cellStyle name="Normal 7 10 4 2" xfId="15442" xr:uid="{00000000-0005-0000-0000-0000813C0000}"/>
    <cellStyle name="Normal 7 10 4 3" xfId="15443" xr:uid="{00000000-0005-0000-0000-0000823C0000}"/>
    <cellStyle name="Normal 7 10 5" xfId="15444" xr:uid="{00000000-0005-0000-0000-0000833C0000}"/>
    <cellStyle name="Normal 7 10 6" xfId="15445" xr:uid="{00000000-0005-0000-0000-0000843C0000}"/>
    <cellStyle name="Normal 7 11" xfId="15446" xr:uid="{00000000-0005-0000-0000-0000853C0000}"/>
    <cellStyle name="Normal 7 11 2" xfId="15447" xr:uid="{00000000-0005-0000-0000-0000863C0000}"/>
    <cellStyle name="Normal 7 11 2 2" xfId="15448" xr:uid="{00000000-0005-0000-0000-0000873C0000}"/>
    <cellStyle name="Normal 7 11 2 2 2" xfId="15449" xr:uid="{00000000-0005-0000-0000-0000883C0000}"/>
    <cellStyle name="Normal 7 11 2 2 2 2" xfId="15450" xr:uid="{00000000-0005-0000-0000-0000893C0000}"/>
    <cellStyle name="Normal 7 11 2 2 2 3" xfId="15451" xr:uid="{00000000-0005-0000-0000-00008A3C0000}"/>
    <cellStyle name="Normal 7 11 2 2 3" xfId="15452" xr:uid="{00000000-0005-0000-0000-00008B3C0000}"/>
    <cellStyle name="Normal 7 11 2 2 4" xfId="15453" xr:uid="{00000000-0005-0000-0000-00008C3C0000}"/>
    <cellStyle name="Normal 7 11 2 3" xfId="15454" xr:uid="{00000000-0005-0000-0000-00008D3C0000}"/>
    <cellStyle name="Normal 7 11 2 3 2" xfId="15455" xr:uid="{00000000-0005-0000-0000-00008E3C0000}"/>
    <cellStyle name="Normal 7 11 2 3 3" xfId="15456" xr:uid="{00000000-0005-0000-0000-00008F3C0000}"/>
    <cellStyle name="Normal 7 11 2 4" xfId="15457" xr:uid="{00000000-0005-0000-0000-0000903C0000}"/>
    <cellStyle name="Normal 7 11 2 5" xfId="15458" xr:uid="{00000000-0005-0000-0000-0000913C0000}"/>
    <cellStyle name="Normal 7 11 3" xfId="15459" xr:uid="{00000000-0005-0000-0000-0000923C0000}"/>
    <cellStyle name="Normal 7 11 3 2" xfId="15460" xr:uid="{00000000-0005-0000-0000-0000933C0000}"/>
    <cellStyle name="Normal 7 11 3 2 2" xfId="15461" xr:uid="{00000000-0005-0000-0000-0000943C0000}"/>
    <cellStyle name="Normal 7 11 3 2 3" xfId="15462" xr:uid="{00000000-0005-0000-0000-0000953C0000}"/>
    <cellStyle name="Normal 7 11 3 3" xfId="15463" xr:uid="{00000000-0005-0000-0000-0000963C0000}"/>
    <cellStyle name="Normal 7 11 3 4" xfId="15464" xr:uid="{00000000-0005-0000-0000-0000973C0000}"/>
    <cellStyle name="Normal 7 11 4" xfId="15465" xr:uid="{00000000-0005-0000-0000-0000983C0000}"/>
    <cellStyle name="Normal 7 11 4 2" xfId="15466" xr:uid="{00000000-0005-0000-0000-0000993C0000}"/>
    <cellStyle name="Normal 7 11 4 3" xfId="15467" xr:uid="{00000000-0005-0000-0000-00009A3C0000}"/>
    <cellStyle name="Normal 7 11 5" xfId="15468" xr:uid="{00000000-0005-0000-0000-00009B3C0000}"/>
    <cellStyle name="Normal 7 11 6" xfId="15469" xr:uid="{00000000-0005-0000-0000-00009C3C0000}"/>
    <cellStyle name="Normal 7 12" xfId="15470" xr:uid="{00000000-0005-0000-0000-00009D3C0000}"/>
    <cellStyle name="Normal 7 12 2" xfId="15471" xr:uid="{00000000-0005-0000-0000-00009E3C0000}"/>
    <cellStyle name="Normal 7 12 2 2" xfId="15472" xr:uid="{00000000-0005-0000-0000-00009F3C0000}"/>
    <cellStyle name="Normal 7 12 2 2 2" xfId="15473" xr:uid="{00000000-0005-0000-0000-0000A03C0000}"/>
    <cellStyle name="Normal 7 12 2 2 2 2" xfId="15474" xr:uid="{00000000-0005-0000-0000-0000A13C0000}"/>
    <cellStyle name="Normal 7 12 2 2 2 3" xfId="15475" xr:uid="{00000000-0005-0000-0000-0000A23C0000}"/>
    <cellStyle name="Normal 7 12 2 2 3" xfId="15476" xr:uid="{00000000-0005-0000-0000-0000A33C0000}"/>
    <cellStyle name="Normal 7 12 2 2 4" xfId="15477" xr:uid="{00000000-0005-0000-0000-0000A43C0000}"/>
    <cellStyle name="Normal 7 12 2 3" xfId="15478" xr:uid="{00000000-0005-0000-0000-0000A53C0000}"/>
    <cellStyle name="Normal 7 12 2 3 2" xfId="15479" xr:uid="{00000000-0005-0000-0000-0000A63C0000}"/>
    <cellStyle name="Normal 7 12 2 3 3" xfId="15480" xr:uid="{00000000-0005-0000-0000-0000A73C0000}"/>
    <cellStyle name="Normal 7 12 2 4" xfId="15481" xr:uid="{00000000-0005-0000-0000-0000A83C0000}"/>
    <cellStyle name="Normal 7 12 2 5" xfId="15482" xr:uid="{00000000-0005-0000-0000-0000A93C0000}"/>
    <cellStyle name="Normal 7 12 3" xfId="15483" xr:uid="{00000000-0005-0000-0000-0000AA3C0000}"/>
    <cellStyle name="Normal 7 12 3 2" xfId="15484" xr:uid="{00000000-0005-0000-0000-0000AB3C0000}"/>
    <cellStyle name="Normal 7 12 3 2 2" xfId="15485" xr:uid="{00000000-0005-0000-0000-0000AC3C0000}"/>
    <cellStyle name="Normal 7 12 3 2 3" xfId="15486" xr:uid="{00000000-0005-0000-0000-0000AD3C0000}"/>
    <cellStyle name="Normal 7 12 3 3" xfId="15487" xr:uid="{00000000-0005-0000-0000-0000AE3C0000}"/>
    <cellStyle name="Normal 7 12 3 4" xfId="15488" xr:uid="{00000000-0005-0000-0000-0000AF3C0000}"/>
    <cellStyle name="Normal 7 12 4" xfId="15489" xr:uid="{00000000-0005-0000-0000-0000B03C0000}"/>
    <cellStyle name="Normal 7 12 4 2" xfId="15490" xr:uid="{00000000-0005-0000-0000-0000B13C0000}"/>
    <cellStyle name="Normal 7 12 4 3" xfId="15491" xr:uid="{00000000-0005-0000-0000-0000B23C0000}"/>
    <cellStyle name="Normal 7 12 5" xfId="15492" xr:uid="{00000000-0005-0000-0000-0000B33C0000}"/>
    <cellStyle name="Normal 7 12 6" xfId="15493" xr:uid="{00000000-0005-0000-0000-0000B43C0000}"/>
    <cellStyle name="Normal 7 13" xfId="15494" xr:uid="{00000000-0005-0000-0000-0000B53C0000}"/>
    <cellStyle name="Normal 7 13 2" xfId="15495" xr:uid="{00000000-0005-0000-0000-0000B63C0000}"/>
    <cellStyle name="Normal 7 13 2 2" xfId="15496" xr:uid="{00000000-0005-0000-0000-0000B73C0000}"/>
    <cellStyle name="Normal 7 13 2 2 2" xfId="15497" xr:uid="{00000000-0005-0000-0000-0000B83C0000}"/>
    <cellStyle name="Normal 7 13 2 2 2 2" xfId="15498" xr:uid="{00000000-0005-0000-0000-0000B93C0000}"/>
    <cellStyle name="Normal 7 13 2 2 2 3" xfId="15499" xr:uid="{00000000-0005-0000-0000-0000BA3C0000}"/>
    <cellStyle name="Normal 7 13 2 2 3" xfId="15500" xr:uid="{00000000-0005-0000-0000-0000BB3C0000}"/>
    <cellStyle name="Normal 7 13 2 2 4" xfId="15501" xr:uid="{00000000-0005-0000-0000-0000BC3C0000}"/>
    <cellStyle name="Normal 7 13 2 3" xfId="15502" xr:uid="{00000000-0005-0000-0000-0000BD3C0000}"/>
    <cellStyle name="Normal 7 13 2 3 2" xfId="15503" xr:uid="{00000000-0005-0000-0000-0000BE3C0000}"/>
    <cellStyle name="Normal 7 13 2 3 3" xfId="15504" xr:uid="{00000000-0005-0000-0000-0000BF3C0000}"/>
    <cellStyle name="Normal 7 13 2 4" xfId="15505" xr:uid="{00000000-0005-0000-0000-0000C03C0000}"/>
    <cellStyle name="Normal 7 13 2 5" xfId="15506" xr:uid="{00000000-0005-0000-0000-0000C13C0000}"/>
    <cellStyle name="Normal 7 13 3" xfId="15507" xr:uid="{00000000-0005-0000-0000-0000C23C0000}"/>
    <cellStyle name="Normal 7 13 3 2" xfId="15508" xr:uid="{00000000-0005-0000-0000-0000C33C0000}"/>
    <cellStyle name="Normal 7 13 3 2 2" xfId="15509" xr:uid="{00000000-0005-0000-0000-0000C43C0000}"/>
    <cellStyle name="Normal 7 13 3 2 3" xfId="15510" xr:uid="{00000000-0005-0000-0000-0000C53C0000}"/>
    <cellStyle name="Normal 7 13 3 3" xfId="15511" xr:uid="{00000000-0005-0000-0000-0000C63C0000}"/>
    <cellStyle name="Normal 7 13 3 4" xfId="15512" xr:uid="{00000000-0005-0000-0000-0000C73C0000}"/>
    <cellStyle name="Normal 7 13 4" xfId="15513" xr:uid="{00000000-0005-0000-0000-0000C83C0000}"/>
    <cellStyle name="Normal 7 13 4 2" xfId="15514" xr:uid="{00000000-0005-0000-0000-0000C93C0000}"/>
    <cellStyle name="Normal 7 13 4 3" xfId="15515" xr:uid="{00000000-0005-0000-0000-0000CA3C0000}"/>
    <cellStyle name="Normal 7 13 5" xfId="15516" xr:uid="{00000000-0005-0000-0000-0000CB3C0000}"/>
    <cellStyle name="Normal 7 13 6" xfId="15517" xr:uid="{00000000-0005-0000-0000-0000CC3C0000}"/>
    <cellStyle name="Normal 7 14" xfId="15518" xr:uid="{00000000-0005-0000-0000-0000CD3C0000}"/>
    <cellStyle name="Normal 7 14 2" xfId="15519" xr:uid="{00000000-0005-0000-0000-0000CE3C0000}"/>
    <cellStyle name="Normal 7 14 2 2" xfId="15520" xr:uid="{00000000-0005-0000-0000-0000CF3C0000}"/>
    <cellStyle name="Normal 7 14 2 2 2" xfId="15521" xr:uid="{00000000-0005-0000-0000-0000D03C0000}"/>
    <cellStyle name="Normal 7 14 2 2 2 2" xfId="15522" xr:uid="{00000000-0005-0000-0000-0000D13C0000}"/>
    <cellStyle name="Normal 7 14 2 2 2 3" xfId="15523" xr:uid="{00000000-0005-0000-0000-0000D23C0000}"/>
    <cellStyle name="Normal 7 14 2 2 3" xfId="15524" xr:uid="{00000000-0005-0000-0000-0000D33C0000}"/>
    <cellStyle name="Normal 7 14 2 2 4" xfId="15525" xr:uid="{00000000-0005-0000-0000-0000D43C0000}"/>
    <cellStyle name="Normal 7 14 2 3" xfId="15526" xr:uid="{00000000-0005-0000-0000-0000D53C0000}"/>
    <cellStyle name="Normal 7 14 2 3 2" xfId="15527" xr:uid="{00000000-0005-0000-0000-0000D63C0000}"/>
    <cellStyle name="Normal 7 14 2 3 3" xfId="15528" xr:uid="{00000000-0005-0000-0000-0000D73C0000}"/>
    <cellStyle name="Normal 7 14 2 4" xfId="15529" xr:uid="{00000000-0005-0000-0000-0000D83C0000}"/>
    <cellStyle name="Normal 7 14 2 5" xfId="15530" xr:uid="{00000000-0005-0000-0000-0000D93C0000}"/>
    <cellStyle name="Normal 7 14 3" xfId="15531" xr:uid="{00000000-0005-0000-0000-0000DA3C0000}"/>
    <cellStyle name="Normal 7 14 3 2" xfId="15532" xr:uid="{00000000-0005-0000-0000-0000DB3C0000}"/>
    <cellStyle name="Normal 7 14 3 2 2" xfId="15533" xr:uid="{00000000-0005-0000-0000-0000DC3C0000}"/>
    <cellStyle name="Normal 7 14 3 2 3" xfId="15534" xr:uid="{00000000-0005-0000-0000-0000DD3C0000}"/>
    <cellStyle name="Normal 7 14 3 3" xfId="15535" xr:uid="{00000000-0005-0000-0000-0000DE3C0000}"/>
    <cellStyle name="Normal 7 14 3 4" xfId="15536" xr:uid="{00000000-0005-0000-0000-0000DF3C0000}"/>
    <cellStyle name="Normal 7 14 4" xfId="15537" xr:uid="{00000000-0005-0000-0000-0000E03C0000}"/>
    <cellStyle name="Normal 7 14 4 2" xfId="15538" xr:uid="{00000000-0005-0000-0000-0000E13C0000}"/>
    <cellStyle name="Normal 7 14 4 3" xfId="15539" xr:uid="{00000000-0005-0000-0000-0000E23C0000}"/>
    <cellStyle name="Normal 7 14 5" xfId="15540" xr:uid="{00000000-0005-0000-0000-0000E33C0000}"/>
    <cellStyle name="Normal 7 14 6" xfId="15541" xr:uid="{00000000-0005-0000-0000-0000E43C0000}"/>
    <cellStyle name="Normal 7 15" xfId="15542" xr:uid="{00000000-0005-0000-0000-0000E53C0000}"/>
    <cellStyle name="Normal 7 15 2" xfId="15543" xr:uid="{00000000-0005-0000-0000-0000E63C0000}"/>
    <cellStyle name="Normal 7 15 2 2" xfId="15544" xr:uid="{00000000-0005-0000-0000-0000E73C0000}"/>
    <cellStyle name="Normal 7 15 2 2 2" xfId="15545" xr:uid="{00000000-0005-0000-0000-0000E83C0000}"/>
    <cellStyle name="Normal 7 15 2 2 2 2" xfId="15546" xr:uid="{00000000-0005-0000-0000-0000E93C0000}"/>
    <cellStyle name="Normal 7 15 2 2 2 3" xfId="15547" xr:uid="{00000000-0005-0000-0000-0000EA3C0000}"/>
    <cellStyle name="Normal 7 15 2 2 3" xfId="15548" xr:uid="{00000000-0005-0000-0000-0000EB3C0000}"/>
    <cellStyle name="Normal 7 15 2 2 4" xfId="15549" xr:uid="{00000000-0005-0000-0000-0000EC3C0000}"/>
    <cellStyle name="Normal 7 15 2 3" xfId="15550" xr:uid="{00000000-0005-0000-0000-0000ED3C0000}"/>
    <cellStyle name="Normal 7 15 2 3 2" xfId="15551" xr:uid="{00000000-0005-0000-0000-0000EE3C0000}"/>
    <cellStyle name="Normal 7 15 2 3 3" xfId="15552" xr:uid="{00000000-0005-0000-0000-0000EF3C0000}"/>
    <cellStyle name="Normal 7 15 2 4" xfId="15553" xr:uid="{00000000-0005-0000-0000-0000F03C0000}"/>
    <cellStyle name="Normal 7 15 2 5" xfId="15554" xr:uid="{00000000-0005-0000-0000-0000F13C0000}"/>
    <cellStyle name="Normal 7 15 3" xfId="15555" xr:uid="{00000000-0005-0000-0000-0000F23C0000}"/>
    <cellStyle name="Normal 7 15 3 2" xfId="15556" xr:uid="{00000000-0005-0000-0000-0000F33C0000}"/>
    <cellStyle name="Normal 7 15 3 2 2" xfId="15557" xr:uid="{00000000-0005-0000-0000-0000F43C0000}"/>
    <cellStyle name="Normal 7 15 3 2 3" xfId="15558" xr:uid="{00000000-0005-0000-0000-0000F53C0000}"/>
    <cellStyle name="Normal 7 15 3 3" xfId="15559" xr:uid="{00000000-0005-0000-0000-0000F63C0000}"/>
    <cellStyle name="Normal 7 15 3 4" xfId="15560" xr:uid="{00000000-0005-0000-0000-0000F73C0000}"/>
    <cellStyle name="Normal 7 15 4" xfId="15561" xr:uid="{00000000-0005-0000-0000-0000F83C0000}"/>
    <cellStyle name="Normal 7 15 4 2" xfId="15562" xr:uid="{00000000-0005-0000-0000-0000F93C0000}"/>
    <cellStyle name="Normal 7 15 4 3" xfId="15563" xr:uid="{00000000-0005-0000-0000-0000FA3C0000}"/>
    <cellStyle name="Normal 7 15 5" xfId="15564" xr:uid="{00000000-0005-0000-0000-0000FB3C0000}"/>
    <cellStyle name="Normal 7 15 6" xfId="15565" xr:uid="{00000000-0005-0000-0000-0000FC3C0000}"/>
    <cellStyle name="Normal 7 16" xfId="15566" xr:uid="{00000000-0005-0000-0000-0000FD3C0000}"/>
    <cellStyle name="Normal 7 16 2" xfId="15567" xr:uid="{00000000-0005-0000-0000-0000FE3C0000}"/>
    <cellStyle name="Normal 7 16 2 2" xfId="15568" xr:uid="{00000000-0005-0000-0000-0000FF3C0000}"/>
    <cellStyle name="Normal 7 16 2 2 2" xfId="15569" xr:uid="{00000000-0005-0000-0000-0000003D0000}"/>
    <cellStyle name="Normal 7 16 2 2 2 2" xfId="15570" xr:uid="{00000000-0005-0000-0000-0000013D0000}"/>
    <cellStyle name="Normal 7 16 2 2 2 3" xfId="15571" xr:uid="{00000000-0005-0000-0000-0000023D0000}"/>
    <cellStyle name="Normal 7 16 2 2 3" xfId="15572" xr:uid="{00000000-0005-0000-0000-0000033D0000}"/>
    <cellStyle name="Normal 7 16 2 2 4" xfId="15573" xr:uid="{00000000-0005-0000-0000-0000043D0000}"/>
    <cellStyle name="Normal 7 16 2 3" xfId="15574" xr:uid="{00000000-0005-0000-0000-0000053D0000}"/>
    <cellStyle name="Normal 7 16 2 3 2" xfId="15575" xr:uid="{00000000-0005-0000-0000-0000063D0000}"/>
    <cellStyle name="Normal 7 16 2 3 3" xfId="15576" xr:uid="{00000000-0005-0000-0000-0000073D0000}"/>
    <cellStyle name="Normal 7 16 2 4" xfId="15577" xr:uid="{00000000-0005-0000-0000-0000083D0000}"/>
    <cellStyle name="Normal 7 16 2 5" xfId="15578" xr:uid="{00000000-0005-0000-0000-0000093D0000}"/>
    <cellStyle name="Normal 7 16 3" xfId="15579" xr:uid="{00000000-0005-0000-0000-00000A3D0000}"/>
    <cellStyle name="Normal 7 16 3 2" xfId="15580" xr:uid="{00000000-0005-0000-0000-00000B3D0000}"/>
    <cellStyle name="Normal 7 16 3 2 2" xfId="15581" xr:uid="{00000000-0005-0000-0000-00000C3D0000}"/>
    <cellStyle name="Normal 7 16 3 2 3" xfId="15582" xr:uid="{00000000-0005-0000-0000-00000D3D0000}"/>
    <cellStyle name="Normal 7 16 3 3" xfId="15583" xr:uid="{00000000-0005-0000-0000-00000E3D0000}"/>
    <cellStyle name="Normal 7 16 3 4" xfId="15584" xr:uid="{00000000-0005-0000-0000-00000F3D0000}"/>
    <cellStyle name="Normal 7 16 4" xfId="15585" xr:uid="{00000000-0005-0000-0000-0000103D0000}"/>
    <cellStyle name="Normal 7 16 4 2" xfId="15586" xr:uid="{00000000-0005-0000-0000-0000113D0000}"/>
    <cellStyle name="Normal 7 16 4 3" xfId="15587" xr:uid="{00000000-0005-0000-0000-0000123D0000}"/>
    <cellStyle name="Normal 7 16 5" xfId="15588" xr:uid="{00000000-0005-0000-0000-0000133D0000}"/>
    <cellStyle name="Normal 7 16 6" xfId="15589" xr:uid="{00000000-0005-0000-0000-0000143D0000}"/>
    <cellStyle name="Normal 7 17" xfId="15590" xr:uid="{00000000-0005-0000-0000-0000153D0000}"/>
    <cellStyle name="Normal 7 17 2" xfId="15591" xr:uid="{00000000-0005-0000-0000-0000163D0000}"/>
    <cellStyle name="Normal 7 17 2 2" xfId="15592" xr:uid="{00000000-0005-0000-0000-0000173D0000}"/>
    <cellStyle name="Normal 7 17 2 2 2" xfId="15593" xr:uid="{00000000-0005-0000-0000-0000183D0000}"/>
    <cellStyle name="Normal 7 17 2 2 2 2" xfId="15594" xr:uid="{00000000-0005-0000-0000-0000193D0000}"/>
    <cellStyle name="Normal 7 17 2 2 2 3" xfId="15595" xr:uid="{00000000-0005-0000-0000-00001A3D0000}"/>
    <cellStyle name="Normal 7 17 2 2 3" xfId="15596" xr:uid="{00000000-0005-0000-0000-00001B3D0000}"/>
    <cellStyle name="Normal 7 17 2 2 4" xfId="15597" xr:uid="{00000000-0005-0000-0000-00001C3D0000}"/>
    <cellStyle name="Normal 7 17 2 3" xfId="15598" xr:uid="{00000000-0005-0000-0000-00001D3D0000}"/>
    <cellStyle name="Normal 7 17 2 3 2" xfId="15599" xr:uid="{00000000-0005-0000-0000-00001E3D0000}"/>
    <cellStyle name="Normal 7 17 2 3 3" xfId="15600" xr:uid="{00000000-0005-0000-0000-00001F3D0000}"/>
    <cellStyle name="Normal 7 17 2 4" xfId="15601" xr:uid="{00000000-0005-0000-0000-0000203D0000}"/>
    <cellStyle name="Normal 7 17 2 5" xfId="15602" xr:uid="{00000000-0005-0000-0000-0000213D0000}"/>
    <cellStyle name="Normal 7 17 3" xfId="15603" xr:uid="{00000000-0005-0000-0000-0000223D0000}"/>
    <cellStyle name="Normal 7 17 3 2" xfId="15604" xr:uid="{00000000-0005-0000-0000-0000233D0000}"/>
    <cellStyle name="Normal 7 17 3 2 2" xfId="15605" xr:uid="{00000000-0005-0000-0000-0000243D0000}"/>
    <cellStyle name="Normal 7 17 3 2 3" xfId="15606" xr:uid="{00000000-0005-0000-0000-0000253D0000}"/>
    <cellStyle name="Normal 7 17 3 3" xfId="15607" xr:uid="{00000000-0005-0000-0000-0000263D0000}"/>
    <cellStyle name="Normal 7 17 3 4" xfId="15608" xr:uid="{00000000-0005-0000-0000-0000273D0000}"/>
    <cellStyle name="Normal 7 17 4" xfId="15609" xr:uid="{00000000-0005-0000-0000-0000283D0000}"/>
    <cellStyle name="Normal 7 17 4 2" xfId="15610" xr:uid="{00000000-0005-0000-0000-0000293D0000}"/>
    <cellStyle name="Normal 7 17 4 3" xfId="15611" xr:uid="{00000000-0005-0000-0000-00002A3D0000}"/>
    <cellStyle name="Normal 7 17 5" xfId="15612" xr:uid="{00000000-0005-0000-0000-00002B3D0000}"/>
    <cellStyle name="Normal 7 17 6" xfId="15613" xr:uid="{00000000-0005-0000-0000-00002C3D0000}"/>
    <cellStyle name="Normal 7 18" xfId="15614" xr:uid="{00000000-0005-0000-0000-00002D3D0000}"/>
    <cellStyle name="Normal 7 18 2" xfId="15615" xr:uid="{00000000-0005-0000-0000-00002E3D0000}"/>
    <cellStyle name="Normal 7 18 2 2" xfId="15616" xr:uid="{00000000-0005-0000-0000-00002F3D0000}"/>
    <cellStyle name="Normal 7 18 2 2 2" xfId="15617" xr:uid="{00000000-0005-0000-0000-0000303D0000}"/>
    <cellStyle name="Normal 7 18 2 2 2 2" xfId="15618" xr:uid="{00000000-0005-0000-0000-0000313D0000}"/>
    <cellStyle name="Normal 7 18 2 2 2 3" xfId="15619" xr:uid="{00000000-0005-0000-0000-0000323D0000}"/>
    <cellStyle name="Normal 7 18 2 2 3" xfId="15620" xr:uid="{00000000-0005-0000-0000-0000333D0000}"/>
    <cellStyle name="Normal 7 18 2 2 4" xfId="15621" xr:uid="{00000000-0005-0000-0000-0000343D0000}"/>
    <cellStyle name="Normal 7 18 2 3" xfId="15622" xr:uid="{00000000-0005-0000-0000-0000353D0000}"/>
    <cellStyle name="Normal 7 18 2 3 2" xfId="15623" xr:uid="{00000000-0005-0000-0000-0000363D0000}"/>
    <cellStyle name="Normal 7 18 2 3 3" xfId="15624" xr:uid="{00000000-0005-0000-0000-0000373D0000}"/>
    <cellStyle name="Normal 7 18 2 4" xfId="15625" xr:uid="{00000000-0005-0000-0000-0000383D0000}"/>
    <cellStyle name="Normal 7 18 2 5" xfId="15626" xr:uid="{00000000-0005-0000-0000-0000393D0000}"/>
    <cellStyle name="Normal 7 18 3" xfId="15627" xr:uid="{00000000-0005-0000-0000-00003A3D0000}"/>
    <cellStyle name="Normal 7 18 3 2" xfId="15628" xr:uid="{00000000-0005-0000-0000-00003B3D0000}"/>
    <cellStyle name="Normal 7 18 3 2 2" xfId="15629" xr:uid="{00000000-0005-0000-0000-00003C3D0000}"/>
    <cellStyle name="Normal 7 18 3 2 3" xfId="15630" xr:uid="{00000000-0005-0000-0000-00003D3D0000}"/>
    <cellStyle name="Normal 7 18 3 3" xfId="15631" xr:uid="{00000000-0005-0000-0000-00003E3D0000}"/>
    <cellStyle name="Normal 7 18 3 4" xfId="15632" xr:uid="{00000000-0005-0000-0000-00003F3D0000}"/>
    <cellStyle name="Normal 7 18 4" xfId="15633" xr:uid="{00000000-0005-0000-0000-0000403D0000}"/>
    <cellStyle name="Normal 7 18 4 2" xfId="15634" xr:uid="{00000000-0005-0000-0000-0000413D0000}"/>
    <cellStyle name="Normal 7 18 4 3" xfId="15635" xr:uid="{00000000-0005-0000-0000-0000423D0000}"/>
    <cellStyle name="Normal 7 18 5" xfId="15636" xr:uid="{00000000-0005-0000-0000-0000433D0000}"/>
    <cellStyle name="Normal 7 18 6" xfId="15637" xr:uid="{00000000-0005-0000-0000-0000443D0000}"/>
    <cellStyle name="Normal 7 19" xfId="15638" xr:uid="{00000000-0005-0000-0000-0000453D0000}"/>
    <cellStyle name="Normal 7 19 2" xfId="15639" xr:uid="{00000000-0005-0000-0000-0000463D0000}"/>
    <cellStyle name="Normal 7 19 2 2" xfId="15640" xr:uid="{00000000-0005-0000-0000-0000473D0000}"/>
    <cellStyle name="Normal 7 19 2 2 2" xfId="15641" xr:uid="{00000000-0005-0000-0000-0000483D0000}"/>
    <cellStyle name="Normal 7 19 2 2 2 2" xfId="15642" xr:uid="{00000000-0005-0000-0000-0000493D0000}"/>
    <cellStyle name="Normal 7 19 2 2 2 3" xfId="15643" xr:uid="{00000000-0005-0000-0000-00004A3D0000}"/>
    <cellStyle name="Normal 7 19 2 2 3" xfId="15644" xr:uid="{00000000-0005-0000-0000-00004B3D0000}"/>
    <cellStyle name="Normal 7 19 2 2 4" xfId="15645" xr:uid="{00000000-0005-0000-0000-00004C3D0000}"/>
    <cellStyle name="Normal 7 19 2 3" xfId="15646" xr:uid="{00000000-0005-0000-0000-00004D3D0000}"/>
    <cellStyle name="Normal 7 19 2 3 2" xfId="15647" xr:uid="{00000000-0005-0000-0000-00004E3D0000}"/>
    <cellStyle name="Normal 7 19 2 3 3" xfId="15648" xr:uid="{00000000-0005-0000-0000-00004F3D0000}"/>
    <cellStyle name="Normal 7 19 2 4" xfId="15649" xr:uid="{00000000-0005-0000-0000-0000503D0000}"/>
    <cellStyle name="Normal 7 19 2 5" xfId="15650" xr:uid="{00000000-0005-0000-0000-0000513D0000}"/>
    <cellStyle name="Normal 7 19 3" xfId="15651" xr:uid="{00000000-0005-0000-0000-0000523D0000}"/>
    <cellStyle name="Normal 7 19 3 2" xfId="15652" xr:uid="{00000000-0005-0000-0000-0000533D0000}"/>
    <cellStyle name="Normal 7 19 3 2 2" xfId="15653" xr:uid="{00000000-0005-0000-0000-0000543D0000}"/>
    <cellStyle name="Normal 7 19 3 2 3" xfId="15654" xr:uid="{00000000-0005-0000-0000-0000553D0000}"/>
    <cellStyle name="Normal 7 19 3 3" xfId="15655" xr:uid="{00000000-0005-0000-0000-0000563D0000}"/>
    <cellStyle name="Normal 7 19 3 4" xfId="15656" xr:uid="{00000000-0005-0000-0000-0000573D0000}"/>
    <cellStyle name="Normal 7 19 4" xfId="15657" xr:uid="{00000000-0005-0000-0000-0000583D0000}"/>
    <cellStyle name="Normal 7 19 4 2" xfId="15658" xr:uid="{00000000-0005-0000-0000-0000593D0000}"/>
    <cellStyle name="Normal 7 19 4 3" xfId="15659" xr:uid="{00000000-0005-0000-0000-00005A3D0000}"/>
    <cellStyle name="Normal 7 19 5" xfId="15660" xr:uid="{00000000-0005-0000-0000-00005B3D0000}"/>
    <cellStyle name="Normal 7 19 6" xfId="15661" xr:uid="{00000000-0005-0000-0000-00005C3D0000}"/>
    <cellStyle name="Normal 7 2" xfId="15662" xr:uid="{00000000-0005-0000-0000-00005D3D0000}"/>
    <cellStyle name="Normal 7 2 10" xfId="15663" xr:uid="{00000000-0005-0000-0000-00005E3D0000}"/>
    <cellStyle name="Normal 7 2 11" xfId="15664" xr:uid="{00000000-0005-0000-0000-00005F3D0000}"/>
    <cellStyle name="Normal 7 2 2" xfId="15665" xr:uid="{00000000-0005-0000-0000-0000603D0000}"/>
    <cellStyle name="Normal 7 2 2 2" xfId="15666" xr:uid="{00000000-0005-0000-0000-0000613D0000}"/>
    <cellStyle name="Normal 7 2 2 2 2" xfId="15667" xr:uid="{00000000-0005-0000-0000-0000623D0000}"/>
    <cellStyle name="Normal 7 2 2 2 2 2" xfId="15668" xr:uid="{00000000-0005-0000-0000-0000633D0000}"/>
    <cellStyle name="Normal 7 2 2 2 2 2 2" xfId="15669" xr:uid="{00000000-0005-0000-0000-0000643D0000}"/>
    <cellStyle name="Normal 7 2 2 2 2 2 3" xfId="15670" xr:uid="{00000000-0005-0000-0000-0000653D0000}"/>
    <cellStyle name="Normal 7 2 2 2 2 3" xfId="15671" xr:uid="{00000000-0005-0000-0000-0000663D0000}"/>
    <cellStyle name="Normal 7 2 2 2 2 4" xfId="15672" xr:uid="{00000000-0005-0000-0000-0000673D0000}"/>
    <cellStyle name="Normal 7 2 2 2 3" xfId="15673" xr:uid="{00000000-0005-0000-0000-0000683D0000}"/>
    <cellStyle name="Normal 7 2 2 2 3 2" xfId="15674" xr:uid="{00000000-0005-0000-0000-0000693D0000}"/>
    <cellStyle name="Normal 7 2 2 2 3 3" xfId="15675" xr:uid="{00000000-0005-0000-0000-00006A3D0000}"/>
    <cellStyle name="Normal 7 2 2 2 4" xfId="15676" xr:uid="{00000000-0005-0000-0000-00006B3D0000}"/>
    <cellStyle name="Normal 7 2 2 2 5" xfId="15677" xr:uid="{00000000-0005-0000-0000-00006C3D0000}"/>
    <cellStyle name="Normal 7 2 2 3" xfId="15678" xr:uid="{00000000-0005-0000-0000-00006D3D0000}"/>
    <cellStyle name="Normal 7 2 2 3 2" xfId="15679" xr:uid="{00000000-0005-0000-0000-00006E3D0000}"/>
    <cellStyle name="Normal 7 2 2 3 2 2" xfId="15680" xr:uid="{00000000-0005-0000-0000-00006F3D0000}"/>
    <cellStyle name="Normal 7 2 2 3 2 3" xfId="15681" xr:uid="{00000000-0005-0000-0000-0000703D0000}"/>
    <cellStyle name="Normal 7 2 2 3 3" xfId="15682" xr:uid="{00000000-0005-0000-0000-0000713D0000}"/>
    <cellStyle name="Normal 7 2 2 3 4" xfId="15683" xr:uid="{00000000-0005-0000-0000-0000723D0000}"/>
    <cellStyle name="Normal 7 2 2 4" xfId="15684" xr:uid="{00000000-0005-0000-0000-0000733D0000}"/>
    <cellStyle name="Normal 7 2 2 4 2" xfId="15685" xr:uid="{00000000-0005-0000-0000-0000743D0000}"/>
    <cellStyle name="Normal 7 2 2 4 3" xfId="15686" xr:uid="{00000000-0005-0000-0000-0000753D0000}"/>
    <cellStyle name="Normal 7 2 2 5" xfId="15687" xr:uid="{00000000-0005-0000-0000-0000763D0000}"/>
    <cellStyle name="Normal 7 2 2 6" xfId="15688" xr:uid="{00000000-0005-0000-0000-0000773D0000}"/>
    <cellStyle name="Normal 7 2 3" xfId="15689" xr:uid="{00000000-0005-0000-0000-0000783D0000}"/>
    <cellStyle name="Normal 7 2 3 2" xfId="15690" xr:uid="{00000000-0005-0000-0000-0000793D0000}"/>
    <cellStyle name="Normal 7 2 3 2 2" xfId="15691" xr:uid="{00000000-0005-0000-0000-00007A3D0000}"/>
    <cellStyle name="Normal 7 2 3 2 2 2" xfId="15692" xr:uid="{00000000-0005-0000-0000-00007B3D0000}"/>
    <cellStyle name="Normal 7 2 3 2 2 2 2" xfId="15693" xr:uid="{00000000-0005-0000-0000-00007C3D0000}"/>
    <cellStyle name="Normal 7 2 3 2 2 2 3" xfId="15694" xr:uid="{00000000-0005-0000-0000-00007D3D0000}"/>
    <cellStyle name="Normal 7 2 3 2 2 3" xfId="15695" xr:uid="{00000000-0005-0000-0000-00007E3D0000}"/>
    <cellStyle name="Normal 7 2 3 2 2 4" xfId="15696" xr:uid="{00000000-0005-0000-0000-00007F3D0000}"/>
    <cellStyle name="Normal 7 2 3 2 3" xfId="15697" xr:uid="{00000000-0005-0000-0000-0000803D0000}"/>
    <cellStyle name="Normal 7 2 3 2 3 2" xfId="15698" xr:uid="{00000000-0005-0000-0000-0000813D0000}"/>
    <cellStyle name="Normal 7 2 3 2 3 3" xfId="15699" xr:uid="{00000000-0005-0000-0000-0000823D0000}"/>
    <cellStyle name="Normal 7 2 3 2 4" xfId="15700" xr:uid="{00000000-0005-0000-0000-0000833D0000}"/>
    <cellStyle name="Normal 7 2 3 2 5" xfId="15701" xr:uid="{00000000-0005-0000-0000-0000843D0000}"/>
    <cellStyle name="Normal 7 2 3 3" xfId="15702" xr:uid="{00000000-0005-0000-0000-0000853D0000}"/>
    <cellStyle name="Normal 7 2 3 3 2" xfId="15703" xr:uid="{00000000-0005-0000-0000-0000863D0000}"/>
    <cellStyle name="Normal 7 2 3 3 2 2" xfId="15704" xr:uid="{00000000-0005-0000-0000-0000873D0000}"/>
    <cellStyle name="Normal 7 2 3 3 2 3" xfId="15705" xr:uid="{00000000-0005-0000-0000-0000883D0000}"/>
    <cellStyle name="Normal 7 2 3 3 3" xfId="15706" xr:uid="{00000000-0005-0000-0000-0000893D0000}"/>
    <cellStyle name="Normal 7 2 3 3 4" xfId="15707" xr:uid="{00000000-0005-0000-0000-00008A3D0000}"/>
    <cellStyle name="Normal 7 2 3 4" xfId="15708" xr:uid="{00000000-0005-0000-0000-00008B3D0000}"/>
    <cellStyle name="Normal 7 2 3 4 2" xfId="15709" xr:uid="{00000000-0005-0000-0000-00008C3D0000}"/>
    <cellStyle name="Normal 7 2 3 4 3" xfId="15710" xr:uid="{00000000-0005-0000-0000-00008D3D0000}"/>
    <cellStyle name="Normal 7 2 3 5" xfId="15711" xr:uid="{00000000-0005-0000-0000-00008E3D0000}"/>
    <cellStyle name="Normal 7 2 3 6" xfId="15712" xr:uid="{00000000-0005-0000-0000-00008F3D0000}"/>
    <cellStyle name="Normal 7 2 4" xfId="15713" xr:uid="{00000000-0005-0000-0000-0000903D0000}"/>
    <cellStyle name="Normal 7 2 4 2" xfId="15714" xr:uid="{00000000-0005-0000-0000-0000913D0000}"/>
    <cellStyle name="Normal 7 2 4 2 2" xfId="15715" xr:uid="{00000000-0005-0000-0000-0000923D0000}"/>
    <cellStyle name="Normal 7 2 4 2 2 2" xfId="15716" xr:uid="{00000000-0005-0000-0000-0000933D0000}"/>
    <cellStyle name="Normal 7 2 4 2 2 2 2" xfId="15717" xr:uid="{00000000-0005-0000-0000-0000943D0000}"/>
    <cellStyle name="Normal 7 2 4 2 2 2 3" xfId="15718" xr:uid="{00000000-0005-0000-0000-0000953D0000}"/>
    <cellStyle name="Normal 7 2 4 2 2 3" xfId="15719" xr:uid="{00000000-0005-0000-0000-0000963D0000}"/>
    <cellStyle name="Normal 7 2 4 2 2 4" xfId="15720" xr:uid="{00000000-0005-0000-0000-0000973D0000}"/>
    <cellStyle name="Normal 7 2 4 2 3" xfId="15721" xr:uid="{00000000-0005-0000-0000-0000983D0000}"/>
    <cellStyle name="Normal 7 2 4 2 3 2" xfId="15722" xr:uid="{00000000-0005-0000-0000-0000993D0000}"/>
    <cellStyle name="Normal 7 2 4 2 3 3" xfId="15723" xr:uid="{00000000-0005-0000-0000-00009A3D0000}"/>
    <cellStyle name="Normal 7 2 4 2 4" xfId="15724" xr:uid="{00000000-0005-0000-0000-00009B3D0000}"/>
    <cellStyle name="Normal 7 2 4 2 5" xfId="15725" xr:uid="{00000000-0005-0000-0000-00009C3D0000}"/>
    <cellStyle name="Normal 7 2 4 3" xfId="15726" xr:uid="{00000000-0005-0000-0000-00009D3D0000}"/>
    <cellStyle name="Normal 7 2 4 3 2" xfId="15727" xr:uid="{00000000-0005-0000-0000-00009E3D0000}"/>
    <cellStyle name="Normal 7 2 4 3 2 2" xfId="15728" xr:uid="{00000000-0005-0000-0000-00009F3D0000}"/>
    <cellStyle name="Normal 7 2 4 3 2 3" xfId="15729" xr:uid="{00000000-0005-0000-0000-0000A03D0000}"/>
    <cellStyle name="Normal 7 2 4 3 3" xfId="15730" xr:uid="{00000000-0005-0000-0000-0000A13D0000}"/>
    <cellStyle name="Normal 7 2 4 3 4" xfId="15731" xr:uid="{00000000-0005-0000-0000-0000A23D0000}"/>
    <cellStyle name="Normal 7 2 4 4" xfId="15732" xr:uid="{00000000-0005-0000-0000-0000A33D0000}"/>
    <cellStyle name="Normal 7 2 4 4 2" xfId="15733" xr:uid="{00000000-0005-0000-0000-0000A43D0000}"/>
    <cellStyle name="Normal 7 2 4 4 3" xfId="15734" xr:uid="{00000000-0005-0000-0000-0000A53D0000}"/>
    <cellStyle name="Normal 7 2 4 5" xfId="15735" xr:uid="{00000000-0005-0000-0000-0000A63D0000}"/>
    <cellStyle name="Normal 7 2 4 6" xfId="15736" xr:uid="{00000000-0005-0000-0000-0000A73D0000}"/>
    <cellStyle name="Normal 7 2 5" xfId="15737" xr:uid="{00000000-0005-0000-0000-0000A83D0000}"/>
    <cellStyle name="Normal 7 2 5 2" xfId="15738" xr:uid="{00000000-0005-0000-0000-0000A93D0000}"/>
    <cellStyle name="Normal 7 2 5 2 2" xfId="15739" xr:uid="{00000000-0005-0000-0000-0000AA3D0000}"/>
    <cellStyle name="Normal 7 2 5 2 2 2" xfId="15740" xr:uid="{00000000-0005-0000-0000-0000AB3D0000}"/>
    <cellStyle name="Normal 7 2 5 2 2 2 2" xfId="15741" xr:uid="{00000000-0005-0000-0000-0000AC3D0000}"/>
    <cellStyle name="Normal 7 2 5 2 2 2 3" xfId="15742" xr:uid="{00000000-0005-0000-0000-0000AD3D0000}"/>
    <cellStyle name="Normal 7 2 5 2 2 3" xfId="15743" xr:uid="{00000000-0005-0000-0000-0000AE3D0000}"/>
    <cellStyle name="Normal 7 2 5 2 2 4" xfId="15744" xr:uid="{00000000-0005-0000-0000-0000AF3D0000}"/>
    <cellStyle name="Normal 7 2 5 2 3" xfId="15745" xr:uid="{00000000-0005-0000-0000-0000B03D0000}"/>
    <cellStyle name="Normal 7 2 5 2 3 2" xfId="15746" xr:uid="{00000000-0005-0000-0000-0000B13D0000}"/>
    <cellStyle name="Normal 7 2 5 2 3 3" xfId="15747" xr:uid="{00000000-0005-0000-0000-0000B23D0000}"/>
    <cellStyle name="Normal 7 2 5 2 4" xfId="15748" xr:uid="{00000000-0005-0000-0000-0000B33D0000}"/>
    <cellStyle name="Normal 7 2 5 2 5" xfId="15749" xr:uid="{00000000-0005-0000-0000-0000B43D0000}"/>
    <cellStyle name="Normal 7 2 5 3" xfId="15750" xr:uid="{00000000-0005-0000-0000-0000B53D0000}"/>
    <cellStyle name="Normal 7 2 5 3 2" xfId="15751" xr:uid="{00000000-0005-0000-0000-0000B63D0000}"/>
    <cellStyle name="Normal 7 2 5 3 2 2" xfId="15752" xr:uid="{00000000-0005-0000-0000-0000B73D0000}"/>
    <cellStyle name="Normal 7 2 5 3 2 3" xfId="15753" xr:uid="{00000000-0005-0000-0000-0000B83D0000}"/>
    <cellStyle name="Normal 7 2 5 3 3" xfId="15754" xr:uid="{00000000-0005-0000-0000-0000B93D0000}"/>
    <cellStyle name="Normal 7 2 5 3 4" xfId="15755" xr:uid="{00000000-0005-0000-0000-0000BA3D0000}"/>
    <cellStyle name="Normal 7 2 5 4" xfId="15756" xr:uid="{00000000-0005-0000-0000-0000BB3D0000}"/>
    <cellStyle name="Normal 7 2 5 4 2" xfId="15757" xr:uid="{00000000-0005-0000-0000-0000BC3D0000}"/>
    <cellStyle name="Normal 7 2 5 4 3" xfId="15758" xr:uid="{00000000-0005-0000-0000-0000BD3D0000}"/>
    <cellStyle name="Normal 7 2 5 5" xfId="15759" xr:uid="{00000000-0005-0000-0000-0000BE3D0000}"/>
    <cellStyle name="Normal 7 2 5 6" xfId="15760" xr:uid="{00000000-0005-0000-0000-0000BF3D0000}"/>
    <cellStyle name="Normal 7 2 6" xfId="15761" xr:uid="{00000000-0005-0000-0000-0000C03D0000}"/>
    <cellStyle name="Normal 7 2 6 2" xfId="15762" xr:uid="{00000000-0005-0000-0000-0000C13D0000}"/>
    <cellStyle name="Normal 7 2 6 2 2" xfId="15763" xr:uid="{00000000-0005-0000-0000-0000C23D0000}"/>
    <cellStyle name="Normal 7 2 6 2 2 2" xfId="15764" xr:uid="{00000000-0005-0000-0000-0000C33D0000}"/>
    <cellStyle name="Normal 7 2 6 2 2 3" xfId="15765" xr:uid="{00000000-0005-0000-0000-0000C43D0000}"/>
    <cellStyle name="Normal 7 2 6 2 3" xfId="15766" xr:uid="{00000000-0005-0000-0000-0000C53D0000}"/>
    <cellStyle name="Normal 7 2 6 2 4" xfId="15767" xr:uid="{00000000-0005-0000-0000-0000C63D0000}"/>
    <cellStyle name="Normal 7 2 6 3" xfId="15768" xr:uid="{00000000-0005-0000-0000-0000C73D0000}"/>
    <cellStyle name="Normal 7 2 6 3 2" xfId="15769" xr:uid="{00000000-0005-0000-0000-0000C83D0000}"/>
    <cellStyle name="Normal 7 2 6 3 3" xfId="15770" xr:uid="{00000000-0005-0000-0000-0000C93D0000}"/>
    <cellStyle name="Normal 7 2 6 4" xfId="15771" xr:uid="{00000000-0005-0000-0000-0000CA3D0000}"/>
    <cellStyle name="Normal 7 2 6 5" xfId="15772" xr:uid="{00000000-0005-0000-0000-0000CB3D0000}"/>
    <cellStyle name="Normal 7 2 7" xfId="15773" xr:uid="{00000000-0005-0000-0000-0000CC3D0000}"/>
    <cellStyle name="Normal 7 2 7 2" xfId="15774" xr:uid="{00000000-0005-0000-0000-0000CD3D0000}"/>
    <cellStyle name="Normal 7 2 7 2 2" xfId="15775" xr:uid="{00000000-0005-0000-0000-0000CE3D0000}"/>
    <cellStyle name="Normal 7 2 7 2 3" xfId="15776" xr:uid="{00000000-0005-0000-0000-0000CF3D0000}"/>
    <cellStyle name="Normal 7 2 7 3" xfId="15777" xr:uid="{00000000-0005-0000-0000-0000D03D0000}"/>
    <cellStyle name="Normal 7 2 7 4" xfId="15778" xr:uid="{00000000-0005-0000-0000-0000D13D0000}"/>
    <cellStyle name="Normal 7 2 8" xfId="15779" xr:uid="{00000000-0005-0000-0000-0000D23D0000}"/>
    <cellStyle name="Normal 7 2 8 2" xfId="15780" xr:uid="{00000000-0005-0000-0000-0000D33D0000}"/>
    <cellStyle name="Normal 7 2 8 3" xfId="15781" xr:uid="{00000000-0005-0000-0000-0000D43D0000}"/>
    <cellStyle name="Normal 7 2 9" xfId="15782" xr:uid="{00000000-0005-0000-0000-0000D53D0000}"/>
    <cellStyle name="Normal 7 2 9 2" xfId="15783" xr:uid="{00000000-0005-0000-0000-0000D63D0000}"/>
    <cellStyle name="Normal 7 2 9 3" xfId="15784" xr:uid="{00000000-0005-0000-0000-0000D73D0000}"/>
    <cellStyle name="Normal 7 20" xfId="15785" xr:uid="{00000000-0005-0000-0000-0000D83D0000}"/>
    <cellStyle name="Normal 7 20 2" xfId="15786" xr:uid="{00000000-0005-0000-0000-0000D93D0000}"/>
    <cellStyle name="Normal 7 20 2 2" xfId="15787" xr:uid="{00000000-0005-0000-0000-0000DA3D0000}"/>
    <cellStyle name="Normal 7 20 2 2 2" xfId="15788" xr:uid="{00000000-0005-0000-0000-0000DB3D0000}"/>
    <cellStyle name="Normal 7 20 2 2 2 2" xfId="15789" xr:uid="{00000000-0005-0000-0000-0000DC3D0000}"/>
    <cellStyle name="Normal 7 20 2 2 2 3" xfId="15790" xr:uid="{00000000-0005-0000-0000-0000DD3D0000}"/>
    <cellStyle name="Normal 7 20 2 2 3" xfId="15791" xr:uid="{00000000-0005-0000-0000-0000DE3D0000}"/>
    <cellStyle name="Normal 7 20 2 2 4" xfId="15792" xr:uid="{00000000-0005-0000-0000-0000DF3D0000}"/>
    <cellStyle name="Normal 7 20 2 3" xfId="15793" xr:uid="{00000000-0005-0000-0000-0000E03D0000}"/>
    <cellStyle name="Normal 7 20 2 3 2" xfId="15794" xr:uid="{00000000-0005-0000-0000-0000E13D0000}"/>
    <cellStyle name="Normal 7 20 2 3 3" xfId="15795" xr:uid="{00000000-0005-0000-0000-0000E23D0000}"/>
    <cellStyle name="Normal 7 20 2 4" xfId="15796" xr:uid="{00000000-0005-0000-0000-0000E33D0000}"/>
    <cellStyle name="Normal 7 20 2 5" xfId="15797" xr:uid="{00000000-0005-0000-0000-0000E43D0000}"/>
    <cellStyle name="Normal 7 20 3" xfId="15798" xr:uid="{00000000-0005-0000-0000-0000E53D0000}"/>
    <cellStyle name="Normal 7 20 3 2" xfId="15799" xr:uid="{00000000-0005-0000-0000-0000E63D0000}"/>
    <cellStyle name="Normal 7 20 3 2 2" xfId="15800" xr:uid="{00000000-0005-0000-0000-0000E73D0000}"/>
    <cellStyle name="Normal 7 20 3 2 3" xfId="15801" xr:uid="{00000000-0005-0000-0000-0000E83D0000}"/>
    <cellStyle name="Normal 7 20 3 3" xfId="15802" xr:uid="{00000000-0005-0000-0000-0000E93D0000}"/>
    <cellStyle name="Normal 7 20 3 4" xfId="15803" xr:uid="{00000000-0005-0000-0000-0000EA3D0000}"/>
    <cellStyle name="Normal 7 20 4" xfId="15804" xr:uid="{00000000-0005-0000-0000-0000EB3D0000}"/>
    <cellStyle name="Normal 7 20 4 2" xfId="15805" xr:uid="{00000000-0005-0000-0000-0000EC3D0000}"/>
    <cellStyle name="Normal 7 20 4 3" xfId="15806" xr:uid="{00000000-0005-0000-0000-0000ED3D0000}"/>
    <cellStyle name="Normal 7 20 5" xfId="15807" xr:uid="{00000000-0005-0000-0000-0000EE3D0000}"/>
    <cellStyle name="Normal 7 20 6" xfId="15808" xr:uid="{00000000-0005-0000-0000-0000EF3D0000}"/>
    <cellStyle name="Normal 7 21" xfId="15809" xr:uid="{00000000-0005-0000-0000-0000F03D0000}"/>
    <cellStyle name="Normal 7 22" xfId="15810" xr:uid="{00000000-0005-0000-0000-0000F13D0000}"/>
    <cellStyle name="Normal 7 22 2" xfId="15811" xr:uid="{00000000-0005-0000-0000-0000F23D0000}"/>
    <cellStyle name="Normal 7 22 2 2" xfId="15812" xr:uid="{00000000-0005-0000-0000-0000F33D0000}"/>
    <cellStyle name="Normal 7 22 2 2 2" xfId="15813" xr:uid="{00000000-0005-0000-0000-0000F43D0000}"/>
    <cellStyle name="Normal 7 22 2 2 2 2" xfId="15814" xr:uid="{00000000-0005-0000-0000-0000F53D0000}"/>
    <cellStyle name="Normal 7 22 2 2 2 3" xfId="15815" xr:uid="{00000000-0005-0000-0000-0000F63D0000}"/>
    <cellStyle name="Normal 7 22 2 2 3" xfId="15816" xr:uid="{00000000-0005-0000-0000-0000F73D0000}"/>
    <cellStyle name="Normal 7 22 2 2 4" xfId="15817" xr:uid="{00000000-0005-0000-0000-0000F83D0000}"/>
    <cellStyle name="Normal 7 22 2 3" xfId="15818" xr:uid="{00000000-0005-0000-0000-0000F93D0000}"/>
    <cellStyle name="Normal 7 22 2 3 2" xfId="15819" xr:uid="{00000000-0005-0000-0000-0000FA3D0000}"/>
    <cellStyle name="Normal 7 22 2 3 3" xfId="15820" xr:uid="{00000000-0005-0000-0000-0000FB3D0000}"/>
    <cellStyle name="Normal 7 22 2 4" xfId="15821" xr:uid="{00000000-0005-0000-0000-0000FC3D0000}"/>
    <cellStyle name="Normal 7 22 2 5" xfId="15822" xr:uid="{00000000-0005-0000-0000-0000FD3D0000}"/>
    <cellStyle name="Normal 7 22 3" xfId="15823" xr:uid="{00000000-0005-0000-0000-0000FE3D0000}"/>
    <cellStyle name="Normal 7 22 3 2" xfId="15824" xr:uid="{00000000-0005-0000-0000-0000FF3D0000}"/>
    <cellStyle name="Normal 7 22 3 2 2" xfId="15825" xr:uid="{00000000-0005-0000-0000-0000003E0000}"/>
    <cellStyle name="Normal 7 22 3 2 3" xfId="15826" xr:uid="{00000000-0005-0000-0000-0000013E0000}"/>
    <cellStyle name="Normal 7 22 3 3" xfId="15827" xr:uid="{00000000-0005-0000-0000-0000023E0000}"/>
    <cellStyle name="Normal 7 22 3 4" xfId="15828" xr:uid="{00000000-0005-0000-0000-0000033E0000}"/>
    <cellStyle name="Normal 7 22 4" xfId="15829" xr:uid="{00000000-0005-0000-0000-0000043E0000}"/>
    <cellStyle name="Normal 7 22 4 2" xfId="15830" xr:uid="{00000000-0005-0000-0000-0000053E0000}"/>
    <cellStyle name="Normal 7 22 4 3" xfId="15831" xr:uid="{00000000-0005-0000-0000-0000063E0000}"/>
    <cellStyle name="Normal 7 22 5" xfId="15832" xr:uid="{00000000-0005-0000-0000-0000073E0000}"/>
    <cellStyle name="Normal 7 22 6" xfId="15833" xr:uid="{00000000-0005-0000-0000-0000083E0000}"/>
    <cellStyle name="Normal 7 23" xfId="15834" xr:uid="{00000000-0005-0000-0000-0000093E0000}"/>
    <cellStyle name="Normal 7 24" xfId="15835" xr:uid="{00000000-0005-0000-0000-00000A3E0000}"/>
    <cellStyle name="Normal 7 25" xfId="15836" xr:uid="{00000000-0005-0000-0000-00000B3E0000}"/>
    <cellStyle name="Normal 7 25 2" xfId="15837" xr:uid="{00000000-0005-0000-0000-00000C3E0000}"/>
    <cellStyle name="Normal 7 25 2 2" xfId="15838" xr:uid="{00000000-0005-0000-0000-00000D3E0000}"/>
    <cellStyle name="Normal 7 25 2 2 2" xfId="15839" xr:uid="{00000000-0005-0000-0000-00000E3E0000}"/>
    <cellStyle name="Normal 7 25 2 2 2 2" xfId="15840" xr:uid="{00000000-0005-0000-0000-00000F3E0000}"/>
    <cellStyle name="Normal 7 25 2 2 2 3" xfId="15841" xr:uid="{00000000-0005-0000-0000-0000103E0000}"/>
    <cellStyle name="Normal 7 25 2 2 3" xfId="15842" xr:uid="{00000000-0005-0000-0000-0000113E0000}"/>
    <cellStyle name="Normal 7 25 2 2 4" xfId="15843" xr:uid="{00000000-0005-0000-0000-0000123E0000}"/>
    <cellStyle name="Normal 7 25 2 3" xfId="15844" xr:uid="{00000000-0005-0000-0000-0000133E0000}"/>
    <cellStyle name="Normal 7 25 2 3 2" xfId="15845" xr:uid="{00000000-0005-0000-0000-0000143E0000}"/>
    <cellStyle name="Normal 7 25 2 3 3" xfId="15846" xr:uid="{00000000-0005-0000-0000-0000153E0000}"/>
    <cellStyle name="Normal 7 25 2 4" xfId="15847" xr:uid="{00000000-0005-0000-0000-0000163E0000}"/>
    <cellStyle name="Normal 7 25 2 5" xfId="15848" xr:uid="{00000000-0005-0000-0000-0000173E0000}"/>
    <cellStyle name="Normal 7 25 3" xfId="15849" xr:uid="{00000000-0005-0000-0000-0000183E0000}"/>
    <cellStyle name="Normal 7 25 3 2" xfId="15850" xr:uid="{00000000-0005-0000-0000-0000193E0000}"/>
    <cellStyle name="Normal 7 25 3 2 2" xfId="15851" xr:uid="{00000000-0005-0000-0000-00001A3E0000}"/>
    <cellStyle name="Normal 7 25 3 2 3" xfId="15852" xr:uid="{00000000-0005-0000-0000-00001B3E0000}"/>
    <cellStyle name="Normal 7 25 3 3" xfId="15853" xr:uid="{00000000-0005-0000-0000-00001C3E0000}"/>
    <cellStyle name="Normal 7 25 3 4" xfId="15854" xr:uid="{00000000-0005-0000-0000-00001D3E0000}"/>
    <cellStyle name="Normal 7 25 4" xfId="15855" xr:uid="{00000000-0005-0000-0000-00001E3E0000}"/>
    <cellStyle name="Normal 7 25 4 2" xfId="15856" xr:uid="{00000000-0005-0000-0000-00001F3E0000}"/>
    <cellStyle name="Normal 7 25 4 3" xfId="15857" xr:uid="{00000000-0005-0000-0000-0000203E0000}"/>
    <cellStyle name="Normal 7 25 5" xfId="15858" xr:uid="{00000000-0005-0000-0000-0000213E0000}"/>
    <cellStyle name="Normal 7 25 6" xfId="15859" xr:uid="{00000000-0005-0000-0000-0000223E0000}"/>
    <cellStyle name="Normal 7 26" xfId="15860" xr:uid="{00000000-0005-0000-0000-0000233E0000}"/>
    <cellStyle name="Normal 7 26 2" xfId="15861" xr:uid="{00000000-0005-0000-0000-0000243E0000}"/>
    <cellStyle name="Normal 7 26 3" xfId="15862" xr:uid="{00000000-0005-0000-0000-0000253E0000}"/>
    <cellStyle name="Normal 7 27" xfId="15863" xr:uid="{00000000-0005-0000-0000-0000263E0000}"/>
    <cellStyle name="Normal 7 3" xfId="15864" xr:uid="{00000000-0005-0000-0000-0000273E0000}"/>
    <cellStyle name="Normal 7 3 10" xfId="15865" xr:uid="{00000000-0005-0000-0000-0000283E0000}"/>
    <cellStyle name="Normal 7 3 2" xfId="15866" xr:uid="{00000000-0005-0000-0000-0000293E0000}"/>
    <cellStyle name="Normal 7 3 2 2" xfId="15867" xr:uid="{00000000-0005-0000-0000-00002A3E0000}"/>
    <cellStyle name="Normal 7 3 2 2 2" xfId="15868" xr:uid="{00000000-0005-0000-0000-00002B3E0000}"/>
    <cellStyle name="Normal 7 3 2 2 2 2" xfId="15869" xr:uid="{00000000-0005-0000-0000-00002C3E0000}"/>
    <cellStyle name="Normal 7 3 2 2 2 2 2" xfId="15870" xr:uid="{00000000-0005-0000-0000-00002D3E0000}"/>
    <cellStyle name="Normal 7 3 2 2 2 2 3" xfId="15871" xr:uid="{00000000-0005-0000-0000-00002E3E0000}"/>
    <cellStyle name="Normal 7 3 2 2 2 3" xfId="15872" xr:uid="{00000000-0005-0000-0000-00002F3E0000}"/>
    <cellStyle name="Normal 7 3 2 2 2 4" xfId="15873" xr:uid="{00000000-0005-0000-0000-0000303E0000}"/>
    <cellStyle name="Normal 7 3 2 2 3" xfId="15874" xr:uid="{00000000-0005-0000-0000-0000313E0000}"/>
    <cellStyle name="Normal 7 3 2 2 3 2" xfId="15875" xr:uid="{00000000-0005-0000-0000-0000323E0000}"/>
    <cellStyle name="Normal 7 3 2 2 3 3" xfId="15876" xr:uid="{00000000-0005-0000-0000-0000333E0000}"/>
    <cellStyle name="Normal 7 3 2 2 4" xfId="15877" xr:uid="{00000000-0005-0000-0000-0000343E0000}"/>
    <cellStyle name="Normal 7 3 2 2 5" xfId="15878" xr:uid="{00000000-0005-0000-0000-0000353E0000}"/>
    <cellStyle name="Normal 7 3 2 3" xfId="15879" xr:uid="{00000000-0005-0000-0000-0000363E0000}"/>
    <cellStyle name="Normal 7 3 2 3 2" xfId="15880" xr:uid="{00000000-0005-0000-0000-0000373E0000}"/>
    <cellStyle name="Normal 7 3 2 3 2 2" xfId="15881" xr:uid="{00000000-0005-0000-0000-0000383E0000}"/>
    <cellStyle name="Normal 7 3 2 3 2 3" xfId="15882" xr:uid="{00000000-0005-0000-0000-0000393E0000}"/>
    <cellStyle name="Normal 7 3 2 3 3" xfId="15883" xr:uid="{00000000-0005-0000-0000-00003A3E0000}"/>
    <cellStyle name="Normal 7 3 2 3 4" xfId="15884" xr:uid="{00000000-0005-0000-0000-00003B3E0000}"/>
    <cellStyle name="Normal 7 3 2 4" xfId="15885" xr:uid="{00000000-0005-0000-0000-00003C3E0000}"/>
    <cellStyle name="Normal 7 3 2 4 2" xfId="15886" xr:uid="{00000000-0005-0000-0000-00003D3E0000}"/>
    <cellStyle name="Normal 7 3 2 4 3" xfId="15887" xr:uid="{00000000-0005-0000-0000-00003E3E0000}"/>
    <cellStyle name="Normal 7 3 2 5" xfId="15888" xr:uid="{00000000-0005-0000-0000-00003F3E0000}"/>
    <cellStyle name="Normal 7 3 2 6" xfId="15889" xr:uid="{00000000-0005-0000-0000-0000403E0000}"/>
    <cellStyle name="Normal 7 3 3" xfId="15890" xr:uid="{00000000-0005-0000-0000-0000413E0000}"/>
    <cellStyle name="Normal 7 3 3 2" xfId="15891" xr:uid="{00000000-0005-0000-0000-0000423E0000}"/>
    <cellStyle name="Normal 7 3 3 2 2" xfId="15892" xr:uid="{00000000-0005-0000-0000-0000433E0000}"/>
    <cellStyle name="Normal 7 3 3 2 2 2" xfId="15893" xr:uid="{00000000-0005-0000-0000-0000443E0000}"/>
    <cellStyle name="Normal 7 3 3 2 2 2 2" xfId="15894" xr:uid="{00000000-0005-0000-0000-0000453E0000}"/>
    <cellStyle name="Normal 7 3 3 2 2 2 3" xfId="15895" xr:uid="{00000000-0005-0000-0000-0000463E0000}"/>
    <cellStyle name="Normal 7 3 3 2 2 3" xfId="15896" xr:uid="{00000000-0005-0000-0000-0000473E0000}"/>
    <cellStyle name="Normal 7 3 3 2 2 4" xfId="15897" xr:uid="{00000000-0005-0000-0000-0000483E0000}"/>
    <cellStyle name="Normal 7 3 3 2 3" xfId="15898" xr:uid="{00000000-0005-0000-0000-0000493E0000}"/>
    <cellStyle name="Normal 7 3 3 2 3 2" xfId="15899" xr:uid="{00000000-0005-0000-0000-00004A3E0000}"/>
    <cellStyle name="Normal 7 3 3 2 3 3" xfId="15900" xr:uid="{00000000-0005-0000-0000-00004B3E0000}"/>
    <cellStyle name="Normal 7 3 3 2 4" xfId="15901" xr:uid="{00000000-0005-0000-0000-00004C3E0000}"/>
    <cellStyle name="Normal 7 3 3 2 5" xfId="15902" xr:uid="{00000000-0005-0000-0000-00004D3E0000}"/>
    <cellStyle name="Normal 7 3 3 3" xfId="15903" xr:uid="{00000000-0005-0000-0000-00004E3E0000}"/>
    <cellStyle name="Normal 7 3 3 3 2" xfId="15904" xr:uid="{00000000-0005-0000-0000-00004F3E0000}"/>
    <cellStyle name="Normal 7 3 3 3 2 2" xfId="15905" xr:uid="{00000000-0005-0000-0000-0000503E0000}"/>
    <cellStyle name="Normal 7 3 3 3 2 3" xfId="15906" xr:uid="{00000000-0005-0000-0000-0000513E0000}"/>
    <cellStyle name="Normal 7 3 3 3 3" xfId="15907" xr:uid="{00000000-0005-0000-0000-0000523E0000}"/>
    <cellStyle name="Normal 7 3 3 3 4" xfId="15908" xr:uid="{00000000-0005-0000-0000-0000533E0000}"/>
    <cellStyle name="Normal 7 3 3 4" xfId="15909" xr:uid="{00000000-0005-0000-0000-0000543E0000}"/>
    <cellStyle name="Normal 7 3 3 4 2" xfId="15910" xr:uid="{00000000-0005-0000-0000-0000553E0000}"/>
    <cellStyle name="Normal 7 3 3 4 3" xfId="15911" xr:uid="{00000000-0005-0000-0000-0000563E0000}"/>
    <cellStyle name="Normal 7 3 3 5" xfId="15912" xr:uid="{00000000-0005-0000-0000-0000573E0000}"/>
    <cellStyle name="Normal 7 3 3 6" xfId="15913" xr:uid="{00000000-0005-0000-0000-0000583E0000}"/>
    <cellStyle name="Normal 7 3 4" xfId="15914" xr:uid="{00000000-0005-0000-0000-0000593E0000}"/>
    <cellStyle name="Normal 7 3 4 2" xfId="15915" xr:uid="{00000000-0005-0000-0000-00005A3E0000}"/>
    <cellStyle name="Normal 7 3 4 2 2" xfId="15916" xr:uid="{00000000-0005-0000-0000-00005B3E0000}"/>
    <cellStyle name="Normal 7 3 4 2 2 2" xfId="15917" xr:uid="{00000000-0005-0000-0000-00005C3E0000}"/>
    <cellStyle name="Normal 7 3 4 2 2 2 2" xfId="15918" xr:uid="{00000000-0005-0000-0000-00005D3E0000}"/>
    <cellStyle name="Normal 7 3 4 2 2 2 3" xfId="15919" xr:uid="{00000000-0005-0000-0000-00005E3E0000}"/>
    <cellStyle name="Normal 7 3 4 2 2 3" xfId="15920" xr:uid="{00000000-0005-0000-0000-00005F3E0000}"/>
    <cellStyle name="Normal 7 3 4 2 2 4" xfId="15921" xr:uid="{00000000-0005-0000-0000-0000603E0000}"/>
    <cellStyle name="Normal 7 3 4 2 3" xfId="15922" xr:uid="{00000000-0005-0000-0000-0000613E0000}"/>
    <cellStyle name="Normal 7 3 4 2 3 2" xfId="15923" xr:uid="{00000000-0005-0000-0000-0000623E0000}"/>
    <cellStyle name="Normal 7 3 4 2 3 3" xfId="15924" xr:uid="{00000000-0005-0000-0000-0000633E0000}"/>
    <cellStyle name="Normal 7 3 4 2 4" xfId="15925" xr:uid="{00000000-0005-0000-0000-0000643E0000}"/>
    <cellStyle name="Normal 7 3 4 2 5" xfId="15926" xr:uid="{00000000-0005-0000-0000-0000653E0000}"/>
    <cellStyle name="Normal 7 3 4 3" xfId="15927" xr:uid="{00000000-0005-0000-0000-0000663E0000}"/>
    <cellStyle name="Normal 7 3 4 3 2" xfId="15928" xr:uid="{00000000-0005-0000-0000-0000673E0000}"/>
    <cellStyle name="Normal 7 3 4 3 2 2" xfId="15929" xr:uid="{00000000-0005-0000-0000-0000683E0000}"/>
    <cellStyle name="Normal 7 3 4 3 2 3" xfId="15930" xr:uid="{00000000-0005-0000-0000-0000693E0000}"/>
    <cellStyle name="Normal 7 3 4 3 3" xfId="15931" xr:uid="{00000000-0005-0000-0000-00006A3E0000}"/>
    <cellStyle name="Normal 7 3 4 3 4" xfId="15932" xr:uid="{00000000-0005-0000-0000-00006B3E0000}"/>
    <cellStyle name="Normal 7 3 4 4" xfId="15933" xr:uid="{00000000-0005-0000-0000-00006C3E0000}"/>
    <cellStyle name="Normal 7 3 4 4 2" xfId="15934" xr:uid="{00000000-0005-0000-0000-00006D3E0000}"/>
    <cellStyle name="Normal 7 3 4 4 3" xfId="15935" xr:uid="{00000000-0005-0000-0000-00006E3E0000}"/>
    <cellStyle name="Normal 7 3 4 5" xfId="15936" xr:uid="{00000000-0005-0000-0000-00006F3E0000}"/>
    <cellStyle name="Normal 7 3 4 6" xfId="15937" xr:uid="{00000000-0005-0000-0000-0000703E0000}"/>
    <cellStyle name="Normal 7 3 5" xfId="15938" xr:uid="{00000000-0005-0000-0000-0000713E0000}"/>
    <cellStyle name="Normal 7 3 5 2" xfId="15939" xr:uid="{00000000-0005-0000-0000-0000723E0000}"/>
    <cellStyle name="Normal 7 3 5 2 2" xfId="15940" xr:uid="{00000000-0005-0000-0000-0000733E0000}"/>
    <cellStyle name="Normal 7 3 5 2 2 2" xfId="15941" xr:uid="{00000000-0005-0000-0000-0000743E0000}"/>
    <cellStyle name="Normal 7 3 5 2 2 2 2" xfId="15942" xr:uid="{00000000-0005-0000-0000-0000753E0000}"/>
    <cellStyle name="Normal 7 3 5 2 2 2 3" xfId="15943" xr:uid="{00000000-0005-0000-0000-0000763E0000}"/>
    <cellStyle name="Normal 7 3 5 2 2 3" xfId="15944" xr:uid="{00000000-0005-0000-0000-0000773E0000}"/>
    <cellStyle name="Normal 7 3 5 2 2 4" xfId="15945" xr:uid="{00000000-0005-0000-0000-0000783E0000}"/>
    <cellStyle name="Normal 7 3 5 2 3" xfId="15946" xr:uid="{00000000-0005-0000-0000-0000793E0000}"/>
    <cellStyle name="Normal 7 3 5 2 3 2" xfId="15947" xr:uid="{00000000-0005-0000-0000-00007A3E0000}"/>
    <cellStyle name="Normal 7 3 5 2 3 3" xfId="15948" xr:uid="{00000000-0005-0000-0000-00007B3E0000}"/>
    <cellStyle name="Normal 7 3 5 2 4" xfId="15949" xr:uid="{00000000-0005-0000-0000-00007C3E0000}"/>
    <cellStyle name="Normal 7 3 5 2 5" xfId="15950" xr:uid="{00000000-0005-0000-0000-00007D3E0000}"/>
    <cellStyle name="Normal 7 3 5 3" xfId="15951" xr:uid="{00000000-0005-0000-0000-00007E3E0000}"/>
    <cellStyle name="Normal 7 3 5 3 2" xfId="15952" xr:uid="{00000000-0005-0000-0000-00007F3E0000}"/>
    <cellStyle name="Normal 7 3 5 3 2 2" xfId="15953" xr:uid="{00000000-0005-0000-0000-0000803E0000}"/>
    <cellStyle name="Normal 7 3 5 3 2 3" xfId="15954" xr:uid="{00000000-0005-0000-0000-0000813E0000}"/>
    <cellStyle name="Normal 7 3 5 3 3" xfId="15955" xr:uid="{00000000-0005-0000-0000-0000823E0000}"/>
    <cellStyle name="Normal 7 3 5 3 4" xfId="15956" xr:uid="{00000000-0005-0000-0000-0000833E0000}"/>
    <cellStyle name="Normal 7 3 5 4" xfId="15957" xr:uid="{00000000-0005-0000-0000-0000843E0000}"/>
    <cellStyle name="Normal 7 3 5 4 2" xfId="15958" xr:uid="{00000000-0005-0000-0000-0000853E0000}"/>
    <cellStyle name="Normal 7 3 5 4 3" xfId="15959" xr:uid="{00000000-0005-0000-0000-0000863E0000}"/>
    <cellStyle name="Normal 7 3 5 5" xfId="15960" xr:uid="{00000000-0005-0000-0000-0000873E0000}"/>
    <cellStyle name="Normal 7 3 5 6" xfId="15961" xr:uid="{00000000-0005-0000-0000-0000883E0000}"/>
    <cellStyle name="Normal 7 3 6" xfId="15962" xr:uid="{00000000-0005-0000-0000-0000893E0000}"/>
    <cellStyle name="Normal 7 3 6 2" xfId="15963" xr:uid="{00000000-0005-0000-0000-00008A3E0000}"/>
    <cellStyle name="Normal 7 3 6 2 2" xfId="15964" xr:uid="{00000000-0005-0000-0000-00008B3E0000}"/>
    <cellStyle name="Normal 7 3 6 2 2 2" xfId="15965" xr:uid="{00000000-0005-0000-0000-00008C3E0000}"/>
    <cellStyle name="Normal 7 3 6 2 2 3" xfId="15966" xr:uid="{00000000-0005-0000-0000-00008D3E0000}"/>
    <cellStyle name="Normal 7 3 6 2 3" xfId="15967" xr:uid="{00000000-0005-0000-0000-00008E3E0000}"/>
    <cellStyle name="Normal 7 3 6 2 4" xfId="15968" xr:uid="{00000000-0005-0000-0000-00008F3E0000}"/>
    <cellStyle name="Normal 7 3 6 3" xfId="15969" xr:uid="{00000000-0005-0000-0000-0000903E0000}"/>
    <cellStyle name="Normal 7 3 6 3 2" xfId="15970" xr:uid="{00000000-0005-0000-0000-0000913E0000}"/>
    <cellStyle name="Normal 7 3 6 3 3" xfId="15971" xr:uid="{00000000-0005-0000-0000-0000923E0000}"/>
    <cellStyle name="Normal 7 3 6 4" xfId="15972" xr:uid="{00000000-0005-0000-0000-0000933E0000}"/>
    <cellStyle name="Normal 7 3 6 5" xfId="15973" xr:uid="{00000000-0005-0000-0000-0000943E0000}"/>
    <cellStyle name="Normal 7 3 7" xfId="15974" xr:uid="{00000000-0005-0000-0000-0000953E0000}"/>
    <cellStyle name="Normal 7 3 7 2" xfId="15975" xr:uid="{00000000-0005-0000-0000-0000963E0000}"/>
    <cellStyle name="Normal 7 3 7 2 2" xfId="15976" xr:uid="{00000000-0005-0000-0000-0000973E0000}"/>
    <cellStyle name="Normal 7 3 7 2 3" xfId="15977" xr:uid="{00000000-0005-0000-0000-0000983E0000}"/>
    <cellStyle name="Normal 7 3 7 3" xfId="15978" xr:uid="{00000000-0005-0000-0000-0000993E0000}"/>
    <cellStyle name="Normal 7 3 7 4" xfId="15979" xr:uid="{00000000-0005-0000-0000-00009A3E0000}"/>
    <cellStyle name="Normal 7 3 8" xfId="15980" xr:uid="{00000000-0005-0000-0000-00009B3E0000}"/>
    <cellStyle name="Normal 7 3 8 2" xfId="15981" xr:uid="{00000000-0005-0000-0000-00009C3E0000}"/>
    <cellStyle name="Normal 7 3 8 3" xfId="15982" xr:uid="{00000000-0005-0000-0000-00009D3E0000}"/>
    <cellStyle name="Normal 7 3 9" xfId="15983" xr:uid="{00000000-0005-0000-0000-00009E3E0000}"/>
    <cellStyle name="Normal 7 4" xfId="15984" xr:uid="{00000000-0005-0000-0000-00009F3E0000}"/>
    <cellStyle name="Normal 7 4 2" xfId="15985" xr:uid="{00000000-0005-0000-0000-0000A03E0000}"/>
    <cellStyle name="Normal 7 4 2 2" xfId="15986" xr:uid="{00000000-0005-0000-0000-0000A13E0000}"/>
    <cellStyle name="Normal 7 4 2 2 2" xfId="15987" xr:uid="{00000000-0005-0000-0000-0000A23E0000}"/>
    <cellStyle name="Normal 7 4 2 2 2 2" xfId="15988" xr:uid="{00000000-0005-0000-0000-0000A33E0000}"/>
    <cellStyle name="Normal 7 4 2 2 2 3" xfId="15989" xr:uid="{00000000-0005-0000-0000-0000A43E0000}"/>
    <cellStyle name="Normal 7 4 2 2 3" xfId="15990" xr:uid="{00000000-0005-0000-0000-0000A53E0000}"/>
    <cellStyle name="Normal 7 4 2 2 4" xfId="15991" xr:uid="{00000000-0005-0000-0000-0000A63E0000}"/>
    <cellStyle name="Normal 7 4 2 3" xfId="15992" xr:uid="{00000000-0005-0000-0000-0000A73E0000}"/>
    <cellStyle name="Normal 7 4 2 3 2" xfId="15993" xr:uid="{00000000-0005-0000-0000-0000A83E0000}"/>
    <cellStyle name="Normal 7 4 2 3 3" xfId="15994" xr:uid="{00000000-0005-0000-0000-0000A93E0000}"/>
    <cellStyle name="Normal 7 4 2 4" xfId="15995" xr:uid="{00000000-0005-0000-0000-0000AA3E0000}"/>
    <cellStyle name="Normal 7 4 2 5" xfId="15996" xr:uid="{00000000-0005-0000-0000-0000AB3E0000}"/>
    <cellStyle name="Normal 7 4 3" xfId="15997" xr:uid="{00000000-0005-0000-0000-0000AC3E0000}"/>
    <cellStyle name="Normal 7 4 3 2" xfId="15998" xr:uid="{00000000-0005-0000-0000-0000AD3E0000}"/>
    <cellStyle name="Normal 7 4 3 2 2" xfId="15999" xr:uid="{00000000-0005-0000-0000-0000AE3E0000}"/>
    <cellStyle name="Normal 7 4 3 2 3" xfId="16000" xr:uid="{00000000-0005-0000-0000-0000AF3E0000}"/>
    <cellStyle name="Normal 7 4 3 3" xfId="16001" xr:uid="{00000000-0005-0000-0000-0000B03E0000}"/>
    <cellStyle name="Normal 7 4 3 4" xfId="16002" xr:uid="{00000000-0005-0000-0000-0000B13E0000}"/>
    <cellStyle name="Normal 7 4 4" xfId="16003" xr:uid="{00000000-0005-0000-0000-0000B23E0000}"/>
    <cellStyle name="Normal 7 4 4 2" xfId="16004" xr:uid="{00000000-0005-0000-0000-0000B33E0000}"/>
    <cellStyle name="Normal 7 4 4 3" xfId="16005" xr:uid="{00000000-0005-0000-0000-0000B43E0000}"/>
    <cellStyle name="Normal 7 4 5" xfId="16006" xr:uid="{00000000-0005-0000-0000-0000B53E0000}"/>
    <cellStyle name="Normal 7 4 6" xfId="16007" xr:uid="{00000000-0005-0000-0000-0000B63E0000}"/>
    <cellStyle name="Normal 7 5" xfId="16008" xr:uid="{00000000-0005-0000-0000-0000B73E0000}"/>
    <cellStyle name="Normal 7 5 2" xfId="16009" xr:uid="{00000000-0005-0000-0000-0000B83E0000}"/>
    <cellStyle name="Normal 7 5 2 2" xfId="16010" xr:uid="{00000000-0005-0000-0000-0000B93E0000}"/>
    <cellStyle name="Normal 7 5 2 2 2" xfId="16011" xr:uid="{00000000-0005-0000-0000-0000BA3E0000}"/>
    <cellStyle name="Normal 7 5 2 2 2 2" xfId="16012" xr:uid="{00000000-0005-0000-0000-0000BB3E0000}"/>
    <cellStyle name="Normal 7 5 2 2 2 3" xfId="16013" xr:uid="{00000000-0005-0000-0000-0000BC3E0000}"/>
    <cellStyle name="Normal 7 5 2 2 3" xfId="16014" xr:uid="{00000000-0005-0000-0000-0000BD3E0000}"/>
    <cellStyle name="Normal 7 5 2 2 4" xfId="16015" xr:uid="{00000000-0005-0000-0000-0000BE3E0000}"/>
    <cellStyle name="Normal 7 5 2 3" xfId="16016" xr:uid="{00000000-0005-0000-0000-0000BF3E0000}"/>
    <cellStyle name="Normal 7 5 2 3 2" xfId="16017" xr:uid="{00000000-0005-0000-0000-0000C03E0000}"/>
    <cellStyle name="Normal 7 5 2 3 3" xfId="16018" xr:uid="{00000000-0005-0000-0000-0000C13E0000}"/>
    <cellStyle name="Normal 7 5 2 4" xfId="16019" xr:uid="{00000000-0005-0000-0000-0000C23E0000}"/>
    <cellStyle name="Normal 7 5 2 5" xfId="16020" xr:uid="{00000000-0005-0000-0000-0000C33E0000}"/>
    <cellStyle name="Normal 7 5 3" xfId="16021" xr:uid="{00000000-0005-0000-0000-0000C43E0000}"/>
    <cellStyle name="Normal 7 5 3 2" xfId="16022" xr:uid="{00000000-0005-0000-0000-0000C53E0000}"/>
    <cellStyle name="Normal 7 5 3 2 2" xfId="16023" xr:uid="{00000000-0005-0000-0000-0000C63E0000}"/>
    <cellStyle name="Normal 7 5 3 2 3" xfId="16024" xr:uid="{00000000-0005-0000-0000-0000C73E0000}"/>
    <cellStyle name="Normal 7 5 3 3" xfId="16025" xr:uid="{00000000-0005-0000-0000-0000C83E0000}"/>
    <cellStyle name="Normal 7 5 3 4" xfId="16026" xr:uid="{00000000-0005-0000-0000-0000C93E0000}"/>
    <cellStyle name="Normal 7 5 4" xfId="16027" xr:uid="{00000000-0005-0000-0000-0000CA3E0000}"/>
    <cellStyle name="Normal 7 5 4 2" xfId="16028" xr:uid="{00000000-0005-0000-0000-0000CB3E0000}"/>
    <cellStyle name="Normal 7 5 4 3" xfId="16029" xr:uid="{00000000-0005-0000-0000-0000CC3E0000}"/>
    <cellStyle name="Normal 7 5 5" xfId="16030" xr:uid="{00000000-0005-0000-0000-0000CD3E0000}"/>
    <cellStyle name="Normal 7 5 6" xfId="16031" xr:uid="{00000000-0005-0000-0000-0000CE3E0000}"/>
    <cellStyle name="Normal 7 6" xfId="16032" xr:uid="{00000000-0005-0000-0000-0000CF3E0000}"/>
    <cellStyle name="Normal 7 6 2" xfId="16033" xr:uid="{00000000-0005-0000-0000-0000D03E0000}"/>
    <cellStyle name="Normal 7 6 2 2" xfId="16034" xr:uid="{00000000-0005-0000-0000-0000D13E0000}"/>
    <cellStyle name="Normal 7 6 2 2 2" xfId="16035" xr:uid="{00000000-0005-0000-0000-0000D23E0000}"/>
    <cellStyle name="Normal 7 6 2 2 2 2" xfId="16036" xr:uid="{00000000-0005-0000-0000-0000D33E0000}"/>
    <cellStyle name="Normal 7 6 2 2 2 3" xfId="16037" xr:uid="{00000000-0005-0000-0000-0000D43E0000}"/>
    <cellStyle name="Normal 7 6 2 2 3" xfId="16038" xr:uid="{00000000-0005-0000-0000-0000D53E0000}"/>
    <cellStyle name="Normal 7 6 2 2 4" xfId="16039" xr:uid="{00000000-0005-0000-0000-0000D63E0000}"/>
    <cellStyle name="Normal 7 6 2 3" xfId="16040" xr:uid="{00000000-0005-0000-0000-0000D73E0000}"/>
    <cellStyle name="Normal 7 6 2 3 2" xfId="16041" xr:uid="{00000000-0005-0000-0000-0000D83E0000}"/>
    <cellStyle name="Normal 7 6 2 3 3" xfId="16042" xr:uid="{00000000-0005-0000-0000-0000D93E0000}"/>
    <cellStyle name="Normal 7 6 2 4" xfId="16043" xr:uid="{00000000-0005-0000-0000-0000DA3E0000}"/>
    <cellStyle name="Normal 7 6 2 5" xfId="16044" xr:uid="{00000000-0005-0000-0000-0000DB3E0000}"/>
    <cellStyle name="Normal 7 6 3" xfId="16045" xr:uid="{00000000-0005-0000-0000-0000DC3E0000}"/>
    <cellStyle name="Normal 7 6 3 2" xfId="16046" xr:uid="{00000000-0005-0000-0000-0000DD3E0000}"/>
    <cellStyle name="Normal 7 6 3 2 2" xfId="16047" xr:uid="{00000000-0005-0000-0000-0000DE3E0000}"/>
    <cellStyle name="Normal 7 6 3 2 3" xfId="16048" xr:uid="{00000000-0005-0000-0000-0000DF3E0000}"/>
    <cellStyle name="Normal 7 6 3 3" xfId="16049" xr:uid="{00000000-0005-0000-0000-0000E03E0000}"/>
    <cellStyle name="Normal 7 6 3 4" xfId="16050" xr:uid="{00000000-0005-0000-0000-0000E13E0000}"/>
    <cellStyle name="Normal 7 6 4" xfId="16051" xr:uid="{00000000-0005-0000-0000-0000E23E0000}"/>
    <cellStyle name="Normal 7 6 4 2" xfId="16052" xr:uid="{00000000-0005-0000-0000-0000E33E0000}"/>
    <cellStyle name="Normal 7 6 4 3" xfId="16053" xr:uid="{00000000-0005-0000-0000-0000E43E0000}"/>
    <cellStyle name="Normal 7 6 5" xfId="16054" xr:uid="{00000000-0005-0000-0000-0000E53E0000}"/>
    <cellStyle name="Normal 7 6 6" xfId="16055" xr:uid="{00000000-0005-0000-0000-0000E63E0000}"/>
    <cellStyle name="Normal 7 7" xfId="16056" xr:uid="{00000000-0005-0000-0000-0000E73E0000}"/>
    <cellStyle name="Normal 7 7 2" xfId="16057" xr:uid="{00000000-0005-0000-0000-0000E83E0000}"/>
    <cellStyle name="Normal 7 7 2 2" xfId="16058" xr:uid="{00000000-0005-0000-0000-0000E93E0000}"/>
    <cellStyle name="Normal 7 7 2 2 2" xfId="16059" xr:uid="{00000000-0005-0000-0000-0000EA3E0000}"/>
    <cellStyle name="Normal 7 7 2 2 2 2" xfId="16060" xr:uid="{00000000-0005-0000-0000-0000EB3E0000}"/>
    <cellStyle name="Normal 7 7 2 2 2 3" xfId="16061" xr:uid="{00000000-0005-0000-0000-0000EC3E0000}"/>
    <cellStyle name="Normal 7 7 2 2 3" xfId="16062" xr:uid="{00000000-0005-0000-0000-0000ED3E0000}"/>
    <cellStyle name="Normal 7 7 2 2 4" xfId="16063" xr:uid="{00000000-0005-0000-0000-0000EE3E0000}"/>
    <cellStyle name="Normal 7 7 2 3" xfId="16064" xr:uid="{00000000-0005-0000-0000-0000EF3E0000}"/>
    <cellStyle name="Normal 7 7 2 3 2" xfId="16065" xr:uid="{00000000-0005-0000-0000-0000F03E0000}"/>
    <cellStyle name="Normal 7 7 2 3 3" xfId="16066" xr:uid="{00000000-0005-0000-0000-0000F13E0000}"/>
    <cellStyle name="Normal 7 7 2 4" xfId="16067" xr:uid="{00000000-0005-0000-0000-0000F23E0000}"/>
    <cellStyle name="Normal 7 7 2 5" xfId="16068" xr:uid="{00000000-0005-0000-0000-0000F33E0000}"/>
    <cellStyle name="Normal 7 7 3" xfId="16069" xr:uid="{00000000-0005-0000-0000-0000F43E0000}"/>
    <cellStyle name="Normal 7 7 3 2" xfId="16070" xr:uid="{00000000-0005-0000-0000-0000F53E0000}"/>
    <cellStyle name="Normal 7 7 3 2 2" xfId="16071" xr:uid="{00000000-0005-0000-0000-0000F63E0000}"/>
    <cellStyle name="Normal 7 7 3 2 3" xfId="16072" xr:uid="{00000000-0005-0000-0000-0000F73E0000}"/>
    <cellStyle name="Normal 7 7 3 3" xfId="16073" xr:uid="{00000000-0005-0000-0000-0000F83E0000}"/>
    <cellStyle name="Normal 7 7 3 4" xfId="16074" xr:uid="{00000000-0005-0000-0000-0000F93E0000}"/>
    <cellStyle name="Normal 7 7 4" xfId="16075" xr:uid="{00000000-0005-0000-0000-0000FA3E0000}"/>
    <cellStyle name="Normal 7 7 4 2" xfId="16076" xr:uid="{00000000-0005-0000-0000-0000FB3E0000}"/>
    <cellStyle name="Normal 7 7 4 3" xfId="16077" xr:uid="{00000000-0005-0000-0000-0000FC3E0000}"/>
    <cellStyle name="Normal 7 7 5" xfId="16078" xr:uid="{00000000-0005-0000-0000-0000FD3E0000}"/>
    <cellStyle name="Normal 7 7 6" xfId="16079" xr:uid="{00000000-0005-0000-0000-0000FE3E0000}"/>
    <cellStyle name="Normal 7 8" xfId="16080" xr:uid="{00000000-0005-0000-0000-0000FF3E0000}"/>
    <cellStyle name="Normal 7 8 2" xfId="16081" xr:uid="{00000000-0005-0000-0000-0000003F0000}"/>
    <cellStyle name="Normal 7 8 2 2" xfId="16082" xr:uid="{00000000-0005-0000-0000-0000013F0000}"/>
    <cellStyle name="Normal 7 8 2 2 2" xfId="16083" xr:uid="{00000000-0005-0000-0000-0000023F0000}"/>
    <cellStyle name="Normal 7 8 2 2 2 2" xfId="16084" xr:uid="{00000000-0005-0000-0000-0000033F0000}"/>
    <cellStyle name="Normal 7 8 2 2 2 3" xfId="16085" xr:uid="{00000000-0005-0000-0000-0000043F0000}"/>
    <cellStyle name="Normal 7 8 2 2 3" xfId="16086" xr:uid="{00000000-0005-0000-0000-0000053F0000}"/>
    <cellStyle name="Normal 7 8 2 2 4" xfId="16087" xr:uid="{00000000-0005-0000-0000-0000063F0000}"/>
    <cellStyle name="Normal 7 8 2 3" xfId="16088" xr:uid="{00000000-0005-0000-0000-0000073F0000}"/>
    <cellStyle name="Normal 7 8 2 3 2" xfId="16089" xr:uid="{00000000-0005-0000-0000-0000083F0000}"/>
    <cellStyle name="Normal 7 8 2 3 3" xfId="16090" xr:uid="{00000000-0005-0000-0000-0000093F0000}"/>
    <cellStyle name="Normal 7 8 2 4" xfId="16091" xr:uid="{00000000-0005-0000-0000-00000A3F0000}"/>
    <cellStyle name="Normal 7 8 2 5" xfId="16092" xr:uid="{00000000-0005-0000-0000-00000B3F0000}"/>
    <cellStyle name="Normal 7 8 3" xfId="16093" xr:uid="{00000000-0005-0000-0000-00000C3F0000}"/>
    <cellStyle name="Normal 7 8 3 2" xfId="16094" xr:uid="{00000000-0005-0000-0000-00000D3F0000}"/>
    <cellStyle name="Normal 7 8 3 2 2" xfId="16095" xr:uid="{00000000-0005-0000-0000-00000E3F0000}"/>
    <cellStyle name="Normal 7 8 3 2 3" xfId="16096" xr:uid="{00000000-0005-0000-0000-00000F3F0000}"/>
    <cellStyle name="Normal 7 8 3 3" xfId="16097" xr:uid="{00000000-0005-0000-0000-0000103F0000}"/>
    <cellStyle name="Normal 7 8 3 4" xfId="16098" xr:uid="{00000000-0005-0000-0000-0000113F0000}"/>
    <cellStyle name="Normal 7 8 4" xfId="16099" xr:uid="{00000000-0005-0000-0000-0000123F0000}"/>
    <cellStyle name="Normal 7 8 4 2" xfId="16100" xr:uid="{00000000-0005-0000-0000-0000133F0000}"/>
    <cellStyle name="Normal 7 8 4 3" xfId="16101" xr:uid="{00000000-0005-0000-0000-0000143F0000}"/>
    <cellStyle name="Normal 7 8 5" xfId="16102" xr:uid="{00000000-0005-0000-0000-0000153F0000}"/>
    <cellStyle name="Normal 7 8 6" xfId="16103" xr:uid="{00000000-0005-0000-0000-0000163F0000}"/>
    <cellStyle name="Normal 7 9" xfId="16104" xr:uid="{00000000-0005-0000-0000-0000173F0000}"/>
    <cellStyle name="Normal 7 9 2" xfId="16105" xr:uid="{00000000-0005-0000-0000-0000183F0000}"/>
    <cellStyle name="Normal 7 9 2 2" xfId="16106" xr:uid="{00000000-0005-0000-0000-0000193F0000}"/>
    <cellStyle name="Normal 7 9 2 2 2" xfId="16107" xr:uid="{00000000-0005-0000-0000-00001A3F0000}"/>
    <cellStyle name="Normal 7 9 2 2 2 2" xfId="16108" xr:uid="{00000000-0005-0000-0000-00001B3F0000}"/>
    <cellStyle name="Normal 7 9 2 2 2 3" xfId="16109" xr:uid="{00000000-0005-0000-0000-00001C3F0000}"/>
    <cellStyle name="Normal 7 9 2 2 3" xfId="16110" xr:uid="{00000000-0005-0000-0000-00001D3F0000}"/>
    <cellStyle name="Normal 7 9 2 2 4" xfId="16111" xr:uid="{00000000-0005-0000-0000-00001E3F0000}"/>
    <cellStyle name="Normal 7 9 2 3" xfId="16112" xr:uid="{00000000-0005-0000-0000-00001F3F0000}"/>
    <cellStyle name="Normal 7 9 2 3 2" xfId="16113" xr:uid="{00000000-0005-0000-0000-0000203F0000}"/>
    <cellStyle name="Normal 7 9 2 3 3" xfId="16114" xr:uid="{00000000-0005-0000-0000-0000213F0000}"/>
    <cellStyle name="Normal 7 9 2 4" xfId="16115" xr:uid="{00000000-0005-0000-0000-0000223F0000}"/>
    <cellStyle name="Normal 7 9 2 5" xfId="16116" xr:uid="{00000000-0005-0000-0000-0000233F0000}"/>
    <cellStyle name="Normal 7 9 3" xfId="16117" xr:uid="{00000000-0005-0000-0000-0000243F0000}"/>
    <cellStyle name="Normal 7 9 3 2" xfId="16118" xr:uid="{00000000-0005-0000-0000-0000253F0000}"/>
    <cellStyle name="Normal 7 9 3 2 2" xfId="16119" xr:uid="{00000000-0005-0000-0000-0000263F0000}"/>
    <cellStyle name="Normal 7 9 3 2 3" xfId="16120" xr:uid="{00000000-0005-0000-0000-0000273F0000}"/>
    <cellStyle name="Normal 7 9 3 3" xfId="16121" xr:uid="{00000000-0005-0000-0000-0000283F0000}"/>
    <cellStyle name="Normal 7 9 3 4" xfId="16122" xr:uid="{00000000-0005-0000-0000-0000293F0000}"/>
    <cellStyle name="Normal 7 9 4" xfId="16123" xr:uid="{00000000-0005-0000-0000-00002A3F0000}"/>
    <cellStyle name="Normal 7 9 4 2" xfId="16124" xr:uid="{00000000-0005-0000-0000-00002B3F0000}"/>
    <cellStyle name="Normal 7 9 4 3" xfId="16125" xr:uid="{00000000-0005-0000-0000-00002C3F0000}"/>
    <cellStyle name="Normal 7 9 5" xfId="16126" xr:uid="{00000000-0005-0000-0000-00002D3F0000}"/>
    <cellStyle name="Normal 7 9 6" xfId="16127" xr:uid="{00000000-0005-0000-0000-00002E3F0000}"/>
    <cellStyle name="Normal 8" xfId="35" xr:uid="{00000000-0005-0000-0000-00002F3F0000}"/>
    <cellStyle name="Normal 8 10" xfId="16128" xr:uid="{00000000-0005-0000-0000-0000303F0000}"/>
    <cellStyle name="Normal 8 10 2" xfId="16129" xr:uid="{00000000-0005-0000-0000-0000313F0000}"/>
    <cellStyle name="Normal 8 10 2 2" xfId="16130" xr:uid="{00000000-0005-0000-0000-0000323F0000}"/>
    <cellStyle name="Normal 8 10 2 2 2" xfId="16131" xr:uid="{00000000-0005-0000-0000-0000333F0000}"/>
    <cellStyle name="Normal 8 10 2 2 2 2" xfId="16132" xr:uid="{00000000-0005-0000-0000-0000343F0000}"/>
    <cellStyle name="Normal 8 10 2 2 2 3" xfId="16133" xr:uid="{00000000-0005-0000-0000-0000353F0000}"/>
    <cellStyle name="Normal 8 10 2 2 3" xfId="16134" xr:uid="{00000000-0005-0000-0000-0000363F0000}"/>
    <cellStyle name="Normal 8 10 2 2 4" xfId="16135" xr:uid="{00000000-0005-0000-0000-0000373F0000}"/>
    <cellStyle name="Normal 8 10 2 3" xfId="16136" xr:uid="{00000000-0005-0000-0000-0000383F0000}"/>
    <cellStyle name="Normal 8 10 2 3 2" xfId="16137" xr:uid="{00000000-0005-0000-0000-0000393F0000}"/>
    <cellStyle name="Normal 8 10 2 3 3" xfId="16138" xr:uid="{00000000-0005-0000-0000-00003A3F0000}"/>
    <cellStyle name="Normal 8 10 2 4" xfId="16139" xr:uid="{00000000-0005-0000-0000-00003B3F0000}"/>
    <cellStyle name="Normal 8 10 2 5" xfId="16140" xr:uid="{00000000-0005-0000-0000-00003C3F0000}"/>
    <cellStyle name="Normal 8 10 3" xfId="16141" xr:uid="{00000000-0005-0000-0000-00003D3F0000}"/>
    <cellStyle name="Normal 8 10 3 2" xfId="16142" xr:uid="{00000000-0005-0000-0000-00003E3F0000}"/>
    <cellStyle name="Normal 8 10 3 2 2" xfId="16143" xr:uid="{00000000-0005-0000-0000-00003F3F0000}"/>
    <cellStyle name="Normal 8 10 3 2 3" xfId="16144" xr:uid="{00000000-0005-0000-0000-0000403F0000}"/>
    <cellStyle name="Normal 8 10 3 3" xfId="16145" xr:uid="{00000000-0005-0000-0000-0000413F0000}"/>
    <cellStyle name="Normal 8 10 3 4" xfId="16146" xr:uid="{00000000-0005-0000-0000-0000423F0000}"/>
    <cellStyle name="Normal 8 10 4" xfId="16147" xr:uid="{00000000-0005-0000-0000-0000433F0000}"/>
    <cellStyle name="Normal 8 10 4 2" xfId="16148" xr:uid="{00000000-0005-0000-0000-0000443F0000}"/>
    <cellStyle name="Normal 8 10 4 3" xfId="16149" xr:uid="{00000000-0005-0000-0000-0000453F0000}"/>
    <cellStyle name="Normal 8 10 5" xfId="16150" xr:uid="{00000000-0005-0000-0000-0000463F0000}"/>
    <cellStyle name="Normal 8 10 6" xfId="16151" xr:uid="{00000000-0005-0000-0000-0000473F0000}"/>
    <cellStyle name="Normal 8 11" xfId="16152" xr:uid="{00000000-0005-0000-0000-0000483F0000}"/>
    <cellStyle name="Normal 8 11 2" xfId="16153" xr:uid="{00000000-0005-0000-0000-0000493F0000}"/>
    <cellStyle name="Normal 8 11 2 2" xfId="16154" xr:uid="{00000000-0005-0000-0000-00004A3F0000}"/>
    <cellStyle name="Normal 8 11 2 2 2" xfId="16155" xr:uid="{00000000-0005-0000-0000-00004B3F0000}"/>
    <cellStyle name="Normal 8 11 2 2 2 2" xfId="16156" xr:uid="{00000000-0005-0000-0000-00004C3F0000}"/>
    <cellStyle name="Normal 8 11 2 2 2 3" xfId="16157" xr:uid="{00000000-0005-0000-0000-00004D3F0000}"/>
    <cellStyle name="Normal 8 11 2 2 3" xfId="16158" xr:uid="{00000000-0005-0000-0000-00004E3F0000}"/>
    <cellStyle name="Normal 8 11 2 2 4" xfId="16159" xr:uid="{00000000-0005-0000-0000-00004F3F0000}"/>
    <cellStyle name="Normal 8 11 2 3" xfId="16160" xr:uid="{00000000-0005-0000-0000-0000503F0000}"/>
    <cellStyle name="Normal 8 11 2 3 2" xfId="16161" xr:uid="{00000000-0005-0000-0000-0000513F0000}"/>
    <cellStyle name="Normal 8 11 2 3 3" xfId="16162" xr:uid="{00000000-0005-0000-0000-0000523F0000}"/>
    <cellStyle name="Normal 8 11 2 4" xfId="16163" xr:uid="{00000000-0005-0000-0000-0000533F0000}"/>
    <cellStyle name="Normal 8 11 2 5" xfId="16164" xr:uid="{00000000-0005-0000-0000-0000543F0000}"/>
    <cellStyle name="Normal 8 11 3" xfId="16165" xr:uid="{00000000-0005-0000-0000-0000553F0000}"/>
    <cellStyle name="Normal 8 11 3 2" xfId="16166" xr:uid="{00000000-0005-0000-0000-0000563F0000}"/>
    <cellStyle name="Normal 8 11 3 2 2" xfId="16167" xr:uid="{00000000-0005-0000-0000-0000573F0000}"/>
    <cellStyle name="Normal 8 11 3 2 3" xfId="16168" xr:uid="{00000000-0005-0000-0000-0000583F0000}"/>
    <cellStyle name="Normal 8 11 3 3" xfId="16169" xr:uid="{00000000-0005-0000-0000-0000593F0000}"/>
    <cellStyle name="Normal 8 11 3 4" xfId="16170" xr:uid="{00000000-0005-0000-0000-00005A3F0000}"/>
    <cellStyle name="Normal 8 11 4" xfId="16171" xr:uid="{00000000-0005-0000-0000-00005B3F0000}"/>
    <cellStyle name="Normal 8 11 4 2" xfId="16172" xr:uid="{00000000-0005-0000-0000-00005C3F0000}"/>
    <cellStyle name="Normal 8 11 4 3" xfId="16173" xr:uid="{00000000-0005-0000-0000-00005D3F0000}"/>
    <cellStyle name="Normal 8 11 5" xfId="16174" xr:uid="{00000000-0005-0000-0000-00005E3F0000}"/>
    <cellStyle name="Normal 8 11 6" xfId="16175" xr:uid="{00000000-0005-0000-0000-00005F3F0000}"/>
    <cellStyle name="Normal 8 12" xfId="16176" xr:uid="{00000000-0005-0000-0000-0000603F0000}"/>
    <cellStyle name="Normal 8 12 2" xfId="16177" xr:uid="{00000000-0005-0000-0000-0000613F0000}"/>
    <cellStyle name="Normal 8 12 2 2" xfId="16178" xr:uid="{00000000-0005-0000-0000-0000623F0000}"/>
    <cellStyle name="Normal 8 12 2 2 2" xfId="16179" xr:uid="{00000000-0005-0000-0000-0000633F0000}"/>
    <cellStyle name="Normal 8 12 2 2 2 2" xfId="16180" xr:uid="{00000000-0005-0000-0000-0000643F0000}"/>
    <cellStyle name="Normal 8 12 2 2 2 3" xfId="16181" xr:uid="{00000000-0005-0000-0000-0000653F0000}"/>
    <cellStyle name="Normal 8 12 2 2 3" xfId="16182" xr:uid="{00000000-0005-0000-0000-0000663F0000}"/>
    <cellStyle name="Normal 8 12 2 2 4" xfId="16183" xr:uid="{00000000-0005-0000-0000-0000673F0000}"/>
    <cellStyle name="Normal 8 12 2 3" xfId="16184" xr:uid="{00000000-0005-0000-0000-0000683F0000}"/>
    <cellStyle name="Normal 8 12 2 3 2" xfId="16185" xr:uid="{00000000-0005-0000-0000-0000693F0000}"/>
    <cellStyle name="Normal 8 12 2 3 3" xfId="16186" xr:uid="{00000000-0005-0000-0000-00006A3F0000}"/>
    <cellStyle name="Normal 8 12 2 4" xfId="16187" xr:uid="{00000000-0005-0000-0000-00006B3F0000}"/>
    <cellStyle name="Normal 8 12 2 5" xfId="16188" xr:uid="{00000000-0005-0000-0000-00006C3F0000}"/>
    <cellStyle name="Normal 8 12 3" xfId="16189" xr:uid="{00000000-0005-0000-0000-00006D3F0000}"/>
    <cellStyle name="Normal 8 12 3 2" xfId="16190" xr:uid="{00000000-0005-0000-0000-00006E3F0000}"/>
    <cellStyle name="Normal 8 12 3 2 2" xfId="16191" xr:uid="{00000000-0005-0000-0000-00006F3F0000}"/>
    <cellStyle name="Normal 8 12 3 2 3" xfId="16192" xr:uid="{00000000-0005-0000-0000-0000703F0000}"/>
    <cellStyle name="Normal 8 12 3 3" xfId="16193" xr:uid="{00000000-0005-0000-0000-0000713F0000}"/>
    <cellStyle name="Normal 8 12 3 4" xfId="16194" xr:uid="{00000000-0005-0000-0000-0000723F0000}"/>
    <cellStyle name="Normal 8 12 4" xfId="16195" xr:uid="{00000000-0005-0000-0000-0000733F0000}"/>
    <cellStyle name="Normal 8 12 4 2" xfId="16196" xr:uid="{00000000-0005-0000-0000-0000743F0000}"/>
    <cellStyle name="Normal 8 12 4 3" xfId="16197" xr:uid="{00000000-0005-0000-0000-0000753F0000}"/>
    <cellStyle name="Normal 8 12 5" xfId="16198" xr:uid="{00000000-0005-0000-0000-0000763F0000}"/>
    <cellStyle name="Normal 8 12 6" xfId="16199" xr:uid="{00000000-0005-0000-0000-0000773F0000}"/>
    <cellStyle name="Normal 8 13" xfId="16200" xr:uid="{00000000-0005-0000-0000-0000783F0000}"/>
    <cellStyle name="Normal 8 13 2" xfId="16201" xr:uid="{00000000-0005-0000-0000-0000793F0000}"/>
    <cellStyle name="Normal 8 13 2 2" xfId="16202" xr:uid="{00000000-0005-0000-0000-00007A3F0000}"/>
    <cellStyle name="Normal 8 13 2 2 2" xfId="16203" xr:uid="{00000000-0005-0000-0000-00007B3F0000}"/>
    <cellStyle name="Normal 8 13 2 2 2 2" xfId="16204" xr:uid="{00000000-0005-0000-0000-00007C3F0000}"/>
    <cellStyle name="Normal 8 13 2 2 2 3" xfId="16205" xr:uid="{00000000-0005-0000-0000-00007D3F0000}"/>
    <cellStyle name="Normal 8 13 2 2 3" xfId="16206" xr:uid="{00000000-0005-0000-0000-00007E3F0000}"/>
    <cellStyle name="Normal 8 13 2 2 4" xfId="16207" xr:uid="{00000000-0005-0000-0000-00007F3F0000}"/>
    <cellStyle name="Normal 8 13 2 3" xfId="16208" xr:uid="{00000000-0005-0000-0000-0000803F0000}"/>
    <cellStyle name="Normal 8 13 2 3 2" xfId="16209" xr:uid="{00000000-0005-0000-0000-0000813F0000}"/>
    <cellStyle name="Normal 8 13 2 3 3" xfId="16210" xr:uid="{00000000-0005-0000-0000-0000823F0000}"/>
    <cellStyle name="Normal 8 13 2 4" xfId="16211" xr:uid="{00000000-0005-0000-0000-0000833F0000}"/>
    <cellStyle name="Normal 8 13 2 5" xfId="16212" xr:uid="{00000000-0005-0000-0000-0000843F0000}"/>
    <cellStyle name="Normal 8 13 3" xfId="16213" xr:uid="{00000000-0005-0000-0000-0000853F0000}"/>
    <cellStyle name="Normal 8 13 3 2" xfId="16214" xr:uid="{00000000-0005-0000-0000-0000863F0000}"/>
    <cellStyle name="Normal 8 13 3 2 2" xfId="16215" xr:uid="{00000000-0005-0000-0000-0000873F0000}"/>
    <cellStyle name="Normal 8 13 3 2 3" xfId="16216" xr:uid="{00000000-0005-0000-0000-0000883F0000}"/>
    <cellStyle name="Normal 8 13 3 3" xfId="16217" xr:uid="{00000000-0005-0000-0000-0000893F0000}"/>
    <cellStyle name="Normal 8 13 3 4" xfId="16218" xr:uid="{00000000-0005-0000-0000-00008A3F0000}"/>
    <cellStyle name="Normal 8 13 4" xfId="16219" xr:uid="{00000000-0005-0000-0000-00008B3F0000}"/>
    <cellStyle name="Normal 8 13 4 2" xfId="16220" xr:uid="{00000000-0005-0000-0000-00008C3F0000}"/>
    <cellStyle name="Normal 8 13 4 3" xfId="16221" xr:uid="{00000000-0005-0000-0000-00008D3F0000}"/>
    <cellStyle name="Normal 8 13 5" xfId="16222" xr:uid="{00000000-0005-0000-0000-00008E3F0000}"/>
    <cellStyle name="Normal 8 13 6" xfId="16223" xr:uid="{00000000-0005-0000-0000-00008F3F0000}"/>
    <cellStyle name="Normal 8 14" xfId="16224" xr:uid="{00000000-0005-0000-0000-0000903F0000}"/>
    <cellStyle name="Normal 8 14 2" xfId="16225" xr:uid="{00000000-0005-0000-0000-0000913F0000}"/>
    <cellStyle name="Normal 8 14 2 2" xfId="16226" xr:uid="{00000000-0005-0000-0000-0000923F0000}"/>
    <cellStyle name="Normal 8 14 2 2 2" xfId="16227" xr:uid="{00000000-0005-0000-0000-0000933F0000}"/>
    <cellStyle name="Normal 8 14 2 2 2 2" xfId="16228" xr:uid="{00000000-0005-0000-0000-0000943F0000}"/>
    <cellStyle name="Normal 8 14 2 2 2 3" xfId="16229" xr:uid="{00000000-0005-0000-0000-0000953F0000}"/>
    <cellStyle name="Normal 8 14 2 2 3" xfId="16230" xr:uid="{00000000-0005-0000-0000-0000963F0000}"/>
    <cellStyle name="Normal 8 14 2 2 4" xfId="16231" xr:uid="{00000000-0005-0000-0000-0000973F0000}"/>
    <cellStyle name="Normal 8 14 2 3" xfId="16232" xr:uid="{00000000-0005-0000-0000-0000983F0000}"/>
    <cellStyle name="Normal 8 14 2 3 2" xfId="16233" xr:uid="{00000000-0005-0000-0000-0000993F0000}"/>
    <cellStyle name="Normal 8 14 2 3 3" xfId="16234" xr:uid="{00000000-0005-0000-0000-00009A3F0000}"/>
    <cellStyle name="Normal 8 14 2 4" xfId="16235" xr:uid="{00000000-0005-0000-0000-00009B3F0000}"/>
    <cellStyle name="Normal 8 14 2 5" xfId="16236" xr:uid="{00000000-0005-0000-0000-00009C3F0000}"/>
    <cellStyle name="Normal 8 14 3" xfId="16237" xr:uid="{00000000-0005-0000-0000-00009D3F0000}"/>
    <cellStyle name="Normal 8 14 3 2" xfId="16238" xr:uid="{00000000-0005-0000-0000-00009E3F0000}"/>
    <cellStyle name="Normal 8 14 3 2 2" xfId="16239" xr:uid="{00000000-0005-0000-0000-00009F3F0000}"/>
    <cellStyle name="Normal 8 14 3 2 3" xfId="16240" xr:uid="{00000000-0005-0000-0000-0000A03F0000}"/>
    <cellStyle name="Normal 8 14 3 3" xfId="16241" xr:uid="{00000000-0005-0000-0000-0000A13F0000}"/>
    <cellStyle name="Normal 8 14 3 4" xfId="16242" xr:uid="{00000000-0005-0000-0000-0000A23F0000}"/>
    <cellStyle name="Normal 8 14 4" xfId="16243" xr:uid="{00000000-0005-0000-0000-0000A33F0000}"/>
    <cellStyle name="Normal 8 14 4 2" xfId="16244" xr:uid="{00000000-0005-0000-0000-0000A43F0000}"/>
    <cellStyle name="Normal 8 14 4 3" xfId="16245" xr:uid="{00000000-0005-0000-0000-0000A53F0000}"/>
    <cellStyle name="Normal 8 14 5" xfId="16246" xr:uid="{00000000-0005-0000-0000-0000A63F0000}"/>
    <cellStyle name="Normal 8 14 6" xfId="16247" xr:uid="{00000000-0005-0000-0000-0000A73F0000}"/>
    <cellStyle name="Normal 8 15" xfId="16248" xr:uid="{00000000-0005-0000-0000-0000A83F0000}"/>
    <cellStyle name="Normal 8 15 2" xfId="16249" xr:uid="{00000000-0005-0000-0000-0000A93F0000}"/>
    <cellStyle name="Normal 8 15 2 2" xfId="16250" xr:uid="{00000000-0005-0000-0000-0000AA3F0000}"/>
    <cellStyle name="Normal 8 15 2 2 2" xfId="16251" xr:uid="{00000000-0005-0000-0000-0000AB3F0000}"/>
    <cellStyle name="Normal 8 15 2 2 2 2" xfId="16252" xr:uid="{00000000-0005-0000-0000-0000AC3F0000}"/>
    <cellStyle name="Normal 8 15 2 2 2 3" xfId="16253" xr:uid="{00000000-0005-0000-0000-0000AD3F0000}"/>
    <cellStyle name="Normal 8 15 2 2 3" xfId="16254" xr:uid="{00000000-0005-0000-0000-0000AE3F0000}"/>
    <cellStyle name="Normal 8 15 2 2 4" xfId="16255" xr:uid="{00000000-0005-0000-0000-0000AF3F0000}"/>
    <cellStyle name="Normal 8 15 2 3" xfId="16256" xr:uid="{00000000-0005-0000-0000-0000B03F0000}"/>
    <cellStyle name="Normal 8 15 2 3 2" xfId="16257" xr:uid="{00000000-0005-0000-0000-0000B13F0000}"/>
    <cellStyle name="Normal 8 15 2 3 3" xfId="16258" xr:uid="{00000000-0005-0000-0000-0000B23F0000}"/>
    <cellStyle name="Normal 8 15 2 4" xfId="16259" xr:uid="{00000000-0005-0000-0000-0000B33F0000}"/>
    <cellStyle name="Normal 8 15 2 5" xfId="16260" xr:uid="{00000000-0005-0000-0000-0000B43F0000}"/>
    <cellStyle name="Normal 8 15 3" xfId="16261" xr:uid="{00000000-0005-0000-0000-0000B53F0000}"/>
    <cellStyle name="Normal 8 15 3 2" xfId="16262" xr:uid="{00000000-0005-0000-0000-0000B63F0000}"/>
    <cellStyle name="Normal 8 15 3 2 2" xfId="16263" xr:uid="{00000000-0005-0000-0000-0000B73F0000}"/>
    <cellStyle name="Normal 8 15 3 2 3" xfId="16264" xr:uid="{00000000-0005-0000-0000-0000B83F0000}"/>
    <cellStyle name="Normal 8 15 3 3" xfId="16265" xr:uid="{00000000-0005-0000-0000-0000B93F0000}"/>
    <cellStyle name="Normal 8 15 3 4" xfId="16266" xr:uid="{00000000-0005-0000-0000-0000BA3F0000}"/>
    <cellStyle name="Normal 8 15 4" xfId="16267" xr:uid="{00000000-0005-0000-0000-0000BB3F0000}"/>
    <cellStyle name="Normal 8 15 4 2" xfId="16268" xr:uid="{00000000-0005-0000-0000-0000BC3F0000}"/>
    <cellStyle name="Normal 8 15 4 3" xfId="16269" xr:uid="{00000000-0005-0000-0000-0000BD3F0000}"/>
    <cellStyle name="Normal 8 15 5" xfId="16270" xr:uid="{00000000-0005-0000-0000-0000BE3F0000}"/>
    <cellStyle name="Normal 8 15 6" xfId="16271" xr:uid="{00000000-0005-0000-0000-0000BF3F0000}"/>
    <cellStyle name="Normal 8 16" xfId="16272" xr:uid="{00000000-0005-0000-0000-0000C03F0000}"/>
    <cellStyle name="Normal 8 16 2" xfId="16273" xr:uid="{00000000-0005-0000-0000-0000C13F0000}"/>
    <cellStyle name="Normal 8 16 2 2" xfId="16274" xr:uid="{00000000-0005-0000-0000-0000C23F0000}"/>
    <cellStyle name="Normal 8 16 2 2 2" xfId="16275" xr:uid="{00000000-0005-0000-0000-0000C33F0000}"/>
    <cellStyle name="Normal 8 16 2 2 2 2" xfId="16276" xr:uid="{00000000-0005-0000-0000-0000C43F0000}"/>
    <cellStyle name="Normal 8 16 2 2 2 3" xfId="16277" xr:uid="{00000000-0005-0000-0000-0000C53F0000}"/>
    <cellStyle name="Normal 8 16 2 2 3" xfId="16278" xr:uid="{00000000-0005-0000-0000-0000C63F0000}"/>
    <cellStyle name="Normal 8 16 2 2 4" xfId="16279" xr:uid="{00000000-0005-0000-0000-0000C73F0000}"/>
    <cellStyle name="Normal 8 16 2 3" xfId="16280" xr:uid="{00000000-0005-0000-0000-0000C83F0000}"/>
    <cellStyle name="Normal 8 16 2 3 2" xfId="16281" xr:uid="{00000000-0005-0000-0000-0000C93F0000}"/>
    <cellStyle name="Normal 8 16 2 3 3" xfId="16282" xr:uid="{00000000-0005-0000-0000-0000CA3F0000}"/>
    <cellStyle name="Normal 8 16 2 4" xfId="16283" xr:uid="{00000000-0005-0000-0000-0000CB3F0000}"/>
    <cellStyle name="Normal 8 16 2 5" xfId="16284" xr:uid="{00000000-0005-0000-0000-0000CC3F0000}"/>
    <cellStyle name="Normal 8 16 3" xfId="16285" xr:uid="{00000000-0005-0000-0000-0000CD3F0000}"/>
    <cellStyle name="Normal 8 16 3 2" xfId="16286" xr:uid="{00000000-0005-0000-0000-0000CE3F0000}"/>
    <cellStyle name="Normal 8 16 3 2 2" xfId="16287" xr:uid="{00000000-0005-0000-0000-0000CF3F0000}"/>
    <cellStyle name="Normal 8 16 3 2 3" xfId="16288" xr:uid="{00000000-0005-0000-0000-0000D03F0000}"/>
    <cellStyle name="Normal 8 16 3 3" xfId="16289" xr:uid="{00000000-0005-0000-0000-0000D13F0000}"/>
    <cellStyle name="Normal 8 16 3 4" xfId="16290" xr:uid="{00000000-0005-0000-0000-0000D23F0000}"/>
    <cellStyle name="Normal 8 16 4" xfId="16291" xr:uid="{00000000-0005-0000-0000-0000D33F0000}"/>
    <cellStyle name="Normal 8 16 4 2" xfId="16292" xr:uid="{00000000-0005-0000-0000-0000D43F0000}"/>
    <cellStyle name="Normal 8 16 4 3" xfId="16293" xr:uid="{00000000-0005-0000-0000-0000D53F0000}"/>
    <cellStyle name="Normal 8 16 5" xfId="16294" xr:uid="{00000000-0005-0000-0000-0000D63F0000}"/>
    <cellStyle name="Normal 8 16 6" xfId="16295" xr:uid="{00000000-0005-0000-0000-0000D73F0000}"/>
    <cellStyle name="Normal 8 17" xfId="16296" xr:uid="{00000000-0005-0000-0000-0000D83F0000}"/>
    <cellStyle name="Normal 8 17 2" xfId="16297" xr:uid="{00000000-0005-0000-0000-0000D93F0000}"/>
    <cellStyle name="Normal 8 17 2 2" xfId="16298" xr:uid="{00000000-0005-0000-0000-0000DA3F0000}"/>
    <cellStyle name="Normal 8 17 2 2 2" xfId="16299" xr:uid="{00000000-0005-0000-0000-0000DB3F0000}"/>
    <cellStyle name="Normal 8 17 2 2 2 2" xfId="16300" xr:uid="{00000000-0005-0000-0000-0000DC3F0000}"/>
    <cellStyle name="Normal 8 17 2 2 2 3" xfId="16301" xr:uid="{00000000-0005-0000-0000-0000DD3F0000}"/>
    <cellStyle name="Normal 8 17 2 2 3" xfId="16302" xr:uid="{00000000-0005-0000-0000-0000DE3F0000}"/>
    <cellStyle name="Normal 8 17 2 2 4" xfId="16303" xr:uid="{00000000-0005-0000-0000-0000DF3F0000}"/>
    <cellStyle name="Normal 8 17 2 3" xfId="16304" xr:uid="{00000000-0005-0000-0000-0000E03F0000}"/>
    <cellStyle name="Normal 8 17 2 3 2" xfId="16305" xr:uid="{00000000-0005-0000-0000-0000E13F0000}"/>
    <cellStyle name="Normal 8 17 2 3 3" xfId="16306" xr:uid="{00000000-0005-0000-0000-0000E23F0000}"/>
    <cellStyle name="Normal 8 17 2 4" xfId="16307" xr:uid="{00000000-0005-0000-0000-0000E33F0000}"/>
    <cellStyle name="Normal 8 17 2 5" xfId="16308" xr:uid="{00000000-0005-0000-0000-0000E43F0000}"/>
    <cellStyle name="Normal 8 17 3" xfId="16309" xr:uid="{00000000-0005-0000-0000-0000E53F0000}"/>
    <cellStyle name="Normal 8 17 3 2" xfId="16310" xr:uid="{00000000-0005-0000-0000-0000E63F0000}"/>
    <cellStyle name="Normal 8 17 3 2 2" xfId="16311" xr:uid="{00000000-0005-0000-0000-0000E73F0000}"/>
    <cellStyle name="Normal 8 17 3 2 3" xfId="16312" xr:uid="{00000000-0005-0000-0000-0000E83F0000}"/>
    <cellStyle name="Normal 8 17 3 3" xfId="16313" xr:uid="{00000000-0005-0000-0000-0000E93F0000}"/>
    <cellStyle name="Normal 8 17 3 4" xfId="16314" xr:uid="{00000000-0005-0000-0000-0000EA3F0000}"/>
    <cellStyle name="Normal 8 17 4" xfId="16315" xr:uid="{00000000-0005-0000-0000-0000EB3F0000}"/>
    <cellStyle name="Normal 8 17 4 2" xfId="16316" xr:uid="{00000000-0005-0000-0000-0000EC3F0000}"/>
    <cellStyle name="Normal 8 17 4 3" xfId="16317" xr:uid="{00000000-0005-0000-0000-0000ED3F0000}"/>
    <cellStyle name="Normal 8 17 5" xfId="16318" xr:uid="{00000000-0005-0000-0000-0000EE3F0000}"/>
    <cellStyle name="Normal 8 17 6" xfId="16319" xr:uid="{00000000-0005-0000-0000-0000EF3F0000}"/>
    <cellStyle name="Normal 8 18" xfId="16320" xr:uid="{00000000-0005-0000-0000-0000F03F0000}"/>
    <cellStyle name="Normal 8 18 2" xfId="16321" xr:uid="{00000000-0005-0000-0000-0000F13F0000}"/>
    <cellStyle name="Normal 8 18 2 2" xfId="16322" xr:uid="{00000000-0005-0000-0000-0000F23F0000}"/>
    <cellStyle name="Normal 8 18 2 2 2" xfId="16323" xr:uid="{00000000-0005-0000-0000-0000F33F0000}"/>
    <cellStyle name="Normal 8 18 2 2 2 2" xfId="16324" xr:uid="{00000000-0005-0000-0000-0000F43F0000}"/>
    <cellStyle name="Normal 8 18 2 2 2 3" xfId="16325" xr:uid="{00000000-0005-0000-0000-0000F53F0000}"/>
    <cellStyle name="Normal 8 18 2 2 3" xfId="16326" xr:uid="{00000000-0005-0000-0000-0000F63F0000}"/>
    <cellStyle name="Normal 8 18 2 2 4" xfId="16327" xr:uid="{00000000-0005-0000-0000-0000F73F0000}"/>
    <cellStyle name="Normal 8 18 2 3" xfId="16328" xr:uid="{00000000-0005-0000-0000-0000F83F0000}"/>
    <cellStyle name="Normal 8 18 2 3 2" xfId="16329" xr:uid="{00000000-0005-0000-0000-0000F93F0000}"/>
    <cellStyle name="Normal 8 18 2 3 3" xfId="16330" xr:uid="{00000000-0005-0000-0000-0000FA3F0000}"/>
    <cellStyle name="Normal 8 18 2 4" xfId="16331" xr:uid="{00000000-0005-0000-0000-0000FB3F0000}"/>
    <cellStyle name="Normal 8 18 2 5" xfId="16332" xr:uid="{00000000-0005-0000-0000-0000FC3F0000}"/>
    <cellStyle name="Normal 8 18 3" xfId="16333" xr:uid="{00000000-0005-0000-0000-0000FD3F0000}"/>
    <cellStyle name="Normal 8 18 3 2" xfId="16334" xr:uid="{00000000-0005-0000-0000-0000FE3F0000}"/>
    <cellStyle name="Normal 8 18 3 2 2" xfId="16335" xr:uid="{00000000-0005-0000-0000-0000FF3F0000}"/>
    <cellStyle name="Normal 8 18 3 2 3" xfId="16336" xr:uid="{00000000-0005-0000-0000-000000400000}"/>
    <cellStyle name="Normal 8 18 3 3" xfId="16337" xr:uid="{00000000-0005-0000-0000-000001400000}"/>
    <cellStyle name="Normal 8 18 3 4" xfId="16338" xr:uid="{00000000-0005-0000-0000-000002400000}"/>
    <cellStyle name="Normal 8 18 4" xfId="16339" xr:uid="{00000000-0005-0000-0000-000003400000}"/>
    <cellStyle name="Normal 8 18 4 2" xfId="16340" xr:uid="{00000000-0005-0000-0000-000004400000}"/>
    <cellStyle name="Normal 8 18 4 3" xfId="16341" xr:uid="{00000000-0005-0000-0000-000005400000}"/>
    <cellStyle name="Normal 8 18 5" xfId="16342" xr:uid="{00000000-0005-0000-0000-000006400000}"/>
    <cellStyle name="Normal 8 18 6" xfId="16343" xr:uid="{00000000-0005-0000-0000-000007400000}"/>
    <cellStyle name="Normal 8 19" xfId="16344" xr:uid="{00000000-0005-0000-0000-000008400000}"/>
    <cellStyle name="Normal 8 19 2" xfId="16345" xr:uid="{00000000-0005-0000-0000-000009400000}"/>
    <cellStyle name="Normal 8 19 2 2" xfId="16346" xr:uid="{00000000-0005-0000-0000-00000A400000}"/>
    <cellStyle name="Normal 8 19 2 2 2" xfId="16347" xr:uid="{00000000-0005-0000-0000-00000B400000}"/>
    <cellStyle name="Normal 8 19 2 2 2 2" xfId="16348" xr:uid="{00000000-0005-0000-0000-00000C400000}"/>
    <cellStyle name="Normal 8 19 2 2 2 3" xfId="16349" xr:uid="{00000000-0005-0000-0000-00000D400000}"/>
    <cellStyle name="Normal 8 19 2 2 3" xfId="16350" xr:uid="{00000000-0005-0000-0000-00000E400000}"/>
    <cellStyle name="Normal 8 19 2 2 4" xfId="16351" xr:uid="{00000000-0005-0000-0000-00000F400000}"/>
    <cellStyle name="Normal 8 19 2 3" xfId="16352" xr:uid="{00000000-0005-0000-0000-000010400000}"/>
    <cellStyle name="Normal 8 19 2 3 2" xfId="16353" xr:uid="{00000000-0005-0000-0000-000011400000}"/>
    <cellStyle name="Normal 8 19 2 3 3" xfId="16354" xr:uid="{00000000-0005-0000-0000-000012400000}"/>
    <cellStyle name="Normal 8 19 2 4" xfId="16355" xr:uid="{00000000-0005-0000-0000-000013400000}"/>
    <cellStyle name="Normal 8 19 2 5" xfId="16356" xr:uid="{00000000-0005-0000-0000-000014400000}"/>
    <cellStyle name="Normal 8 19 3" xfId="16357" xr:uid="{00000000-0005-0000-0000-000015400000}"/>
    <cellStyle name="Normal 8 19 3 2" xfId="16358" xr:uid="{00000000-0005-0000-0000-000016400000}"/>
    <cellStyle name="Normal 8 19 3 2 2" xfId="16359" xr:uid="{00000000-0005-0000-0000-000017400000}"/>
    <cellStyle name="Normal 8 19 3 2 3" xfId="16360" xr:uid="{00000000-0005-0000-0000-000018400000}"/>
    <cellStyle name="Normal 8 19 3 3" xfId="16361" xr:uid="{00000000-0005-0000-0000-000019400000}"/>
    <cellStyle name="Normal 8 19 3 4" xfId="16362" xr:uid="{00000000-0005-0000-0000-00001A400000}"/>
    <cellStyle name="Normal 8 19 4" xfId="16363" xr:uid="{00000000-0005-0000-0000-00001B400000}"/>
    <cellStyle name="Normal 8 19 4 2" xfId="16364" xr:uid="{00000000-0005-0000-0000-00001C400000}"/>
    <cellStyle name="Normal 8 19 4 3" xfId="16365" xr:uid="{00000000-0005-0000-0000-00001D400000}"/>
    <cellStyle name="Normal 8 19 5" xfId="16366" xr:uid="{00000000-0005-0000-0000-00001E400000}"/>
    <cellStyle name="Normal 8 19 6" xfId="16367" xr:uid="{00000000-0005-0000-0000-00001F400000}"/>
    <cellStyle name="Normal 8 2" xfId="16368" xr:uid="{00000000-0005-0000-0000-000020400000}"/>
    <cellStyle name="Normal 8 2 10" xfId="16369" xr:uid="{00000000-0005-0000-0000-000021400000}"/>
    <cellStyle name="Normal 8 2 11" xfId="16370" xr:uid="{00000000-0005-0000-0000-000022400000}"/>
    <cellStyle name="Normal 8 2 2" xfId="16371" xr:uid="{00000000-0005-0000-0000-000023400000}"/>
    <cellStyle name="Normal 8 2 2 2" xfId="16372" xr:uid="{00000000-0005-0000-0000-000024400000}"/>
    <cellStyle name="Normal 8 2 2 2 2" xfId="16373" xr:uid="{00000000-0005-0000-0000-000025400000}"/>
    <cellStyle name="Normal 8 2 2 2 2 2" xfId="16374" xr:uid="{00000000-0005-0000-0000-000026400000}"/>
    <cellStyle name="Normal 8 2 2 2 2 2 2" xfId="16375" xr:uid="{00000000-0005-0000-0000-000027400000}"/>
    <cellStyle name="Normal 8 2 2 2 2 2 2 2" xfId="16376" xr:uid="{00000000-0005-0000-0000-000028400000}"/>
    <cellStyle name="Normal 8 2 2 2 2 2 2 3" xfId="16377" xr:uid="{00000000-0005-0000-0000-000029400000}"/>
    <cellStyle name="Normal 8 2 2 2 2 2 3" xfId="16378" xr:uid="{00000000-0005-0000-0000-00002A400000}"/>
    <cellStyle name="Normal 8 2 2 2 2 2 4" xfId="16379" xr:uid="{00000000-0005-0000-0000-00002B400000}"/>
    <cellStyle name="Normal 8 2 2 2 2 3" xfId="16380" xr:uid="{00000000-0005-0000-0000-00002C400000}"/>
    <cellStyle name="Normal 8 2 2 2 2 3 2" xfId="16381" xr:uid="{00000000-0005-0000-0000-00002D400000}"/>
    <cellStyle name="Normal 8 2 2 2 2 3 3" xfId="16382" xr:uid="{00000000-0005-0000-0000-00002E400000}"/>
    <cellStyle name="Normal 8 2 2 2 2 4" xfId="16383" xr:uid="{00000000-0005-0000-0000-00002F400000}"/>
    <cellStyle name="Normal 8 2 2 2 2 5" xfId="16384" xr:uid="{00000000-0005-0000-0000-000030400000}"/>
    <cellStyle name="Normal 8 2 2 2 3" xfId="16385" xr:uid="{00000000-0005-0000-0000-000031400000}"/>
    <cellStyle name="Normal 8 2 2 2 3 2" xfId="16386" xr:uid="{00000000-0005-0000-0000-000032400000}"/>
    <cellStyle name="Normal 8 2 2 2 3 2 2" xfId="16387" xr:uid="{00000000-0005-0000-0000-000033400000}"/>
    <cellStyle name="Normal 8 2 2 2 3 2 3" xfId="16388" xr:uid="{00000000-0005-0000-0000-000034400000}"/>
    <cellStyle name="Normal 8 2 2 2 3 3" xfId="16389" xr:uid="{00000000-0005-0000-0000-000035400000}"/>
    <cellStyle name="Normal 8 2 2 2 3 4" xfId="16390" xr:uid="{00000000-0005-0000-0000-000036400000}"/>
    <cellStyle name="Normal 8 2 2 2 4" xfId="16391" xr:uid="{00000000-0005-0000-0000-000037400000}"/>
    <cellStyle name="Normal 8 2 2 2 4 2" xfId="16392" xr:uid="{00000000-0005-0000-0000-000038400000}"/>
    <cellStyle name="Normal 8 2 2 2 4 3" xfId="16393" xr:uid="{00000000-0005-0000-0000-000039400000}"/>
    <cellStyle name="Normal 8 2 2 2 5" xfId="16394" xr:uid="{00000000-0005-0000-0000-00003A400000}"/>
    <cellStyle name="Normal 8 2 2 2 6" xfId="16395" xr:uid="{00000000-0005-0000-0000-00003B400000}"/>
    <cellStyle name="Normal 8 2 2 3" xfId="16396" xr:uid="{00000000-0005-0000-0000-00003C400000}"/>
    <cellStyle name="Normal 8 2 2 3 2" xfId="16397" xr:uid="{00000000-0005-0000-0000-00003D400000}"/>
    <cellStyle name="Normal 8 2 2 3 2 2" xfId="16398" xr:uid="{00000000-0005-0000-0000-00003E400000}"/>
    <cellStyle name="Normal 8 2 2 3 2 2 2" xfId="16399" xr:uid="{00000000-0005-0000-0000-00003F400000}"/>
    <cellStyle name="Normal 8 2 2 3 2 2 3" xfId="16400" xr:uid="{00000000-0005-0000-0000-000040400000}"/>
    <cellStyle name="Normal 8 2 2 3 2 3" xfId="16401" xr:uid="{00000000-0005-0000-0000-000041400000}"/>
    <cellStyle name="Normal 8 2 2 3 2 4" xfId="16402" xr:uid="{00000000-0005-0000-0000-000042400000}"/>
    <cellStyle name="Normal 8 2 2 3 3" xfId="16403" xr:uid="{00000000-0005-0000-0000-000043400000}"/>
    <cellStyle name="Normal 8 2 2 3 3 2" xfId="16404" xr:uid="{00000000-0005-0000-0000-000044400000}"/>
    <cellStyle name="Normal 8 2 2 3 3 3" xfId="16405" xr:uid="{00000000-0005-0000-0000-000045400000}"/>
    <cellStyle name="Normal 8 2 2 3 4" xfId="16406" xr:uid="{00000000-0005-0000-0000-000046400000}"/>
    <cellStyle name="Normal 8 2 2 3 5" xfId="16407" xr:uid="{00000000-0005-0000-0000-000047400000}"/>
    <cellStyle name="Normal 8 2 2 4" xfId="16408" xr:uid="{00000000-0005-0000-0000-000048400000}"/>
    <cellStyle name="Normal 8 2 2 4 2" xfId="16409" xr:uid="{00000000-0005-0000-0000-000049400000}"/>
    <cellStyle name="Normal 8 2 2 4 2 2" xfId="16410" xr:uid="{00000000-0005-0000-0000-00004A400000}"/>
    <cellStyle name="Normal 8 2 2 4 2 3" xfId="16411" xr:uid="{00000000-0005-0000-0000-00004B400000}"/>
    <cellStyle name="Normal 8 2 2 4 3" xfId="16412" xr:uid="{00000000-0005-0000-0000-00004C400000}"/>
    <cellStyle name="Normal 8 2 2 4 4" xfId="16413" xr:uid="{00000000-0005-0000-0000-00004D400000}"/>
    <cellStyle name="Normal 8 2 2 5" xfId="16414" xr:uid="{00000000-0005-0000-0000-00004E400000}"/>
    <cellStyle name="Normal 8 2 2 5 2" xfId="16415" xr:uid="{00000000-0005-0000-0000-00004F400000}"/>
    <cellStyle name="Normal 8 2 2 5 3" xfId="16416" xr:uid="{00000000-0005-0000-0000-000050400000}"/>
    <cellStyle name="Normal 8 2 2 6" xfId="16417" xr:uid="{00000000-0005-0000-0000-000051400000}"/>
    <cellStyle name="Normal 8 2 2 7" xfId="16418" xr:uid="{00000000-0005-0000-0000-000052400000}"/>
    <cellStyle name="Normal 8 2 3" xfId="16419" xr:uid="{00000000-0005-0000-0000-000053400000}"/>
    <cellStyle name="Normal 8 2 3 2" xfId="16420" xr:uid="{00000000-0005-0000-0000-000054400000}"/>
    <cellStyle name="Normal 8 2 3 2 2" xfId="16421" xr:uid="{00000000-0005-0000-0000-000055400000}"/>
    <cellStyle name="Normal 8 2 3 2 2 2" xfId="16422" xr:uid="{00000000-0005-0000-0000-000056400000}"/>
    <cellStyle name="Normal 8 2 3 2 2 2 2" xfId="16423" xr:uid="{00000000-0005-0000-0000-000057400000}"/>
    <cellStyle name="Normal 8 2 3 2 2 2 3" xfId="16424" xr:uid="{00000000-0005-0000-0000-000058400000}"/>
    <cellStyle name="Normal 8 2 3 2 2 3" xfId="16425" xr:uid="{00000000-0005-0000-0000-000059400000}"/>
    <cellStyle name="Normal 8 2 3 2 2 4" xfId="16426" xr:uid="{00000000-0005-0000-0000-00005A400000}"/>
    <cellStyle name="Normal 8 2 3 2 3" xfId="16427" xr:uid="{00000000-0005-0000-0000-00005B400000}"/>
    <cellStyle name="Normal 8 2 3 2 3 2" xfId="16428" xr:uid="{00000000-0005-0000-0000-00005C400000}"/>
    <cellStyle name="Normal 8 2 3 2 3 3" xfId="16429" xr:uid="{00000000-0005-0000-0000-00005D400000}"/>
    <cellStyle name="Normal 8 2 3 2 4" xfId="16430" xr:uid="{00000000-0005-0000-0000-00005E400000}"/>
    <cellStyle name="Normal 8 2 3 2 5" xfId="16431" xr:uid="{00000000-0005-0000-0000-00005F400000}"/>
    <cellStyle name="Normal 8 2 3 3" xfId="16432" xr:uid="{00000000-0005-0000-0000-000060400000}"/>
    <cellStyle name="Normal 8 2 3 3 2" xfId="16433" xr:uid="{00000000-0005-0000-0000-000061400000}"/>
    <cellStyle name="Normal 8 2 3 3 2 2" xfId="16434" xr:uid="{00000000-0005-0000-0000-000062400000}"/>
    <cellStyle name="Normal 8 2 3 3 2 3" xfId="16435" xr:uid="{00000000-0005-0000-0000-000063400000}"/>
    <cellStyle name="Normal 8 2 3 3 3" xfId="16436" xr:uid="{00000000-0005-0000-0000-000064400000}"/>
    <cellStyle name="Normal 8 2 3 3 4" xfId="16437" xr:uid="{00000000-0005-0000-0000-000065400000}"/>
    <cellStyle name="Normal 8 2 3 4" xfId="16438" xr:uid="{00000000-0005-0000-0000-000066400000}"/>
    <cellStyle name="Normal 8 2 3 4 2" xfId="16439" xr:uid="{00000000-0005-0000-0000-000067400000}"/>
    <cellStyle name="Normal 8 2 3 4 3" xfId="16440" xr:uid="{00000000-0005-0000-0000-000068400000}"/>
    <cellStyle name="Normal 8 2 3 5" xfId="16441" xr:uid="{00000000-0005-0000-0000-000069400000}"/>
    <cellStyle name="Normal 8 2 3 6" xfId="16442" xr:uid="{00000000-0005-0000-0000-00006A400000}"/>
    <cellStyle name="Normal 8 2 4" xfId="16443" xr:uid="{00000000-0005-0000-0000-00006B400000}"/>
    <cellStyle name="Normal 8 2 4 2" xfId="16444" xr:uid="{00000000-0005-0000-0000-00006C400000}"/>
    <cellStyle name="Normal 8 2 4 2 2" xfId="16445" xr:uid="{00000000-0005-0000-0000-00006D400000}"/>
    <cellStyle name="Normal 8 2 4 2 2 2" xfId="16446" xr:uid="{00000000-0005-0000-0000-00006E400000}"/>
    <cellStyle name="Normal 8 2 4 2 2 2 2" xfId="16447" xr:uid="{00000000-0005-0000-0000-00006F400000}"/>
    <cellStyle name="Normal 8 2 4 2 2 2 3" xfId="16448" xr:uid="{00000000-0005-0000-0000-000070400000}"/>
    <cellStyle name="Normal 8 2 4 2 2 3" xfId="16449" xr:uid="{00000000-0005-0000-0000-000071400000}"/>
    <cellStyle name="Normal 8 2 4 2 2 4" xfId="16450" xr:uid="{00000000-0005-0000-0000-000072400000}"/>
    <cellStyle name="Normal 8 2 4 2 3" xfId="16451" xr:uid="{00000000-0005-0000-0000-000073400000}"/>
    <cellStyle name="Normal 8 2 4 2 3 2" xfId="16452" xr:uid="{00000000-0005-0000-0000-000074400000}"/>
    <cellStyle name="Normal 8 2 4 2 3 3" xfId="16453" xr:uid="{00000000-0005-0000-0000-000075400000}"/>
    <cellStyle name="Normal 8 2 4 2 4" xfId="16454" xr:uid="{00000000-0005-0000-0000-000076400000}"/>
    <cellStyle name="Normal 8 2 4 2 5" xfId="16455" xr:uid="{00000000-0005-0000-0000-000077400000}"/>
    <cellStyle name="Normal 8 2 4 3" xfId="16456" xr:uid="{00000000-0005-0000-0000-000078400000}"/>
    <cellStyle name="Normal 8 2 4 3 2" xfId="16457" xr:uid="{00000000-0005-0000-0000-000079400000}"/>
    <cellStyle name="Normal 8 2 4 3 2 2" xfId="16458" xr:uid="{00000000-0005-0000-0000-00007A400000}"/>
    <cellStyle name="Normal 8 2 4 3 2 3" xfId="16459" xr:uid="{00000000-0005-0000-0000-00007B400000}"/>
    <cellStyle name="Normal 8 2 4 3 3" xfId="16460" xr:uid="{00000000-0005-0000-0000-00007C400000}"/>
    <cellStyle name="Normal 8 2 4 3 4" xfId="16461" xr:uid="{00000000-0005-0000-0000-00007D400000}"/>
    <cellStyle name="Normal 8 2 4 4" xfId="16462" xr:uid="{00000000-0005-0000-0000-00007E400000}"/>
    <cellStyle name="Normal 8 2 4 4 2" xfId="16463" xr:uid="{00000000-0005-0000-0000-00007F400000}"/>
    <cellStyle name="Normal 8 2 4 4 3" xfId="16464" xr:uid="{00000000-0005-0000-0000-000080400000}"/>
    <cellStyle name="Normal 8 2 4 5" xfId="16465" xr:uid="{00000000-0005-0000-0000-000081400000}"/>
    <cellStyle name="Normal 8 2 4 6" xfId="16466" xr:uid="{00000000-0005-0000-0000-000082400000}"/>
    <cellStyle name="Normal 8 2 5" xfId="16467" xr:uid="{00000000-0005-0000-0000-000083400000}"/>
    <cellStyle name="Normal 8 2 5 2" xfId="16468" xr:uid="{00000000-0005-0000-0000-000084400000}"/>
    <cellStyle name="Normal 8 2 5 2 2" xfId="16469" xr:uid="{00000000-0005-0000-0000-000085400000}"/>
    <cellStyle name="Normal 8 2 5 2 2 2" xfId="16470" xr:uid="{00000000-0005-0000-0000-000086400000}"/>
    <cellStyle name="Normal 8 2 5 2 2 2 2" xfId="16471" xr:uid="{00000000-0005-0000-0000-000087400000}"/>
    <cellStyle name="Normal 8 2 5 2 2 2 3" xfId="16472" xr:uid="{00000000-0005-0000-0000-000088400000}"/>
    <cellStyle name="Normal 8 2 5 2 2 3" xfId="16473" xr:uid="{00000000-0005-0000-0000-000089400000}"/>
    <cellStyle name="Normal 8 2 5 2 2 4" xfId="16474" xr:uid="{00000000-0005-0000-0000-00008A400000}"/>
    <cellStyle name="Normal 8 2 5 2 3" xfId="16475" xr:uid="{00000000-0005-0000-0000-00008B400000}"/>
    <cellStyle name="Normal 8 2 5 2 3 2" xfId="16476" xr:uid="{00000000-0005-0000-0000-00008C400000}"/>
    <cellStyle name="Normal 8 2 5 2 3 3" xfId="16477" xr:uid="{00000000-0005-0000-0000-00008D400000}"/>
    <cellStyle name="Normal 8 2 5 2 4" xfId="16478" xr:uid="{00000000-0005-0000-0000-00008E400000}"/>
    <cellStyle name="Normal 8 2 5 2 5" xfId="16479" xr:uid="{00000000-0005-0000-0000-00008F400000}"/>
    <cellStyle name="Normal 8 2 5 3" xfId="16480" xr:uid="{00000000-0005-0000-0000-000090400000}"/>
    <cellStyle name="Normal 8 2 5 3 2" xfId="16481" xr:uid="{00000000-0005-0000-0000-000091400000}"/>
    <cellStyle name="Normal 8 2 5 3 2 2" xfId="16482" xr:uid="{00000000-0005-0000-0000-000092400000}"/>
    <cellStyle name="Normal 8 2 5 3 2 3" xfId="16483" xr:uid="{00000000-0005-0000-0000-000093400000}"/>
    <cellStyle name="Normal 8 2 5 3 3" xfId="16484" xr:uid="{00000000-0005-0000-0000-000094400000}"/>
    <cellStyle name="Normal 8 2 5 3 4" xfId="16485" xr:uid="{00000000-0005-0000-0000-000095400000}"/>
    <cellStyle name="Normal 8 2 5 4" xfId="16486" xr:uid="{00000000-0005-0000-0000-000096400000}"/>
    <cellStyle name="Normal 8 2 5 4 2" xfId="16487" xr:uid="{00000000-0005-0000-0000-000097400000}"/>
    <cellStyle name="Normal 8 2 5 4 3" xfId="16488" xr:uid="{00000000-0005-0000-0000-000098400000}"/>
    <cellStyle name="Normal 8 2 5 5" xfId="16489" xr:uid="{00000000-0005-0000-0000-000099400000}"/>
    <cellStyle name="Normal 8 2 5 6" xfId="16490" xr:uid="{00000000-0005-0000-0000-00009A400000}"/>
    <cellStyle name="Normal 8 2 6" xfId="16491" xr:uid="{00000000-0005-0000-0000-00009B400000}"/>
    <cellStyle name="Normal 8 2 6 2" xfId="16492" xr:uid="{00000000-0005-0000-0000-00009C400000}"/>
    <cellStyle name="Normal 8 2 6 2 2" xfId="16493" xr:uid="{00000000-0005-0000-0000-00009D400000}"/>
    <cellStyle name="Normal 8 2 6 2 2 2" xfId="16494" xr:uid="{00000000-0005-0000-0000-00009E400000}"/>
    <cellStyle name="Normal 8 2 6 2 2 2 2" xfId="16495" xr:uid="{00000000-0005-0000-0000-00009F400000}"/>
    <cellStyle name="Normal 8 2 6 2 2 2 3" xfId="16496" xr:uid="{00000000-0005-0000-0000-0000A0400000}"/>
    <cellStyle name="Normal 8 2 6 2 2 3" xfId="16497" xr:uid="{00000000-0005-0000-0000-0000A1400000}"/>
    <cellStyle name="Normal 8 2 6 2 2 4" xfId="16498" xr:uid="{00000000-0005-0000-0000-0000A2400000}"/>
    <cellStyle name="Normal 8 2 6 2 3" xfId="16499" xr:uid="{00000000-0005-0000-0000-0000A3400000}"/>
    <cellStyle name="Normal 8 2 6 2 3 2" xfId="16500" xr:uid="{00000000-0005-0000-0000-0000A4400000}"/>
    <cellStyle name="Normal 8 2 6 2 3 3" xfId="16501" xr:uid="{00000000-0005-0000-0000-0000A5400000}"/>
    <cellStyle name="Normal 8 2 6 2 4" xfId="16502" xr:uid="{00000000-0005-0000-0000-0000A6400000}"/>
    <cellStyle name="Normal 8 2 6 2 5" xfId="16503" xr:uid="{00000000-0005-0000-0000-0000A7400000}"/>
    <cellStyle name="Normal 8 2 6 3" xfId="16504" xr:uid="{00000000-0005-0000-0000-0000A8400000}"/>
    <cellStyle name="Normal 8 2 6 3 2" xfId="16505" xr:uid="{00000000-0005-0000-0000-0000A9400000}"/>
    <cellStyle name="Normal 8 2 6 3 2 2" xfId="16506" xr:uid="{00000000-0005-0000-0000-0000AA400000}"/>
    <cellStyle name="Normal 8 2 6 3 2 3" xfId="16507" xr:uid="{00000000-0005-0000-0000-0000AB400000}"/>
    <cellStyle name="Normal 8 2 6 3 3" xfId="16508" xr:uid="{00000000-0005-0000-0000-0000AC400000}"/>
    <cellStyle name="Normal 8 2 6 3 4" xfId="16509" xr:uid="{00000000-0005-0000-0000-0000AD400000}"/>
    <cellStyle name="Normal 8 2 6 4" xfId="16510" xr:uid="{00000000-0005-0000-0000-0000AE400000}"/>
    <cellStyle name="Normal 8 2 6 4 2" xfId="16511" xr:uid="{00000000-0005-0000-0000-0000AF400000}"/>
    <cellStyle name="Normal 8 2 6 4 3" xfId="16512" xr:uid="{00000000-0005-0000-0000-0000B0400000}"/>
    <cellStyle name="Normal 8 2 6 5" xfId="16513" xr:uid="{00000000-0005-0000-0000-0000B1400000}"/>
    <cellStyle name="Normal 8 2 6 6" xfId="16514" xr:uid="{00000000-0005-0000-0000-0000B2400000}"/>
    <cellStyle name="Normal 8 2 7" xfId="16515" xr:uid="{00000000-0005-0000-0000-0000B3400000}"/>
    <cellStyle name="Normal 8 2 7 2" xfId="16516" xr:uid="{00000000-0005-0000-0000-0000B4400000}"/>
    <cellStyle name="Normal 8 2 7 2 2" xfId="16517" xr:uid="{00000000-0005-0000-0000-0000B5400000}"/>
    <cellStyle name="Normal 8 2 7 2 2 2" xfId="16518" xr:uid="{00000000-0005-0000-0000-0000B6400000}"/>
    <cellStyle name="Normal 8 2 7 2 2 3" xfId="16519" xr:uid="{00000000-0005-0000-0000-0000B7400000}"/>
    <cellStyle name="Normal 8 2 7 2 3" xfId="16520" xr:uid="{00000000-0005-0000-0000-0000B8400000}"/>
    <cellStyle name="Normal 8 2 7 2 4" xfId="16521" xr:uid="{00000000-0005-0000-0000-0000B9400000}"/>
    <cellStyle name="Normal 8 2 7 3" xfId="16522" xr:uid="{00000000-0005-0000-0000-0000BA400000}"/>
    <cellStyle name="Normal 8 2 7 3 2" xfId="16523" xr:uid="{00000000-0005-0000-0000-0000BB400000}"/>
    <cellStyle name="Normal 8 2 7 3 3" xfId="16524" xr:uid="{00000000-0005-0000-0000-0000BC400000}"/>
    <cellStyle name="Normal 8 2 7 4" xfId="16525" xr:uid="{00000000-0005-0000-0000-0000BD400000}"/>
    <cellStyle name="Normal 8 2 7 5" xfId="16526" xr:uid="{00000000-0005-0000-0000-0000BE400000}"/>
    <cellStyle name="Normal 8 2 8" xfId="16527" xr:uid="{00000000-0005-0000-0000-0000BF400000}"/>
    <cellStyle name="Normal 8 2 8 2" xfId="16528" xr:uid="{00000000-0005-0000-0000-0000C0400000}"/>
    <cellStyle name="Normal 8 2 8 2 2" xfId="16529" xr:uid="{00000000-0005-0000-0000-0000C1400000}"/>
    <cellStyle name="Normal 8 2 8 2 3" xfId="16530" xr:uid="{00000000-0005-0000-0000-0000C2400000}"/>
    <cellStyle name="Normal 8 2 8 3" xfId="16531" xr:uid="{00000000-0005-0000-0000-0000C3400000}"/>
    <cellStyle name="Normal 8 2 8 4" xfId="16532" xr:uid="{00000000-0005-0000-0000-0000C4400000}"/>
    <cellStyle name="Normal 8 2 9" xfId="16533" xr:uid="{00000000-0005-0000-0000-0000C5400000}"/>
    <cellStyle name="Normal 8 2 9 2" xfId="16534" xr:uid="{00000000-0005-0000-0000-0000C6400000}"/>
    <cellStyle name="Normal 8 2 9 3" xfId="16535" xr:uid="{00000000-0005-0000-0000-0000C7400000}"/>
    <cellStyle name="Normal 8 20" xfId="16536" xr:uid="{00000000-0005-0000-0000-0000C8400000}"/>
    <cellStyle name="Normal 8 20 2" xfId="16537" xr:uid="{00000000-0005-0000-0000-0000C9400000}"/>
    <cellStyle name="Normal 8 20 2 2" xfId="16538" xr:uid="{00000000-0005-0000-0000-0000CA400000}"/>
    <cellStyle name="Normal 8 20 2 2 2" xfId="16539" xr:uid="{00000000-0005-0000-0000-0000CB400000}"/>
    <cellStyle name="Normal 8 20 2 2 2 2" xfId="16540" xr:uid="{00000000-0005-0000-0000-0000CC400000}"/>
    <cellStyle name="Normal 8 20 2 2 2 3" xfId="16541" xr:uid="{00000000-0005-0000-0000-0000CD400000}"/>
    <cellStyle name="Normal 8 20 2 2 3" xfId="16542" xr:uid="{00000000-0005-0000-0000-0000CE400000}"/>
    <cellStyle name="Normal 8 20 2 2 4" xfId="16543" xr:uid="{00000000-0005-0000-0000-0000CF400000}"/>
    <cellStyle name="Normal 8 20 2 3" xfId="16544" xr:uid="{00000000-0005-0000-0000-0000D0400000}"/>
    <cellStyle name="Normal 8 20 2 3 2" xfId="16545" xr:uid="{00000000-0005-0000-0000-0000D1400000}"/>
    <cellStyle name="Normal 8 20 2 3 3" xfId="16546" xr:uid="{00000000-0005-0000-0000-0000D2400000}"/>
    <cellStyle name="Normal 8 20 2 4" xfId="16547" xr:uid="{00000000-0005-0000-0000-0000D3400000}"/>
    <cellStyle name="Normal 8 20 2 5" xfId="16548" xr:uid="{00000000-0005-0000-0000-0000D4400000}"/>
    <cellStyle name="Normal 8 20 3" xfId="16549" xr:uid="{00000000-0005-0000-0000-0000D5400000}"/>
    <cellStyle name="Normal 8 20 3 2" xfId="16550" xr:uid="{00000000-0005-0000-0000-0000D6400000}"/>
    <cellStyle name="Normal 8 20 3 2 2" xfId="16551" xr:uid="{00000000-0005-0000-0000-0000D7400000}"/>
    <cellStyle name="Normal 8 20 3 2 3" xfId="16552" xr:uid="{00000000-0005-0000-0000-0000D8400000}"/>
    <cellStyle name="Normal 8 20 3 3" xfId="16553" xr:uid="{00000000-0005-0000-0000-0000D9400000}"/>
    <cellStyle name="Normal 8 20 3 4" xfId="16554" xr:uid="{00000000-0005-0000-0000-0000DA400000}"/>
    <cellStyle name="Normal 8 20 4" xfId="16555" xr:uid="{00000000-0005-0000-0000-0000DB400000}"/>
    <cellStyle name="Normal 8 20 4 2" xfId="16556" xr:uid="{00000000-0005-0000-0000-0000DC400000}"/>
    <cellStyle name="Normal 8 20 4 3" xfId="16557" xr:uid="{00000000-0005-0000-0000-0000DD400000}"/>
    <cellStyle name="Normal 8 20 5" xfId="16558" xr:uid="{00000000-0005-0000-0000-0000DE400000}"/>
    <cellStyle name="Normal 8 20 6" xfId="16559" xr:uid="{00000000-0005-0000-0000-0000DF400000}"/>
    <cellStyle name="Normal 8 21" xfId="16560" xr:uid="{00000000-0005-0000-0000-0000E0400000}"/>
    <cellStyle name="Normal 8 22" xfId="16561" xr:uid="{00000000-0005-0000-0000-0000E1400000}"/>
    <cellStyle name="Normal 8 22 2" xfId="16562" xr:uid="{00000000-0005-0000-0000-0000E2400000}"/>
    <cellStyle name="Normal 8 22 2 2" xfId="16563" xr:uid="{00000000-0005-0000-0000-0000E3400000}"/>
    <cellStyle name="Normal 8 22 2 2 2" xfId="16564" xr:uid="{00000000-0005-0000-0000-0000E4400000}"/>
    <cellStyle name="Normal 8 22 2 2 2 2" xfId="16565" xr:uid="{00000000-0005-0000-0000-0000E5400000}"/>
    <cellStyle name="Normal 8 22 2 2 2 3" xfId="16566" xr:uid="{00000000-0005-0000-0000-0000E6400000}"/>
    <cellStyle name="Normal 8 22 2 2 3" xfId="16567" xr:uid="{00000000-0005-0000-0000-0000E7400000}"/>
    <cellStyle name="Normal 8 22 2 2 4" xfId="16568" xr:uid="{00000000-0005-0000-0000-0000E8400000}"/>
    <cellStyle name="Normal 8 22 2 3" xfId="16569" xr:uid="{00000000-0005-0000-0000-0000E9400000}"/>
    <cellStyle name="Normal 8 22 2 3 2" xfId="16570" xr:uid="{00000000-0005-0000-0000-0000EA400000}"/>
    <cellStyle name="Normal 8 22 2 3 3" xfId="16571" xr:uid="{00000000-0005-0000-0000-0000EB400000}"/>
    <cellStyle name="Normal 8 22 2 4" xfId="16572" xr:uid="{00000000-0005-0000-0000-0000EC400000}"/>
    <cellStyle name="Normal 8 22 2 5" xfId="16573" xr:uid="{00000000-0005-0000-0000-0000ED400000}"/>
    <cellStyle name="Normal 8 22 3" xfId="16574" xr:uid="{00000000-0005-0000-0000-0000EE400000}"/>
    <cellStyle name="Normal 8 22 3 2" xfId="16575" xr:uid="{00000000-0005-0000-0000-0000EF400000}"/>
    <cellStyle name="Normal 8 22 3 2 2" xfId="16576" xr:uid="{00000000-0005-0000-0000-0000F0400000}"/>
    <cellStyle name="Normal 8 22 3 2 3" xfId="16577" xr:uid="{00000000-0005-0000-0000-0000F1400000}"/>
    <cellStyle name="Normal 8 22 3 3" xfId="16578" xr:uid="{00000000-0005-0000-0000-0000F2400000}"/>
    <cellStyle name="Normal 8 22 3 4" xfId="16579" xr:uid="{00000000-0005-0000-0000-0000F3400000}"/>
    <cellStyle name="Normal 8 22 4" xfId="16580" xr:uid="{00000000-0005-0000-0000-0000F4400000}"/>
    <cellStyle name="Normal 8 22 4 2" xfId="16581" xr:uid="{00000000-0005-0000-0000-0000F5400000}"/>
    <cellStyle name="Normal 8 22 4 3" xfId="16582" xr:uid="{00000000-0005-0000-0000-0000F6400000}"/>
    <cellStyle name="Normal 8 22 5" xfId="16583" xr:uid="{00000000-0005-0000-0000-0000F7400000}"/>
    <cellStyle name="Normal 8 22 6" xfId="16584" xr:uid="{00000000-0005-0000-0000-0000F8400000}"/>
    <cellStyle name="Normal 8 23" xfId="16585" xr:uid="{00000000-0005-0000-0000-0000F9400000}"/>
    <cellStyle name="Normal 8 23 2" xfId="16586" xr:uid="{00000000-0005-0000-0000-0000FA400000}"/>
    <cellStyle name="Normal 8 24" xfId="16587" xr:uid="{00000000-0005-0000-0000-0000FB400000}"/>
    <cellStyle name="Normal 8 24 2" xfId="16588" xr:uid="{00000000-0005-0000-0000-0000FC400000}"/>
    <cellStyle name="Normal 8 25" xfId="16589" xr:uid="{00000000-0005-0000-0000-0000FD400000}"/>
    <cellStyle name="Normal 8 25 2" xfId="16590" xr:uid="{00000000-0005-0000-0000-0000FE400000}"/>
    <cellStyle name="Normal 8 25 2 2" xfId="16591" xr:uid="{00000000-0005-0000-0000-0000FF400000}"/>
    <cellStyle name="Normal 8 25 2 2 2" xfId="16592" xr:uid="{00000000-0005-0000-0000-000000410000}"/>
    <cellStyle name="Normal 8 25 2 2 2 2" xfId="16593" xr:uid="{00000000-0005-0000-0000-000001410000}"/>
    <cellStyle name="Normal 8 25 2 2 2 3" xfId="16594" xr:uid="{00000000-0005-0000-0000-000002410000}"/>
    <cellStyle name="Normal 8 25 2 2 3" xfId="16595" xr:uid="{00000000-0005-0000-0000-000003410000}"/>
    <cellStyle name="Normal 8 25 2 2 4" xfId="16596" xr:uid="{00000000-0005-0000-0000-000004410000}"/>
    <cellStyle name="Normal 8 25 2 3" xfId="16597" xr:uid="{00000000-0005-0000-0000-000005410000}"/>
    <cellStyle name="Normal 8 25 2 3 2" xfId="16598" xr:uid="{00000000-0005-0000-0000-000006410000}"/>
    <cellStyle name="Normal 8 25 2 3 3" xfId="16599" xr:uid="{00000000-0005-0000-0000-000007410000}"/>
    <cellStyle name="Normal 8 25 2 4" xfId="16600" xr:uid="{00000000-0005-0000-0000-000008410000}"/>
    <cellStyle name="Normal 8 25 2 5" xfId="16601" xr:uid="{00000000-0005-0000-0000-000009410000}"/>
    <cellStyle name="Normal 8 25 3" xfId="16602" xr:uid="{00000000-0005-0000-0000-00000A410000}"/>
    <cellStyle name="Normal 8 25 3 2" xfId="16603" xr:uid="{00000000-0005-0000-0000-00000B410000}"/>
    <cellStyle name="Normal 8 25 3 2 2" xfId="16604" xr:uid="{00000000-0005-0000-0000-00000C410000}"/>
    <cellStyle name="Normal 8 25 3 2 3" xfId="16605" xr:uid="{00000000-0005-0000-0000-00000D410000}"/>
    <cellStyle name="Normal 8 25 3 3" xfId="16606" xr:uid="{00000000-0005-0000-0000-00000E410000}"/>
    <cellStyle name="Normal 8 25 3 4" xfId="16607" xr:uid="{00000000-0005-0000-0000-00000F410000}"/>
    <cellStyle name="Normal 8 25 4" xfId="16608" xr:uid="{00000000-0005-0000-0000-000010410000}"/>
    <cellStyle name="Normal 8 25 4 2" xfId="16609" xr:uid="{00000000-0005-0000-0000-000011410000}"/>
    <cellStyle name="Normal 8 25 4 3" xfId="16610" xr:uid="{00000000-0005-0000-0000-000012410000}"/>
    <cellStyle name="Normal 8 25 5" xfId="16611" xr:uid="{00000000-0005-0000-0000-000013410000}"/>
    <cellStyle name="Normal 8 25 6" xfId="16612" xr:uid="{00000000-0005-0000-0000-000014410000}"/>
    <cellStyle name="Normal 8 26" xfId="16613" xr:uid="{00000000-0005-0000-0000-000015410000}"/>
    <cellStyle name="Normal 8 26 2" xfId="16614" xr:uid="{00000000-0005-0000-0000-000016410000}"/>
    <cellStyle name="Normal 8 26 2 2" xfId="16615" xr:uid="{00000000-0005-0000-0000-000017410000}"/>
    <cellStyle name="Normal 8 26 2 2 2" xfId="16616" xr:uid="{00000000-0005-0000-0000-000018410000}"/>
    <cellStyle name="Normal 8 26 2 2 3" xfId="16617" xr:uid="{00000000-0005-0000-0000-000019410000}"/>
    <cellStyle name="Normal 8 26 2 3" xfId="16618" xr:uid="{00000000-0005-0000-0000-00001A410000}"/>
    <cellStyle name="Normal 8 26 2 4" xfId="16619" xr:uid="{00000000-0005-0000-0000-00001B410000}"/>
    <cellStyle name="Normal 8 26 3" xfId="16620" xr:uid="{00000000-0005-0000-0000-00001C410000}"/>
    <cellStyle name="Normal 8 26 3 2" xfId="16621" xr:uid="{00000000-0005-0000-0000-00001D410000}"/>
    <cellStyle name="Normal 8 26 3 3" xfId="16622" xr:uid="{00000000-0005-0000-0000-00001E410000}"/>
    <cellStyle name="Normal 8 26 4" xfId="16623" xr:uid="{00000000-0005-0000-0000-00001F410000}"/>
    <cellStyle name="Normal 8 26 5" xfId="16624" xr:uid="{00000000-0005-0000-0000-000020410000}"/>
    <cellStyle name="Normal 8 27" xfId="16625" xr:uid="{00000000-0005-0000-0000-000021410000}"/>
    <cellStyle name="Normal 8 27 2" xfId="16626" xr:uid="{00000000-0005-0000-0000-000022410000}"/>
    <cellStyle name="Normal 8 27 2 2" xfId="16627" xr:uid="{00000000-0005-0000-0000-000023410000}"/>
    <cellStyle name="Normal 8 27 2 3" xfId="16628" xr:uid="{00000000-0005-0000-0000-000024410000}"/>
    <cellStyle name="Normal 8 27 3" xfId="16629" xr:uid="{00000000-0005-0000-0000-000025410000}"/>
    <cellStyle name="Normal 8 27 4" xfId="16630" xr:uid="{00000000-0005-0000-0000-000026410000}"/>
    <cellStyle name="Normal 8 28" xfId="16631" xr:uid="{00000000-0005-0000-0000-000027410000}"/>
    <cellStyle name="Normal 8 28 2" xfId="16632" xr:uid="{00000000-0005-0000-0000-000028410000}"/>
    <cellStyle name="Normal 8 28 3" xfId="16633" xr:uid="{00000000-0005-0000-0000-000029410000}"/>
    <cellStyle name="Normal 8 29" xfId="16634" xr:uid="{00000000-0005-0000-0000-00002A410000}"/>
    <cellStyle name="Normal 8 3" xfId="16635" xr:uid="{00000000-0005-0000-0000-00002B410000}"/>
    <cellStyle name="Normal 8 3 10" xfId="16636" xr:uid="{00000000-0005-0000-0000-00002C410000}"/>
    <cellStyle name="Normal 8 3 11" xfId="16637" xr:uid="{00000000-0005-0000-0000-00002D410000}"/>
    <cellStyle name="Normal 8 3 2" xfId="16638" xr:uid="{00000000-0005-0000-0000-00002E410000}"/>
    <cellStyle name="Normal 8 3 2 2" xfId="16639" xr:uid="{00000000-0005-0000-0000-00002F410000}"/>
    <cellStyle name="Normal 8 3 2 2 2" xfId="16640" xr:uid="{00000000-0005-0000-0000-000030410000}"/>
    <cellStyle name="Normal 8 3 2 2 2 2" xfId="16641" xr:uid="{00000000-0005-0000-0000-000031410000}"/>
    <cellStyle name="Normal 8 3 2 2 2 2 2" xfId="16642" xr:uid="{00000000-0005-0000-0000-000032410000}"/>
    <cellStyle name="Normal 8 3 2 2 2 2 3" xfId="16643" xr:uid="{00000000-0005-0000-0000-000033410000}"/>
    <cellStyle name="Normal 8 3 2 2 2 3" xfId="16644" xr:uid="{00000000-0005-0000-0000-000034410000}"/>
    <cellStyle name="Normal 8 3 2 2 2 4" xfId="16645" xr:uid="{00000000-0005-0000-0000-000035410000}"/>
    <cellStyle name="Normal 8 3 2 2 3" xfId="16646" xr:uid="{00000000-0005-0000-0000-000036410000}"/>
    <cellStyle name="Normal 8 3 2 2 3 2" xfId="16647" xr:uid="{00000000-0005-0000-0000-000037410000}"/>
    <cellStyle name="Normal 8 3 2 2 3 3" xfId="16648" xr:uid="{00000000-0005-0000-0000-000038410000}"/>
    <cellStyle name="Normal 8 3 2 2 4" xfId="16649" xr:uid="{00000000-0005-0000-0000-000039410000}"/>
    <cellStyle name="Normal 8 3 2 2 5" xfId="16650" xr:uid="{00000000-0005-0000-0000-00003A410000}"/>
    <cellStyle name="Normal 8 3 2 3" xfId="16651" xr:uid="{00000000-0005-0000-0000-00003B410000}"/>
    <cellStyle name="Normal 8 3 2 3 2" xfId="16652" xr:uid="{00000000-0005-0000-0000-00003C410000}"/>
    <cellStyle name="Normal 8 3 2 3 2 2" xfId="16653" xr:uid="{00000000-0005-0000-0000-00003D410000}"/>
    <cellStyle name="Normal 8 3 2 3 2 3" xfId="16654" xr:uid="{00000000-0005-0000-0000-00003E410000}"/>
    <cellStyle name="Normal 8 3 2 3 3" xfId="16655" xr:uid="{00000000-0005-0000-0000-00003F410000}"/>
    <cellStyle name="Normal 8 3 2 3 4" xfId="16656" xr:uid="{00000000-0005-0000-0000-000040410000}"/>
    <cellStyle name="Normal 8 3 2 4" xfId="16657" xr:uid="{00000000-0005-0000-0000-000041410000}"/>
    <cellStyle name="Normal 8 3 2 4 2" xfId="16658" xr:uid="{00000000-0005-0000-0000-000042410000}"/>
    <cellStyle name="Normal 8 3 2 4 3" xfId="16659" xr:uid="{00000000-0005-0000-0000-000043410000}"/>
    <cellStyle name="Normal 8 3 2 5" xfId="16660" xr:uid="{00000000-0005-0000-0000-000044410000}"/>
    <cellStyle name="Normal 8 3 2 6" xfId="16661" xr:uid="{00000000-0005-0000-0000-000045410000}"/>
    <cellStyle name="Normal 8 3 3" xfId="16662" xr:uid="{00000000-0005-0000-0000-000046410000}"/>
    <cellStyle name="Normal 8 3 3 2" xfId="16663" xr:uid="{00000000-0005-0000-0000-000047410000}"/>
    <cellStyle name="Normal 8 3 3 2 2" xfId="16664" xr:uid="{00000000-0005-0000-0000-000048410000}"/>
    <cellStyle name="Normal 8 3 3 2 2 2" xfId="16665" xr:uid="{00000000-0005-0000-0000-000049410000}"/>
    <cellStyle name="Normal 8 3 3 2 2 2 2" xfId="16666" xr:uid="{00000000-0005-0000-0000-00004A410000}"/>
    <cellStyle name="Normal 8 3 3 2 2 2 3" xfId="16667" xr:uid="{00000000-0005-0000-0000-00004B410000}"/>
    <cellStyle name="Normal 8 3 3 2 2 3" xfId="16668" xr:uid="{00000000-0005-0000-0000-00004C410000}"/>
    <cellStyle name="Normal 8 3 3 2 2 4" xfId="16669" xr:uid="{00000000-0005-0000-0000-00004D410000}"/>
    <cellStyle name="Normal 8 3 3 2 3" xfId="16670" xr:uid="{00000000-0005-0000-0000-00004E410000}"/>
    <cellStyle name="Normal 8 3 3 2 3 2" xfId="16671" xr:uid="{00000000-0005-0000-0000-00004F410000}"/>
    <cellStyle name="Normal 8 3 3 2 3 3" xfId="16672" xr:uid="{00000000-0005-0000-0000-000050410000}"/>
    <cellStyle name="Normal 8 3 3 2 4" xfId="16673" xr:uid="{00000000-0005-0000-0000-000051410000}"/>
    <cellStyle name="Normal 8 3 3 2 5" xfId="16674" xr:uid="{00000000-0005-0000-0000-000052410000}"/>
    <cellStyle name="Normal 8 3 3 3" xfId="16675" xr:uid="{00000000-0005-0000-0000-000053410000}"/>
    <cellStyle name="Normal 8 3 3 3 2" xfId="16676" xr:uid="{00000000-0005-0000-0000-000054410000}"/>
    <cellStyle name="Normal 8 3 3 3 2 2" xfId="16677" xr:uid="{00000000-0005-0000-0000-000055410000}"/>
    <cellStyle name="Normal 8 3 3 3 2 3" xfId="16678" xr:uid="{00000000-0005-0000-0000-000056410000}"/>
    <cellStyle name="Normal 8 3 3 3 3" xfId="16679" xr:uid="{00000000-0005-0000-0000-000057410000}"/>
    <cellStyle name="Normal 8 3 3 3 4" xfId="16680" xr:uid="{00000000-0005-0000-0000-000058410000}"/>
    <cellStyle name="Normal 8 3 3 4" xfId="16681" xr:uid="{00000000-0005-0000-0000-000059410000}"/>
    <cellStyle name="Normal 8 3 3 4 2" xfId="16682" xr:uid="{00000000-0005-0000-0000-00005A410000}"/>
    <cellStyle name="Normal 8 3 3 4 3" xfId="16683" xr:uid="{00000000-0005-0000-0000-00005B410000}"/>
    <cellStyle name="Normal 8 3 3 5" xfId="16684" xr:uid="{00000000-0005-0000-0000-00005C410000}"/>
    <cellStyle name="Normal 8 3 3 6" xfId="16685" xr:uid="{00000000-0005-0000-0000-00005D410000}"/>
    <cellStyle name="Normal 8 3 4" xfId="16686" xr:uid="{00000000-0005-0000-0000-00005E410000}"/>
    <cellStyle name="Normal 8 3 4 2" xfId="16687" xr:uid="{00000000-0005-0000-0000-00005F410000}"/>
    <cellStyle name="Normal 8 3 4 2 2" xfId="16688" xr:uid="{00000000-0005-0000-0000-000060410000}"/>
    <cellStyle name="Normal 8 3 4 2 2 2" xfId="16689" xr:uid="{00000000-0005-0000-0000-000061410000}"/>
    <cellStyle name="Normal 8 3 4 2 2 2 2" xfId="16690" xr:uid="{00000000-0005-0000-0000-000062410000}"/>
    <cellStyle name="Normal 8 3 4 2 2 2 3" xfId="16691" xr:uid="{00000000-0005-0000-0000-000063410000}"/>
    <cellStyle name="Normal 8 3 4 2 2 3" xfId="16692" xr:uid="{00000000-0005-0000-0000-000064410000}"/>
    <cellStyle name="Normal 8 3 4 2 2 4" xfId="16693" xr:uid="{00000000-0005-0000-0000-000065410000}"/>
    <cellStyle name="Normal 8 3 4 2 3" xfId="16694" xr:uid="{00000000-0005-0000-0000-000066410000}"/>
    <cellStyle name="Normal 8 3 4 2 3 2" xfId="16695" xr:uid="{00000000-0005-0000-0000-000067410000}"/>
    <cellStyle name="Normal 8 3 4 2 3 3" xfId="16696" xr:uid="{00000000-0005-0000-0000-000068410000}"/>
    <cellStyle name="Normal 8 3 4 2 4" xfId="16697" xr:uid="{00000000-0005-0000-0000-000069410000}"/>
    <cellStyle name="Normal 8 3 4 2 5" xfId="16698" xr:uid="{00000000-0005-0000-0000-00006A410000}"/>
    <cellStyle name="Normal 8 3 4 3" xfId="16699" xr:uid="{00000000-0005-0000-0000-00006B410000}"/>
    <cellStyle name="Normal 8 3 4 3 2" xfId="16700" xr:uid="{00000000-0005-0000-0000-00006C410000}"/>
    <cellStyle name="Normal 8 3 4 3 2 2" xfId="16701" xr:uid="{00000000-0005-0000-0000-00006D410000}"/>
    <cellStyle name="Normal 8 3 4 3 2 3" xfId="16702" xr:uid="{00000000-0005-0000-0000-00006E410000}"/>
    <cellStyle name="Normal 8 3 4 3 3" xfId="16703" xr:uid="{00000000-0005-0000-0000-00006F410000}"/>
    <cellStyle name="Normal 8 3 4 3 4" xfId="16704" xr:uid="{00000000-0005-0000-0000-000070410000}"/>
    <cellStyle name="Normal 8 3 4 4" xfId="16705" xr:uid="{00000000-0005-0000-0000-000071410000}"/>
    <cellStyle name="Normal 8 3 4 4 2" xfId="16706" xr:uid="{00000000-0005-0000-0000-000072410000}"/>
    <cellStyle name="Normal 8 3 4 4 3" xfId="16707" xr:uid="{00000000-0005-0000-0000-000073410000}"/>
    <cellStyle name="Normal 8 3 4 5" xfId="16708" xr:uid="{00000000-0005-0000-0000-000074410000}"/>
    <cellStyle name="Normal 8 3 4 6" xfId="16709" xr:uid="{00000000-0005-0000-0000-000075410000}"/>
    <cellStyle name="Normal 8 3 5" xfId="16710" xr:uid="{00000000-0005-0000-0000-000076410000}"/>
    <cellStyle name="Normal 8 3 5 2" xfId="16711" xr:uid="{00000000-0005-0000-0000-000077410000}"/>
    <cellStyle name="Normal 8 3 5 2 2" xfId="16712" xr:uid="{00000000-0005-0000-0000-000078410000}"/>
    <cellStyle name="Normal 8 3 5 2 2 2" xfId="16713" xr:uid="{00000000-0005-0000-0000-000079410000}"/>
    <cellStyle name="Normal 8 3 5 2 2 2 2" xfId="16714" xr:uid="{00000000-0005-0000-0000-00007A410000}"/>
    <cellStyle name="Normal 8 3 5 2 2 2 3" xfId="16715" xr:uid="{00000000-0005-0000-0000-00007B410000}"/>
    <cellStyle name="Normal 8 3 5 2 2 3" xfId="16716" xr:uid="{00000000-0005-0000-0000-00007C410000}"/>
    <cellStyle name="Normal 8 3 5 2 2 4" xfId="16717" xr:uid="{00000000-0005-0000-0000-00007D410000}"/>
    <cellStyle name="Normal 8 3 5 2 3" xfId="16718" xr:uid="{00000000-0005-0000-0000-00007E410000}"/>
    <cellStyle name="Normal 8 3 5 2 3 2" xfId="16719" xr:uid="{00000000-0005-0000-0000-00007F410000}"/>
    <cellStyle name="Normal 8 3 5 2 3 3" xfId="16720" xr:uid="{00000000-0005-0000-0000-000080410000}"/>
    <cellStyle name="Normal 8 3 5 2 4" xfId="16721" xr:uid="{00000000-0005-0000-0000-000081410000}"/>
    <cellStyle name="Normal 8 3 5 2 5" xfId="16722" xr:uid="{00000000-0005-0000-0000-000082410000}"/>
    <cellStyle name="Normal 8 3 5 3" xfId="16723" xr:uid="{00000000-0005-0000-0000-000083410000}"/>
    <cellStyle name="Normal 8 3 5 3 2" xfId="16724" xr:uid="{00000000-0005-0000-0000-000084410000}"/>
    <cellStyle name="Normal 8 3 5 3 2 2" xfId="16725" xr:uid="{00000000-0005-0000-0000-000085410000}"/>
    <cellStyle name="Normal 8 3 5 3 2 3" xfId="16726" xr:uid="{00000000-0005-0000-0000-000086410000}"/>
    <cellStyle name="Normal 8 3 5 3 3" xfId="16727" xr:uid="{00000000-0005-0000-0000-000087410000}"/>
    <cellStyle name="Normal 8 3 5 3 4" xfId="16728" xr:uid="{00000000-0005-0000-0000-000088410000}"/>
    <cellStyle name="Normal 8 3 5 4" xfId="16729" xr:uid="{00000000-0005-0000-0000-000089410000}"/>
    <cellStyle name="Normal 8 3 5 4 2" xfId="16730" xr:uid="{00000000-0005-0000-0000-00008A410000}"/>
    <cellStyle name="Normal 8 3 5 4 3" xfId="16731" xr:uid="{00000000-0005-0000-0000-00008B410000}"/>
    <cellStyle name="Normal 8 3 5 5" xfId="16732" xr:uid="{00000000-0005-0000-0000-00008C410000}"/>
    <cellStyle name="Normal 8 3 5 6" xfId="16733" xr:uid="{00000000-0005-0000-0000-00008D410000}"/>
    <cellStyle name="Normal 8 3 6" xfId="16734" xr:uid="{00000000-0005-0000-0000-00008E410000}"/>
    <cellStyle name="Normal 8 3 6 2" xfId="16735" xr:uid="{00000000-0005-0000-0000-00008F410000}"/>
    <cellStyle name="Normal 8 3 6 2 2" xfId="16736" xr:uid="{00000000-0005-0000-0000-000090410000}"/>
    <cellStyle name="Normal 8 3 6 2 2 2" xfId="16737" xr:uid="{00000000-0005-0000-0000-000091410000}"/>
    <cellStyle name="Normal 8 3 6 2 2 2 2" xfId="16738" xr:uid="{00000000-0005-0000-0000-000092410000}"/>
    <cellStyle name="Normal 8 3 6 2 2 2 3" xfId="16739" xr:uid="{00000000-0005-0000-0000-000093410000}"/>
    <cellStyle name="Normal 8 3 6 2 2 3" xfId="16740" xr:uid="{00000000-0005-0000-0000-000094410000}"/>
    <cellStyle name="Normal 8 3 6 2 2 4" xfId="16741" xr:uid="{00000000-0005-0000-0000-000095410000}"/>
    <cellStyle name="Normal 8 3 6 2 3" xfId="16742" xr:uid="{00000000-0005-0000-0000-000096410000}"/>
    <cellStyle name="Normal 8 3 6 2 3 2" xfId="16743" xr:uid="{00000000-0005-0000-0000-000097410000}"/>
    <cellStyle name="Normal 8 3 6 2 3 3" xfId="16744" xr:uid="{00000000-0005-0000-0000-000098410000}"/>
    <cellStyle name="Normal 8 3 6 2 4" xfId="16745" xr:uid="{00000000-0005-0000-0000-000099410000}"/>
    <cellStyle name="Normal 8 3 6 2 5" xfId="16746" xr:uid="{00000000-0005-0000-0000-00009A410000}"/>
    <cellStyle name="Normal 8 3 6 3" xfId="16747" xr:uid="{00000000-0005-0000-0000-00009B410000}"/>
    <cellStyle name="Normal 8 3 6 3 2" xfId="16748" xr:uid="{00000000-0005-0000-0000-00009C410000}"/>
    <cellStyle name="Normal 8 3 6 3 2 2" xfId="16749" xr:uid="{00000000-0005-0000-0000-00009D410000}"/>
    <cellStyle name="Normal 8 3 6 3 2 3" xfId="16750" xr:uid="{00000000-0005-0000-0000-00009E410000}"/>
    <cellStyle name="Normal 8 3 6 3 3" xfId="16751" xr:uid="{00000000-0005-0000-0000-00009F410000}"/>
    <cellStyle name="Normal 8 3 6 3 4" xfId="16752" xr:uid="{00000000-0005-0000-0000-0000A0410000}"/>
    <cellStyle name="Normal 8 3 6 4" xfId="16753" xr:uid="{00000000-0005-0000-0000-0000A1410000}"/>
    <cellStyle name="Normal 8 3 6 4 2" xfId="16754" xr:uid="{00000000-0005-0000-0000-0000A2410000}"/>
    <cellStyle name="Normal 8 3 6 4 3" xfId="16755" xr:uid="{00000000-0005-0000-0000-0000A3410000}"/>
    <cellStyle name="Normal 8 3 6 5" xfId="16756" xr:uid="{00000000-0005-0000-0000-0000A4410000}"/>
    <cellStyle name="Normal 8 3 6 6" xfId="16757" xr:uid="{00000000-0005-0000-0000-0000A5410000}"/>
    <cellStyle name="Normal 8 3 7" xfId="16758" xr:uid="{00000000-0005-0000-0000-0000A6410000}"/>
    <cellStyle name="Normal 8 3 7 2" xfId="16759" xr:uid="{00000000-0005-0000-0000-0000A7410000}"/>
    <cellStyle name="Normal 8 3 7 2 2" xfId="16760" xr:uid="{00000000-0005-0000-0000-0000A8410000}"/>
    <cellStyle name="Normal 8 3 7 2 2 2" xfId="16761" xr:uid="{00000000-0005-0000-0000-0000A9410000}"/>
    <cellStyle name="Normal 8 3 7 2 2 3" xfId="16762" xr:uid="{00000000-0005-0000-0000-0000AA410000}"/>
    <cellStyle name="Normal 8 3 7 2 3" xfId="16763" xr:uid="{00000000-0005-0000-0000-0000AB410000}"/>
    <cellStyle name="Normal 8 3 7 2 4" xfId="16764" xr:uid="{00000000-0005-0000-0000-0000AC410000}"/>
    <cellStyle name="Normal 8 3 7 3" xfId="16765" xr:uid="{00000000-0005-0000-0000-0000AD410000}"/>
    <cellStyle name="Normal 8 3 7 3 2" xfId="16766" xr:uid="{00000000-0005-0000-0000-0000AE410000}"/>
    <cellStyle name="Normal 8 3 7 3 3" xfId="16767" xr:uid="{00000000-0005-0000-0000-0000AF410000}"/>
    <cellStyle name="Normal 8 3 7 4" xfId="16768" xr:uid="{00000000-0005-0000-0000-0000B0410000}"/>
    <cellStyle name="Normal 8 3 7 5" xfId="16769" xr:uid="{00000000-0005-0000-0000-0000B1410000}"/>
    <cellStyle name="Normal 8 3 8" xfId="16770" xr:uid="{00000000-0005-0000-0000-0000B2410000}"/>
    <cellStyle name="Normal 8 3 8 2" xfId="16771" xr:uid="{00000000-0005-0000-0000-0000B3410000}"/>
    <cellStyle name="Normal 8 3 8 2 2" xfId="16772" xr:uid="{00000000-0005-0000-0000-0000B4410000}"/>
    <cellStyle name="Normal 8 3 8 2 3" xfId="16773" xr:uid="{00000000-0005-0000-0000-0000B5410000}"/>
    <cellStyle name="Normal 8 3 8 3" xfId="16774" xr:uid="{00000000-0005-0000-0000-0000B6410000}"/>
    <cellStyle name="Normal 8 3 8 4" xfId="16775" xr:uid="{00000000-0005-0000-0000-0000B7410000}"/>
    <cellStyle name="Normal 8 3 9" xfId="16776" xr:uid="{00000000-0005-0000-0000-0000B8410000}"/>
    <cellStyle name="Normal 8 3 9 2" xfId="16777" xr:uid="{00000000-0005-0000-0000-0000B9410000}"/>
    <cellStyle name="Normal 8 3 9 3" xfId="16778" xr:uid="{00000000-0005-0000-0000-0000BA410000}"/>
    <cellStyle name="Normal 8 30" xfId="16779" xr:uid="{00000000-0005-0000-0000-0000BB410000}"/>
    <cellStyle name="Normal 8 31" xfId="16780" xr:uid="{00000000-0005-0000-0000-0000BC410000}"/>
    <cellStyle name="Normal 8 32" xfId="21850" xr:uid="{00000000-0005-0000-0000-0000BD410000}"/>
    <cellStyle name="Normal 8 4" xfId="16781" xr:uid="{00000000-0005-0000-0000-0000BE410000}"/>
    <cellStyle name="Normal 8 4 2" xfId="16782" xr:uid="{00000000-0005-0000-0000-0000BF410000}"/>
    <cellStyle name="Normal 8 4 2 2" xfId="16783" xr:uid="{00000000-0005-0000-0000-0000C0410000}"/>
    <cellStyle name="Normal 8 4 2 2 2" xfId="16784" xr:uid="{00000000-0005-0000-0000-0000C1410000}"/>
    <cellStyle name="Normal 8 4 2 2 2 2" xfId="16785" xr:uid="{00000000-0005-0000-0000-0000C2410000}"/>
    <cellStyle name="Normal 8 4 2 2 2 3" xfId="16786" xr:uid="{00000000-0005-0000-0000-0000C3410000}"/>
    <cellStyle name="Normal 8 4 2 2 3" xfId="16787" xr:uid="{00000000-0005-0000-0000-0000C4410000}"/>
    <cellStyle name="Normal 8 4 2 2 4" xfId="16788" xr:uid="{00000000-0005-0000-0000-0000C5410000}"/>
    <cellStyle name="Normal 8 4 2 3" xfId="16789" xr:uid="{00000000-0005-0000-0000-0000C6410000}"/>
    <cellStyle name="Normal 8 4 2 3 2" xfId="16790" xr:uid="{00000000-0005-0000-0000-0000C7410000}"/>
    <cellStyle name="Normal 8 4 2 3 3" xfId="16791" xr:uid="{00000000-0005-0000-0000-0000C8410000}"/>
    <cellStyle name="Normal 8 4 2 4" xfId="16792" xr:uid="{00000000-0005-0000-0000-0000C9410000}"/>
    <cellStyle name="Normal 8 4 2 5" xfId="16793" xr:uid="{00000000-0005-0000-0000-0000CA410000}"/>
    <cellStyle name="Normal 8 4 3" xfId="16794" xr:uid="{00000000-0005-0000-0000-0000CB410000}"/>
    <cellStyle name="Normal 8 4 3 2" xfId="16795" xr:uid="{00000000-0005-0000-0000-0000CC410000}"/>
    <cellStyle name="Normal 8 4 3 2 2" xfId="16796" xr:uid="{00000000-0005-0000-0000-0000CD410000}"/>
    <cellStyle name="Normal 8 4 3 2 3" xfId="16797" xr:uid="{00000000-0005-0000-0000-0000CE410000}"/>
    <cellStyle name="Normal 8 4 3 3" xfId="16798" xr:uid="{00000000-0005-0000-0000-0000CF410000}"/>
    <cellStyle name="Normal 8 4 3 4" xfId="16799" xr:uid="{00000000-0005-0000-0000-0000D0410000}"/>
    <cellStyle name="Normal 8 4 4" xfId="16800" xr:uid="{00000000-0005-0000-0000-0000D1410000}"/>
    <cellStyle name="Normal 8 4 4 2" xfId="16801" xr:uid="{00000000-0005-0000-0000-0000D2410000}"/>
    <cellStyle name="Normal 8 4 4 3" xfId="16802" xr:uid="{00000000-0005-0000-0000-0000D3410000}"/>
    <cellStyle name="Normal 8 4 5" xfId="16803" xr:uid="{00000000-0005-0000-0000-0000D4410000}"/>
    <cellStyle name="Normal 8 4 6" xfId="16804" xr:uid="{00000000-0005-0000-0000-0000D5410000}"/>
    <cellStyle name="Normal 8 5" xfId="16805" xr:uid="{00000000-0005-0000-0000-0000D6410000}"/>
    <cellStyle name="Normal 8 5 2" xfId="16806" xr:uid="{00000000-0005-0000-0000-0000D7410000}"/>
    <cellStyle name="Normal 8 5 2 2" xfId="16807" xr:uid="{00000000-0005-0000-0000-0000D8410000}"/>
    <cellStyle name="Normal 8 5 2 2 2" xfId="16808" xr:uid="{00000000-0005-0000-0000-0000D9410000}"/>
    <cellStyle name="Normal 8 5 2 2 2 2" xfId="16809" xr:uid="{00000000-0005-0000-0000-0000DA410000}"/>
    <cellStyle name="Normal 8 5 2 2 2 3" xfId="16810" xr:uid="{00000000-0005-0000-0000-0000DB410000}"/>
    <cellStyle name="Normal 8 5 2 2 3" xfId="16811" xr:uid="{00000000-0005-0000-0000-0000DC410000}"/>
    <cellStyle name="Normal 8 5 2 2 4" xfId="16812" xr:uid="{00000000-0005-0000-0000-0000DD410000}"/>
    <cellStyle name="Normal 8 5 2 3" xfId="16813" xr:uid="{00000000-0005-0000-0000-0000DE410000}"/>
    <cellStyle name="Normal 8 5 2 3 2" xfId="16814" xr:uid="{00000000-0005-0000-0000-0000DF410000}"/>
    <cellStyle name="Normal 8 5 2 3 3" xfId="16815" xr:uid="{00000000-0005-0000-0000-0000E0410000}"/>
    <cellStyle name="Normal 8 5 2 4" xfId="16816" xr:uid="{00000000-0005-0000-0000-0000E1410000}"/>
    <cellStyle name="Normal 8 5 2 5" xfId="16817" xr:uid="{00000000-0005-0000-0000-0000E2410000}"/>
    <cellStyle name="Normal 8 5 3" xfId="16818" xr:uid="{00000000-0005-0000-0000-0000E3410000}"/>
    <cellStyle name="Normal 8 5 3 2" xfId="16819" xr:uid="{00000000-0005-0000-0000-0000E4410000}"/>
    <cellStyle name="Normal 8 5 3 2 2" xfId="16820" xr:uid="{00000000-0005-0000-0000-0000E5410000}"/>
    <cellStyle name="Normal 8 5 3 2 3" xfId="16821" xr:uid="{00000000-0005-0000-0000-0000E6410000}"/>
    <cellStyle name="Normal 8 5 3 3" xfId="16822" xr:uid="{00000000-0005-0000-0000-0000E7410000}"/>
    <cellStyle name="Normal 8 5 3 4" xfId="16823" xr:uid="{00000000-0005-0000-0000-0000E8410000}"/>
    <cellStyle name="Normal 8 5 4" xfId="16824" xr:uid="{00000000-0005-0000-0000-0000E9410000}"/>
    <cellStyle name="Normal 8 5 4 2" xfId="16825" xr:uid="{00000000-0005-0000-0000-0000EA410000}"/>
    <cellStyle name="Normal 8 5 4 3" xfId="16826" xr:uid="{00000000-0005-0000-0000-0000EB410000}"/>
    <cellStyle name="Normal 8 5 5" xfId="16827" xr:uid="{00000000-0005-0000-0000-0000EC410000}"/>
    <cellStyle name="Normal 8 5 6" xfId="16828" xr:uid="{00000000-0005-0000-0000-0000ED410000}"/>
    <cellStyle name="Normal 8 6" xfId="16829" xr:uid="{00000000-0005-0000-0000-0000EE410000}"/>
    <cellStyle name="Normal 8 6 2" xfId="16830" xr:uid="{00000000-0005-0000-0000-0000EF410000}"/>
    <cellStyle name="Normal 8 6 2 2" xfId="16831" xr:uid="{00000000-0005-0000-0000-0000F0410000}"/>
    <cellStyle name="Normal 8 6 2 2 2" xfId="16832" xr:uid="{00000000-0005-0000-0000-0000F1410000}"/>
    <cellStyle name="Normal 8 6 2 2 2 2" xfId="16833" xr:uid="{00000000-0005-0000-0000-0000F2410000}"/>
    <cellStyle name="Normal 8 6 2 2 2 3" xfId="16834" xr:uid="{00000000-0005-0000-0000-0000F3410000}"/>
    <cellStyle name="Normal 8 6 2 2 3" xfId="16835" xr:uid="{00000000-0005-0000-0000-0000F4410000}"/>
    <cellStyle name="Normal 8 6 2 2 4" xfId="16836" xr:uid="{00000000-0005-0000-0000-0000F5410000}"/>
    <cellStyle name="Normal 8 6 2 3" xfId="16837" xr:uid="{00000000-0005-0000-0000-0000F6410000}"/>
    <cellStyle name="Normal 8 6 2 3 2" xfId="16838" xr:uid="{00000000-0005-0000-0000-0000F7410000}"/>
    <cellStyle name="Normal 8 6 2 3 3" xfId="16839" xr:uid="{00000000-0005-0000-0000-0000F8410000}"/>
    <cellStyle name="Normal 8 6 2 4" xfId="16840" xr:uid="{00000000-0005-0000-0000-0000F9410000}"/>
    <cellStyle name="Normal 8 6 2 5" xfId="16841" xr:uid="{00000000-0005-0000-0000-0000FA410000}"/>
    <cellStyle name="Normal 8 6 3" xfId="16842" xr:uid="{00000000-0005-0000-0000-0000FB410000}"/>
    <cellStyle name="Normal 8 6 3 2" xfId="16843" xr:uid="{00000000-0005-0000-0000-0000FC410000}"/>
    <cellStyle name="Normal 8 6 3 2 2" xfId="16844" xr:uid="{00000000-0005-0000-0000-0000FD410000}"/>
    <cellStyle name="Normal 8 6 3 2 3" xfId="16845" xr:uid="{00000000-0005-0000-0000-0000FE410000}"/>
    <cellStyle name="Normal 8 6 3 3" xfId="16846" xr:uid="{00000000-0005-0000-0000-0000FF410000}"/>
    <cellStyle name="Normal 8 6 3 4" xfId="16847" xr:uid="{00000000-0005-0000-0000-000000420000}"/>
    <cellStyle name="Normal 8 6 4" xfId="16848" xr:uid="{00000000-0005-0000-0000-000001420000}"/>
    <cellStyle name="Normal 8 6 4 2" xfId="16849" xr:uid="{00000000-0005-0000-0000-000002420000}"/>
    <cellStyle name="Normal 8 6 4 3" xfId="16850" xr:uid="{00000000-0005-0000-0000-000003420000}"/>
    <cellStyle name="Normal 8 6 5" xfId="16851" xr:uid="{00000000-0005-0000-0000-000004420000}"/>
    <cellStyle name="Normal 8 6 6" xfId="16852" xr:uid="{00000000-0005-0000-0000-000005420000}"/>
    <cellStyle name="Normal 8 7" xfId="16853" xr:uid="{00000000-0005-0000-0000-000006420000}"/>
    <cellStyle name="Normal 8 7 2" xfId="16854" xr:uid="{00000000-0005-0000-0000-000007420000}"/>
    <cellStyle name="Normal 8 7 2 2" xfId="16855" xr:uid="{00000000-0005-0000-0000-000008420000}"/>
    <cellStyle name="Normal 8 7 2 2 2" xfId="16856" xr:uid="{00000000-0005-0000-0000-000009420000}"/>
    <cellStyle name="Normal 8 7 2 2 2 2" xfId="16857" xr:uid="{00000000-0005-0000-0000-00000A420000}"/>
    <cellStyle name="Normal 8 7 2 2 2 3" xfId="16858" xr:uid="{00000000-0005-0000-0000-00000B420000}"/>
    <cellStyle name="Normal 8 7 2 2 3" xfId="16859" xr:uid="{00000000-0005-0000-0000-00000C420000}"/>
    <cellStyle name="Normal 8 7 2 2 4" xfId="16860" xr:uid="{00000000-0005-0000-0000-00000D420000}"/>
    <cellStyle name="Normal 8 7 2 3" xfId="16861" xr:uid="{00000000-0005-0000-0000-00000E420000}"/>
    <cellStyle name="Normal 8 7 2 3 2" xfId="16862" xr:uid="{00000000-0005-0000-0000-00000F420000}"/>
    <cellStyle name="Normal 8 7 2 3 3" xfId="16863" xr:uid="{00000000-0005-0000-0000-000010420000}"/>
    <cellStyle name="Normal 8 7 2 4" xfId="16864" xr:uid="{00000000-0005-0000-0000-000011420000}"/>
    <cellStyle name="Normal 8 7 2 5" xfId="16865" xr:uid="{00000000-0005-0000-0000-000012420000}"/>
    <cellStyle name="Normal 8 7 3" xfId="16866" xr:uid="{00000000-0005-0000-0000-000013420000}"/>
    <cellStyle name="Normal 8 7 3 2" xfId="16867" xr:uid="{00000000-0005-0000-0000-000014420000}"/>
    <cellStyle name="Normal 8 7 3 2 2" xfId="16868" xr:uid="{00000000-0005-0000-0000-000015420000}"/>
    <cellStyle name="Normal 8 7 3 2 3" xfId="16869" xr:uid="{00000000-0005-0000-0000-000016420000}"/>
    <cellStyle name="Normal 8 7 3 3" xfId="16870" xr:uid="{00000000-0005-0000-0000-000017420000}"/>
    <cellStyle name="Normal 8 7 3 4" xfId="16871" xr:uid="{00000000-0005-0000-0000-000018420000}"/>
    <cellStyle name="Normal 8 7 4" xfId="16872" xr:uid="{00000000-0005-0000-0000-000019420000}"/>
    <cellStyle name="Normal 8 7 4 2" xfId="16873" xr:uid="{00000000-0005-0000-0000-00001A420000}"/>
    <cellStyle name="Normal 8 7 4 3" xfId="16874" xr:uid="{00000000-0005-0000-0000-00001B420000}"/>
    <cellStyle name="Normal 8 7 5" xfId="16875" xr:uid="{00000000-0005-0000-0000-00001C420000}"/>
    <cellStyle name="Normal 8 7 6" xfId="16876" xr:uid="{00000000-0005-0000-0000-00001D420000}"/>
    <cellStyle name="Normal 8 8" xfId="16877" xr:uid="{00000000-0005-0000-0000-00001E420000}"/>
    <cellStyle name="Normal 8 8 2" xfId="16878" xr:uid="{00000000-0005-0000-0000-00001F420000}"/>
    <cellStyle name="Normal 8 8 2 2" xfId="16879" xr:uid="{00000000-0005-0000-0000-000020420000}"/>
    <cellStyle name="Normal 8 8 2 2 2" xfId="16880" xr:uid="{00000000-0005-0000-0000-000021420000}"/>
    <cellStyle name="Normal 8 8 2 2 2 2" xfId="16881" xr:uid="{00000000-0005-0000-0000-000022420000}"/>
    <cellStyle name="Normal 8 8 2 2 2 3" xfId="16882" xr:uid="{00000000-0005-0000-0000-000023420000}"/>
    <cellStyle name="Normal 8 8 2 2 3" xfId="16883" xr:uid="{00000000-0005-0000-0000-000024420000}"/>
    <cellStyle name="Normal 8 8 2 2 4" xfId="16884" xr:uid="{00000000-0005-0000-0000-000025420000}"/>
    <cellStyle name="Normal 8 8 2 3" xfId="16885" xr:uid="{00000000-0005-0000-0000-000026420000}"/>
    <cellStyle name="Normal 8 8 2 3 2" xfId="16886" xr:uid="{00000000-0005-0000-0000-000027420000}"/>
    <cellStyle name="Normal 8 8 2 3 3" xfId="16887" xr:uid="{00000000-0005-0000-0000-000028420000}"/>
    <cellStyle name="Normal 8 8 2 4" xfId="16888" xr:uid="{00000000-0005-0000-0000-000029420000}"/>
    <cellStyle name="Normal 8 8 2 5" xfId="16889" xr:uid="{00000000-0005-0000-0000-00002A420000}"/>
    <cellStyle name="Normal 8 8 3" xfId="16890" xr:uid="{00000000-0005-0000-0000-00002B420000}"/>
    <cellStyle name="Normal 8 8 3 2" xfId="16891" xr:uid="{00000000-0005-0000-0000-00002C420000}"/>
    <cellStyle name="Normal 8 8 3 2 2" xfId="16892" xr:uid="{00000000-0005-0000-0000-00002D420000}"/>
    <cellStyle name="Normal 8 8 3 2 3" xfId="16893" xr:uid="{00000000-0005-0000-0000-00002E420000}"/>
    <cellStyle name="Normal 8 8 3 3" xfId="16894" xr:uid="{00000000-0005-0000-0000-00002F420000}"/>
    <cellStyle name="Normal 8 8 3 4" xfId="16895" xr:uid="{00000000-0005-0000-0000-000030420000}"/>
    <cellStyle name="Normal 8 8 4" xfId="16896" xr:uid="{00000000-0005-0000-0000-000031420000}"/>
    <cellStyle name="Normal 8 8 4 2" xfId="16897" xr:uid="{00000000-0005-0000-0000-000032420000}"/>
    <cellStyle name="Normal 8 8 4 3" xfId="16898" xr:uid="{00000000-0005-0000-0000-000033420000}"/>
    <cellStyle name="Normal 8 8 5" xfId="16899" xr:uid="{00000000-0005-0000-0000-000034420000}"/>
    <cellStyle name="Normal 8 8 6" xfId="16900" xr:uid="{00000000-0005-0000-0000-000035420000}"/>
    <cellStyle name="Normal 8 9" xfId="16901" xr:uid="{00000000-0005-0000-0000-000036420000}"/>
    <cellStyle name="Normal 8 9 2" xfId="16902" xr:uid="{00000000-0005-0000-0000-000037420000}"/>
    <cellStyle name="Normal 8 9 2 2" xfId="16903" xr:uid="{00000000-0005-0000-0000-000038420000}"/>
    <cellStyle name="Normal 8 9 2 2 2" xfId="16904" xr:uid="{00000000-0005-0000-0000-000039420000}"/>
    <cellStyle name="Normal 8 9 2 2 2 2" xfId="16905" xr:uid="{00000000-0005-0000-0000-00003A420000}"/>
    <cellStyle name="Normal 8 9 2 2 2 3" xfId="16906" xr:uid="{00000000-0005-0000-0000-00003B420000}"/>
    <cellStyle name="Normal 8 9 2 2 3" xfId="16907" xr:uid="{00000000-0005-0000-0000-00003C420000}"/>
    <cellStyle name="Normal 8 9 2 2 4" xfId="16908" xr:uid="{00000000-0005-0000-0000-00003D420000}"/>
    <cellStyle name="Normal 8 9 2 3" xfId="16909" xr:uid="{00000000-0005-0000-0000-00003E420000}"/>
    <cellStyle name="Normal 8 9 2 3 2" xfId="16910" xr:uid="{00000000-0005-0000-0000-00003F420000}"/>
    <cellStyle name="Normal 8 9 2 3 3" xfId="16911" xr:uid="{00000000-0005-0000-0000-000040420000}"/>
    <cellStyle name="Normal 8 9 2 4" xfId="16912" xr:uid="{00000000-0005-0000-0000-000041420000}"/>
    <cellStyle name="Normal 8 9 2 5" xfId="16913" xr:uid="{00000000-0005-0000-0000-000042420000}"/>
    <cellStyle name="Normal 8 9 3" xfId="16914" xr:uid="{00000000-0005-0000-0000-000043420000}"/>
    <cellStyle name="Normal 8 9 3 2" xfId="16915" xr:uid="{00000000-0005-0000-0000-000044420000}"/>
    <cellStyle name="Normal 8 9 3 2 2" xfId="16916" xr:uid="{00000000-0005-0000-0000-000045420000}"/>
    <cellStyle name="Normal 8 9 3 2 3" xfId="16917" xr:uid="{00000000-0005-0000-0000-000046420000}"/>
    <cellStyle name="Normal 8 9 3 3" xfId="16918" xr:uid="{00000000-0005-0000-0000-000047420000}"/>
    <cellStyle name="Normal 8 9 3 4" xfId="16919" xr:uid="{00000000-0005-0000-0000-000048420000}"/>
    <cellStyle name="Normal 8 9 4" xfId="16920" xr:uid="{00000000-0005-0000-0000-000049420000}"/>
    <cellStyle name="Normal 8 9 4 2" xfId="16921" xr:uid="{00000000-0005-0000-0000-00004A420000}"/>
    <cellStyle name="Normal 8 9 4 3" xfId="16922" xr:uid="{00000000-0005-0000-0000-00004B420000}"/>
    <cellStyle name="Normal 8 9 5" xfId="16923" xr:uid="{00000000-0005-0000-0000-00004C420000}"/>
    <cellStyle name="Normal 8 9 6" xfId="16924" xr:uid="{00000000-0005-0000-0000-00004D420000}"/>
    <cellStyle name="Normal 9" xfId="36" xr:uid="{00000000-0005-0000-0000-00004E420000}"/>
    <cellStyle name="Normal 9 10" xfId="16925" xr:uid="{00000000-0005-0000-0000-00004F420000}"/>
    <cellStyle name="Normal 9 10 2" xfId="16926" xr:uid="{00000000-0005-0000-0000-000050420000}"/>
    <cellStyle name="Normal 9 10 2 2" xfId="16927" xr:uid="{00000000-0005-0000-0000-000051420000}"/>
    <cellStyle name="Normal 9 10 2 2 2" xfId="16928" xr:uid="{00000000-0005-0000-0000-000052420000}"/>
    <cellStyle name="Normal 9 10 2 2 2 2" xfId="16929" xr:uid="{00000000-0005-0000-0000-000053420000}"/>
    <cellStyle name="Normal 9 10 2 2 2 3" xfId="16930" xr:uid="{00000000-0005-0000-0000-000054420000}"/>
    <cellStyle name="Normal 9 10 2 2 3" xfId="16931" xr:uid="{00000000-0005-0000-0000-000055420000}"/>
    <cellStyle name="Normal 9 10 2 2 4" xfId="16932" xr:uid="{00000000-0005-0000-0000-000056420000}"/>
    <cellStyle name="Normal 9 10 2 3" xfId="16933" xr:uid="{00000000-0005-0000-0000-000057420000}"/>
    <cellStyle name="Normal 9 10 2 3 2" xfId="16934" xr:uid="{00000000-0005-0000-0000-000058420000}"/>
    <cellStyle name="Normal 9 10 2 3 3" xfId="16935" xr:uid="{00000000-0005-0000-0000-000059420000}"/>
    <cellStyle name="Normal 9 10 2 4" xfId="16936" xr:uid="{00000000-0005-0000-0000-00005A420000}"/>
    <cellStyle name="Normal 9 10 2 5" xfId="16937" xr:uid="{00000000-0005-0000-0000-00005B420000}"/>
    <cellStyle name="Normal 9 10 3" xfId="16938" xr:uid="{00000000-0005-0000-0000-00005C420000}"/>
    <cellStyle name="Normal 9 10 3 2" xfId="16939" xr:uid="{00000000-0005-0000-0000-00005D420000}"/>
    <cellStyle name="Normal 9 10 3 2 2" xfId="16940" xr:uid="{00000000-0005-0000-0000-00005E420000}"/>
    <cellStyle name="Normal 9 10 3 2 3" xfId="16941" xr:uid="{00000000-0005-0000-0000-00005F420000}"/>
    <cellStyle name="Normal 9 10 3 3" xfId="16942" xr:uid="{00000000-0005-0000-0000-000060420000}"/>
    <cellStyle name="Normal 9 10 3 4" xfId="16943" xr:uid="{00000000-0005-0000-0000-000061420000}"/>
    <cellStyle name="Normal 9 10 4" xfId="16944" xr:uid="{00000000-0005-0000-0000-000062420000}"/>
    <cellStyle name="Normal 9 10 4 2" xfId="16945" xr:uid="{00000000-0005-0000-0000-000063420000}"/>
    <cellStyle name="Normal 9 10 4 3" xfId="16946" xr:uid="{00000000-0005-0000-0000-000064420000}"/>
    <cellStyle name="Normal 9 10 5" xfId="16947" xr:uid="{00000000-0005-0000-0000-000065420000}"/>
    <cellStyle name="Normal 9 10 6" xfId="16948" xr:uid="{00000000-0005-0000-0000-000066420000}"/>
    <cellStyle name="Normal 9 11" xfId="16949" xr:uid="{00000000-0005-0000-0000-000067420000}"/>
    <cellStyle name="Normal 9 11 2" xfId="16950" xr:uid="{00000000-0005-0000-0000-000068420000}"/>
    <cellStyle name="Normal 9 11 2 2" xfId="16951" xr:uid="{00000000-0005-0000-0000-000069420000}"/>
    <cellStyle name="Normal 9 11 2 2 2" xfId="16952" xr:uid="{00000000-0005-0000-0000-00006A420000}"/>
    <cellStyle name="Normal 9 11 2 2 2 2" xfId="16953" xr:uid="{00000000-0005-0000-0000-00006B420000}"/>
    <cellStyle name="Normal 9 11 2 2 2 3" xfId="16954" xr:uid="{00000000-0005-0000-0000-00006C420000}"/>
    <cellStyle name="Normal 9 11 2 2 3" xfId="16955" xr:uid="{00000000-0005-0000-0000-00006D420000}"/>
    <cellStyle name="Normal 9 11 2 2 4" xfId="16956" xr:uid="{00000000-0005-0000-0000-00006E420000}"/>
    <cellStyle name="Normal 9 11 2 3" xfId="16957" xr:uid="{00000000-0005-0000-0000-00006F420000}"/>
    <cellStyle name="Normal 9 11 2 3 2" xfId="16958" xr:uid="{00000000-0005-0000-0000-000070420000}"/>
    <cellStyle name="Normal 9 11 2 3 3" xfId="16959" xr:uid="{00000000-0005-0000-0000-000071420000}"/>
    <cellStyle name="Normal 9 11 2 4" xfId="16960" xr:uid="{00000000-0005-0000-0000-000072420000}"/>
    <cellStyle name="Normal 9 11 2 5" xfId="16961" xr:uid="{00000000-0005-0000-0000-000073420000}"/>
    <cellStyle name="Normal 9 11 3" xfId="16962" xr:uid="{00000000-0005-0000-0000-000074420000}"/>
    <cellStyle name="Normal 9 11 3 2" xfId="16963" xr:uid="{00000000-0005-0000-0000-000075420000}"/>
    <cellStyle name="Normal 9 11 3 2 2" xfId="16964" xr:uid="{00000000-0005-0000-0000-000076420000}"/>
    <cellStyle name="Normal 9 11 3 2 3" xfId="16965" xr:uid="{00000000-0005-0000-0000-000077420000}"/>
    <cellStyle name="Normal 9 11 3 3" xfId="16966" xr:uid="{00000000-0005-0000-0000-000078420000}"/>
    <cellStyle name="Normal 9 11 3 4" xfId="16967" xr:uid="{00000000-0005-0000-0000-000079420000}"/>
    <cellStyle name="Normal 9 11 4" xfId="16968" xr:uid="{00000000-0005-0000-0000-00007A420000}"/>
    <cellStyle name="Normal 9 11 4 2" xfId="16969" xr:uid="{00000000-0005-0000-0000-00007B420000}"/>
    <cellStyle name="Normal 9 11 4 3" xfId="16970" xr:uid="{00000000-0005-0000-0000-00007C420000}"/>
    <cellStyle name="Normal 9 11 5" xfId="16971" xr:uid="{00000000-0005-0000-0000-00007D420000}"/>
    <cellStyle name="Normal 9 11 6" xfId="16972" xr:uid="{00000000-0005-0000-0000-00007E420000}"/>
    <cellStyle name="Normal 9 12" xfId="16973" xr:uid="{00000000-0005-0000-0000-00007F420000}"/>
    <cellStyle name="Normal 9 12 2" xfId="16974" xr:uid="{00000000-0005-0000-0000-000080420000}"/>
    <cellStyle name="Normal 9 12 2 2" xfId="16975" xr:uid="{00000000-0005-0000-0000-000081420000}"/>
    <cellStyle name="Normal 9 12 2 2 2" xfId="16976" xr:uid="{00000000-0005-0000-0000-000082420000}"/>
    <cellStyle name="Normal 9 12 2 2 2 2" xfId="16977" xr:uid="{00000000-0005-0000-0000-000083420000}"/>
    <cellStyle name="Normal 9 12 2 2 2 3" xfId="16978" xr:uid="{00000000-0005-0000-0000-000084420000}"/>
    <cellStyle name="Normal 9 12 2 2 3" xfId="16979" xr:uid="{00000000-0005-0000-0000-000085420000}"/>
    <cellStyle name="Normal 9 12 2 2 4" xfId="16980" xr:uid="{00000000-0005-0000-0000-000086420000}"/>
    <cellStyle name="Normal 9 12 2 3" xfId="16981" xr:uid="{00000000-0005-0000-0000-000087420000}"/>
    <cellStyle name="Normal 9 12 2 3 2" xfId="16982" xr:uid="{00000000-0005-0000-0000-000088420000}"/>
    <cellStyle name="Normal 9 12 2 3 3" xfId="16983" xr:uid="{00000000-0005-0000-0000-000089420000}"/>
    <cellStyle name="Normal 9 12 2 4" xfId="16984" xr:uid="{00000000-0005-0000-0000-00008A420000}"/>
    <cellStyle name="Normal 9 12 2 5" xfId="16985" xr:uid="{00000000-0005-0000-0000-00008B420000}"/>
    <cellStyle name="Normal 9 12 3" xfId="16986" xr:uid="{00000000-0005-0000-0000-00008C420000}"/>
    <cellStyle name="Normal 9 12 3 2" xfId="16987" xr:uid="{00000000-0005-0000-0000-00008D420000}"/>
    <cellStyle name="Normal 9 12 3 2 2" xfId="16988" xr:uid="{00000000-0005-0000-0000-00008E420000}"/>
    <cellStyle name="Normal 9 12 3 2 3" xfId="16989" xr:uid="{00000000-0005-0000-0000-00008F420000}"/>
    <cellStyle name="Normal 9 12 3 3" xfId="16990" xr:uid="{00000000-0005-0000-0000-000090420000}"/>
    <cellStyle name="Normal 9 12 3 4" xfId="16991" xr:uid="{00000000-0005-0000-0000-000091420000}"/>
    <cellStyle name="Normal 9 12 4" xfId="16992" xr:uid="{00000000-0005-0000-0000-000092420000}"/>
    <cellStyle name="Normal 9 12 4 2" xfId="16993" xr:uid="{00000000-0005-0000-0000-000093420000}"/>
    <cellStyle name="Normal 9 12 4 3" xfId="16994" xr:uid="{00000000-0005-0000-0000-000094420000}"/>
    <cellStyle name="Normal 9 12 5" xfId="16995" xr:uid="{00000000-0005-0000-0000-000095420000}"/>
    <cellStyle name="Normal 9 12 6" xfId="16996" xr:uid="{00000000-0005-0000-0000-000096420000}"/>
    <cellStyle name="Normal 9 13" xfId="16997" xr:uid="{00000000-0005-0000-0000-000097420000}"/>
    <cellStyle name="Normal 9 13 2" xfId="16998" xr:uid="{00000000-0005-0000-0000-000098420000}"/>
    <cellStyle name="Normal 9 13 2 2" xfId="16999" xr:uid="{00000000-0005-0000-0000-000099420000}"/>
    <cellStyle name="Normal 9 13 2 2 2" xfId="17000" xr:uid="{00000000-0005-0000-0000-00009A420000}"/>
    <cellStyle name="Normal 9 13 2 2 2 2" xfId="17001" xr:uid="{00000000-0005-0000-0000-00009B420000}"/>
    <cellStyle name="Normal 9 13 2 2 2 3" xfId="17002" xr:uid="{00000000-0005-0000-0000-00009C420000}"/>
    <cellStyle name="Normal 9 13 2 2 3" xfId="17003" xr:uid="{00000000-0005-0000-0000-00009D420000}"/>
    <cellStyle name="Normal 9 13 2 2 4" xfId="17004" xr:uid="{00000000-0005-0000-0000-00009E420000}"/>
    <cellStyle name="Normal 9 13 2 3" xfId="17005" xr:uid="{00000000-0005-0000-0000-00009F420000}"/>
    <cellStyle name="Normal 9 13 2 3 2" xfId="17006" xr:uid="{00000000-0005-0000-0000-0000A0420000}"/>
    <cellStyle name="Normal 9 13 2 3 3" xfId="17007" xr:uid="{00000000-0005-0000-0000-0000A1420000}"/>
    <cellStyle name="Normal 9 13 2 4" xfId="17008" xr:uid="{00000000-0005-0000-0000-0000A2420000}"/>
    <cellStyle name="Normal 9 13 2 5" xfId="17009" xr:uid="{00000000-0005-0000-0000-0000A3420000}"/>
    <cellStyle name="Normal 9 13 3" xfId="17010" xr:uid="{00000000-0005-0000-0000-0000A4420000}"/>
    <cellStyle name="Normal 9 13 3 2" xfId="17011" xr:uid="{00000000-0005-0000-0000-0000A5420000}"/>
    <cellStyle name="Normal 9 13 3 2 2" xfId="17012" xr:uid="{00000000-0005-0000-0000-0000A6420000}"/>
    <cellStyle name="Normal 9 13 3 2 3" xfId="17013" xr:uid="{00000000-0005-0000-0000-0000A7420000}"/>
    <cellStyle name="Normal 9 13 3 3" xfId="17014" xr:uid="{00000000-0005-0000-0000-0000A8420000}"/>
    <cellStyle name="Normal 9 13 3 4" xfId="17015" xr:uid="{00000000-0005-0000-0000-0000A9420000}"/>
    <cellStyle name="Normal 9 13 4" xfId="17016" xr:uid="{00000000-0005-0000-0000-0000AA420000}"/>
    <cellStyle name="Normal 9 13 4 2" xfId="17017" xr:uid="{00000000-0005-0000-0000-0000AB420000}"/>
    <cellStyle name="Normal 9 13 4 3" xfId="17018" xr:uid="{00000000-0005-0000-0000-0000AC420000}"/>
    <cellStyle name="Normal 9 13 5" xfId="17019" xr:uid="{00000000-0005-0000-0000-0000AD420000}"/>
    <cellStyle name="Normal 9 13 6" xfId="17020" xr:uid="{00000000-0005-0000-0000-0000AE420000}"/>
    <cellStyle name="Normal 9 14" xfId="17021" xr:uid="{00000000-0005-0000-0000-0000AF420000}"/>
    <cellStyle name="Normal 9 14 2" xfId="17022" xr:uid="{00000000-0005-0000-0000-0000B0420000}"/>
    <cellStyle name="Normal 9 14 2 2" xfId="17023" xr:uid="{00000000-0005-0000-0000-0000B1420000}"/>
    <cellStyle name="Normal 9 14 2 2 2" xfId="17024" xr:uid="{00000000-0005-0000-0000-0000B2420000}"/>
    <cellStyle name="Normal 9 14 2 2 2 2" xfId="17025" xr:uid="{00000000-0005-0000-0000-0000B3420000}"/>
    <cellStyle name="Normal 9 14 2 2 2 3" xfId="17026" xr:uid="{00000000-0005-0000-0000-0000B4420000}"/>
    <cellStyle name="Normal 9 14 2 2 3" xfId="17027" xr:uid="{00000000-0005-0000-0000-0000B5420000}"/>
    <cellStyle name="Normal 9 14 2 2 4" xfId="17028" xr:uid="{00000000-0005-0000-0000-0000B6420000}"/>
    <cellStyle name="Normal 9 14 2 3" xfId="17029" xr:uid="{00000000-0005-0000-0000-0000B7420000}"/>
    <cellStyle name="Normal 9 14 2 3 2" xfId="17030" xr:uid="{00000000-0005-0000-0000-0000B8420000}"/>
    <cellStyle name="Normal 9 14 2 3 3" xfId="17031" xr:uid="{00000000-0005-0000-0000-0000B9420000}"/>
    <cellStyle name="Normal 9 14 2 4" xfId="17032" xr:uid="{00000000-0005-0000-0000-0000BA420000}"/>
    <cellStyle name="Normal 9 14 2 5" xfId="17033" xr:uid="{00000000-0005-0000-0000-0000BB420000}"/>
    <cellStyle name="Normal 9 14 3" xfId="17034" xr:uid="{00000000-0005-0000-0000-0000BC420000}"/>
    <cellStyle name="Normal 9 14 3 2" xfId="17035" xr:uid="{00000000-0005-0000-0000-0000BD420000}"/>
    <cellStyle name="Normal 9 14 3 2 2" xfId="17036" xr:uid="{00000000-0005-0000-0000-0000BE420000}"/>
    <cellStyle name="Normal 9 14 3 2 3" xfId="17037" xr:uid="{00000000-0005-0000-0000-0000BF420000}"/>
    <cellStyle name="Normal 9 14 3 3" xfId="17038" xr:uid="{00000000-0005-0000-0000-0000C0420000}"/>
    <cellStyle name="Normal 9 14 3 4" xfId="17039" xr:uid="{00000000-0005-0000-0000-0000C1420000}"/>
    <cellStyle name="Normal 9 14 4" xfId="17040" xr:uid="{00000000-0005-0000-0000-0000C2420000}"/>
    <cellStyle name="Normal 9 14 4 2" xfId="17041" xr:uid="{00000000-0005-0000-0000-0000C3420000}"/>
    <cellStyle name="Normal 9 14 4 3" xfId="17042" xr:uid="{00000000-0005-0000-0000-0000C4420000}"/>
    <cellStyle name="Normal 9 14 5" xfId="17043" xr:uid="{00000000-0005-0000-0000-0000C5420000}"/>
    <cellStyle name="Normal 9 14 6" xfId="17044" xr:uid="{00000000-0005-0000-0000-0000C6420000}"/>
    <cellStyle name="Normal 9 15" xfId="17045" xr:uid="{00000000-0005-0000-0000-0000C7420000}"/>
    <cellStyle name="Normal 9 15 2" xfId="17046" xr:uid="{00000000-0005-0000-0000-0000C8420000}"/>
    <cellStyle name="Normal 9 15 2 2" xfId="17047" xr:uid="{00000000-0005-0000-0000-0000C9420000}"/>
    <cellStyle name="Normal 9 15 2 2 2" xfId="17048" xr:uid="{00000000-0005-0000-0000-0000CA420000}"/>
    <cellStyle name="Normal 9 15 2 2 2 2" xfId="17049" xr:uid="{00000000-0005-0000-0000-0000CB420000}"/>
    <cellStyle name="Normal 9 15 2 2 2 3" xfId="17050" xr:uid="{00000000-0005-0000-0000-0000CC420000}"/>
    <cellStyle name="Normal 9 15 2 2 3" xfId="17051" xr:uid="{00000000-0005-0000-0000-0000CD420000}"/>
    <cellStyle name="Normal 9 15 2 2 4" xfId="17052" xr:uid="{00000000-0005-0000-0000-0000CE420000}"/>
    <cellStyle name="Normal 9 15 2 3" xfId="17053" xr:uid="{00000000-0005-0000-0000-0000CF420000}"/>
    <cellStyle name="Normal 9 15 2 3 2" xfId="17054" xr:uid="{00000000-0005-0000-0000-0000D0420000}"/>
    <cellStyle name="Normal 9 15 2 3 3" xfId="17055" xr:uid="{00000000-0005-0000-0000-0000D1420000}"/>
    <cellStyle name="Normal 9 15 2 4" xfId="17056" xr:uid="{00000000-0005-0000-0000-0000D2420000}"/>
    <cellStyle name="Normal 9 15 2 5" xfId="17057" xr:uid="{00000000-0005-0000-0000-0000D3420000}"/>
    <cellStyle name="Normal 9 15 3" xfId="17058" xr:uid="{00000000-0005-0000-0000-0000D4420000}"/>
    <cellStyle name="Normal 9 15 3 2" xfId="17059" xr:uid="{00000000-0005-0000-0000-0000D5420000}"/>
    <cellStyle name="Normal 9 15 3 2 2" xfId="17060" xr:uid="{00000000-0005-0000-0000-0000D6420000}"/>
    <cellStyle name="Normal 9 15 3 2 3" xfId="17061" xr:uid="{00000000-0005-0000-0000-0000D7420000}"/>
    <cellStyle name="Normal 9 15 3 3" xfId="17062" xr:uid="{00000000-0005-0000-0000-0000D8420000}"/>
    <cellStyle name="Normal 9 15 3 4" xfId="17063" xr:uid="{00000000-0005-0000-0000-0000D9420000}"/>
    <cellStyle name="Normal 9 15 4" xfId="17064" xr:uid="{00000000-0005-0000-0000-0000DA420000}"/>
    <cellStyle name="Normal 9 15 4 2" xfId="17065" xr:uid="{00000000-0005-0000-0000-0000DB420000}"/>
    <cellStyle name="Normal 9 15 4 3" xfId="17066" xr:uid="{00000000-0005-0000-0000-0000DC420000}"/>
    <cellStyle name="Normal 9 15 5" xfId="17067" xr:uid="{00000000-0005-0000-0000-0000DD420000}"/>
    <cellStyle name="Normal 9 15 6" xfId="17068" xr:uid="{00000000-0005-0000-0000-0000DE420000}"/>
    <cellStyle name="Normal 9 16" xfId="17069" xr:uid="{00000000-0005-0000-0000-0000DF420000}"/>
    <cellStyle name="Normal 9 16 2" xfId="17070" xr:uid="{00000000-0005-0000-0000-0000E0420000}"/>
    <cellStyle name="Normal 9 16 2 2" xfId="17071" xr:uid="{00000000-0005-0000-0000-0000E1420000}"/>
    <cellStyle name="Normal 9 16 2 2 2" xfId="17072" xr:uid="{00000000-0005-0000-0000-0000E2420000}"/>
    <cellStyle name="Normal 9 16 2 2 2 2" xfId="17073" xr:uid="{00000000-0005-0000-0000-0000E3420000}"/>
    <cellStyle name="Normal 9 16 2 2 2 3" xfId="17074" xr:uid="{00000000-0005-0000-0000-0000E4420000}"/>
    <cellStyle name="Normal 9 16 2 2 3" xfId="17075" xr:uid="{00000000-0005-0000-0000-0000E5420000}"/>
    <cellStyle name="Normal 9 16 2 2 4" xfId="17076" xr:uid="{00000000-0005-0000-0000-0000E6420000}"/>
    <cellStyle name="Normal 9 16 2 3" xfId="17077" xr:uid="{00000000-0005-0000-0000-0000E7420000}"/>
    <cellStyle name="Normal 9 16 2 3 2" xfId="17078" xr:uid="{00000000-0005-0000-0000-0000E8420000}"/>
    <cellStyle name="Normal 9 16 2 3 3" xfId="17079" xr:uid="{00000000-0005-0000-0000-0000E9420000}"/>
    <cellStyle name="Normal 9 16 2 4" xfId="17080" xr:uid="{00000000-0005-0000-0000-0000EA420000}"/>
    <cellStyle name="Normal 9 16 2 5" xfId="17081" xr:uid="{00000000-0005-0000-0000-0000EB420000}"/>
    <cellStyle name="Normal 9 16 3" xfId="17082" xr:uid="{00000000-0005-0000-0000-0000EC420000}"/>
    <cellStyle name="Normal 9 16 3 2" xfId="17083" xr:uid="{00000000-0005-0000-0000-0000ED420000}"/>
    <cellStyle name="Normal 9 16 3 2 2" xfId="17084" xr:uid="{00000000-0005-0000-0000-0000EE420000}"/>
    <cellStyle name="Normal 9 16 3 2 3" xfId="17085" xr:uid="{00000000-0005-0000-0000-0000EF420000}"/>
    <cellStyle name="Normal 9 16 3 3" xfId="17086" xr:uid="{00000000-0005-0000-0000-0000F0420000}"/>
    <cellStyle name="Normal 9 16 3 4" xfId="17087" xr:uid="{00000000-0005-0000-0000-0000F1420000}"/>
    <cellStyle name="Normal 9 16 4" xfId="17088" xr:uid="{00000000-0005-0000-0000-0000F2420000}"/>
    <cellStyle name="Normal 9 16 4 2" xfId="17089" xr:uid="{00000000-0005-0000-0000-0000F3420000}"/>
    <cellStyle name="Normal 9 16 4 3" xfId="17090" xr:uid="{00000000-0005-0000-0000-0000F4420000}"/>
    <cellStyle name="Normal 9 16 5" xfId="17091" xr:uid="{00000000-0005-0000-0000-0000F5420000}"/>
    <cellStyle name="Normal 9 16 6" xfId="17092" xr:uid="{00000000-0005-0000-0000-0000F6420000}"/>
    <cellStyle name="Normal 9 17" xfId="17093" xr:uid="{00000000-0005-0000-0000-0000F7420000}"/>
    <cellStyle name="Normal 9 17 2" xfId="17094" xr:uid="{00000000-0005-0000-0000-0000F8420000}"/>
    <cellStyle name="Normal 9 17 2 2" xfId="17095" xr:uid="{00000000-0005-0000-0000-0000F9420000}"/>
    <cellStyle name="Normal 9 17 2 2 2" xfId="17096" xr:uid="{00000000-0005-0000-0000-0000FA420000}"/>
    <cellStyle name="Normal 9 17 2 2 2 2" xfId="17097" xr:uid="{00000000-0005-0000-0000-0000FB420000}"/>
    <cellStyle name="Normal 9 17 2 2 2 3" xfId="17098" xr:uid="{00000000-0005-0000-0000-0000FC420000}"/>
    <cellStyle name="Normal 9 17 2 2 3" xfId="17099" xr:uid="{00000000-0005-0000-0000-0000FD420000}"/>
    <cellStyle name="Normal 9 17 2 2 4" xfId="17100" xr:uid="{00000000-0005-0000-0000-0000FE420000}"/>
    <cellStyle name="Normal 9 17 2 3" xfId="17101" xr:uid="{00000000-0005-0000-0000-0000FF420000}"/>
    <cellStyle name="Normal 9 17 2 3 2" xfId="17102" xr:uid="{00000000-0005-0000-0000-000000430000}"/>
    <cellStyle name="Normal 9 17 2 3 3" xfId="17103" xr:uid="{00000000-0005-0000-0000-000001430000}"/>
    <cellStyle name="Normal 9 17 2 4" xfId="17104" xr:uid="{00000000-0005-0000-0000-000002430000}"/>
    <cellStyle name="Normal 9 17 2 5" xfId="17105" xr:uid="{00000000-0005-0000-0000-000003430000}"/>
    <cellStyle name="Normal 9 17 3" xfId="17106" xr:uid="{00000000-0005-0000-0000-000004430000}"/>
    <cellStyle name="Normal 9 17 3 2" xfId="17107" xr:uid="{00000000-0005-0000-0000-000005430000}"/>
    <cellStyle name="Normal 9 17 3 2 2" xfId="17108" xr:uid="{00000000-0005-0000-0000-000006430000}"/>
    <cellStyle name="Normal 9 17 3 2 3" xfId="17109" xr:uid="{00000000-0005-0000-0000-000007430000}"/>
    <cellStyle name="Normal 9 17 3 3" xfId="17110" xr:uid="{00000000-0005-0000-0000-000008430000}"/>
    <cellStyle name="Normal 9 17 3 4" xfId="17111" xr:uid="{00000000-0005-0000-0000-000009430000}"/>
    <cellStyle name="Normal 9 17 4" xfId="17112" xr:uid="{00000000-0005-0000-0000-00000A430000}"/>
    <cellStyle name="Normal 9 17 4 2" xfId="17113" xr:uid="{00000000-0005-0000-0000-00000B430000}"/>
    <cellStyle name="Normal 9 17 4 3" xfId="17114" xr:uid="{00000000-0005-0000-0000-00000C430000}"/>
    <cellStyle name="Normal 9 17 5" xfId="17115" xr:uid="{00000000-0005-0000-0000-00000D430000}"/>
    <cellStyle name="Normal 9 17 6" xfId="17116" xr:uid="{00000000-0005-0000-0000-00000E430000}"/>
    <cellStyle name="Normal 9 18" xfId="17117" xr:uid="{00000000-0005-0000-0000-00000F430000}"/>
    <cellStyle name="Normal 9 18 2" xfId="17118" xr:uid="{00000000-0005-0000-0000-000010430000}"/>
    <cellStyle name="Normal 9 18 2 2" xfId="17119" xr:uid="{00000000-0005-0000-0000-000011430000}"/>
    <cellStyle name="Normal 9 18 2 2 2" xfId="17120" xr:uid="{00000000-0005-0000-0000-000012430000}"/>
    <cellStyle name="Normal 9 18 2 2 2 2" xfId="17121" xr:uid="{00000000-0005-0000-0000-000013430000}"/>
    <cellStyle name="Normal 9 18 2 2 2 3" xfId="17122" xr:uid="{00000000-0005-0000-0000-000014430000}"/>
    <cellStyle name="Normal 9 18 2 2 3" xfId="17123" xr:uid="{00000000-0005-0000-0000-000015430000}"/>
    <cellStyle name="Normal 9 18 2 2 4" xfId="17124" xr:uid="{00000000-0005-0000-0000-000016430000}"/>
    <cellStyle name="Normal 9 18 2 3" xfId="17125" xr:uid="{00000000-0005-0000-0000-000017430000}"/>
    <cellStyle name="Normal 9 18 2 3 2" xfId="17126" xr:uid="{00000000-0005-0000-0000-000018430000}"/>
    <cellStyle name="Normal 9 18 2 3 3" xfId="17127" xr:uid="{00000000-0005-0000-0000-000019430000}"/>
    <cellStyle name="Normal 9 18 2 4" xfId="17128" xr:uid="{00000000-0005-0000-0000-00001A430000}"/>
    <cellStyle name="Normal 9 18 2 5" xfId="17129" xr:uid="{00000000-0005-0000-0000-00001B430000}"/>
    <cellStyle name="Normal 9 18 3" xfId="17130" xr:uid="{00000000-0005-0000-0000-00001C430000}"/>
    <cellStyle name="Normal 9 18 3 2" xfId="17131" xr:uid="{00000000-0005-0000-0000-00001D430000}"/>
    <cellStyle name="Normal 9 18 3 2 2" xfId="17132" xr:uid="{00000000-0005-0000-0000-00001E430000}"/>
    <cellStyle name="Normal 9 18 3 2 3" xfId="17133" xr:uid="{00000000-0005-0000-0000-00001F430000}"/>
    <cellStyle name="Normal 9 18 3 3" xfId="17134" xr:uid="{00000000-0005-0000-0000-000020430000}"/>
    <cellStyle name="Normal 9 18 3 4" xfId="17135" xr:uid="{00000000-0005-0000-0000-000021430000}"/>
    <cellStyle name="Normal 9 18 4" xfId="17136" xr:uid="{00000000-0005-0000-0000-000022430000}"/>
    <cellStyle name="Normal 9 18 4 2" xfId="17137" xr:uid="{00000000-0005-0000-0000-000023430000}"/>
    <cellStyle name="Normal 9 18 4 3" xfId="17138" xr:uid="{00000000-0005-0000-0000-000024430000}"/>
    <cellStyle name="Normal 9 18 5" xfId="17139" xr:uid="{00000000-0005-0000-0000-000025430000}"/>
    <cellStyle name="Normal 9 18 6" xfId="17140" xr:uid="{00000000-0005-0000-0000-000026430000}"/>
    <cellStyle name="Normal 9 19" xfId="17141" xr:uid="{00000000-0005-0000-0000-000027430000}"/>
    <cellStyle name="Normal 9 19 2" xfId="17142" xr:uid="{00000000-0005-0000-0000-000028430000}"/>
    <cellStyle name="Normal 9 19 2 2" xfId="17143" xr:uid="{00000000-0005-0000-0000-000029430000}"/>
    <cellStyle name="Normal 9 19 2 2 2" xfId="17144" xr:uid="{00000000-0005-0000-0000-00002A430000}"/>
    <cellStyle name="Normal 9 19 2 2 2 2" xfId="17145" xr:uid="{00000000-0005-0000-0000-00002B430000}"/>
    <cellStyle name="Normal 9 19 2 2 2 3" xfId="17146" xr:uid="{00000000-0005-0000-0000-00002C430000}"/>
    <cellStyle name="Normal 9 19 2 2 3" xfId="17147" xr:uid="{00000000-0005-0000-0000-00002D430000}"/>
    <cellStyle name="Normal 9 19 2 2 4" xfId="17148" xr:uid="{00000000-0005-0000-0000-00002E430000}"/>
    <cellStyle name="Normal 9 19 2 3" xfId="17149" xr:uid="{00000000-0005-0000-0000-00002F430000}"/>
    <cellStyle name="Normal 9 19 2 3 2" xfId="17150" xr:uid="{00000000-0005-0000-0000-000030430000}"/>
    <cellStyle name="Normal 9 19 2 3 3" xfId="17151" xr:uid="{00000000-0005-0000-0000-000031430000}"/>
    <cellStyle name="Normal 9 19 2 4" xfId="17152" xr:uid="{00000000-0005-0000-0000-000032430000}"/>
    <cellStyle name="Normal 9 19 2 5" xfId="17153" xr:uid="{00000000-0005-0000-0000-000033430000}"/>
    <cellStyle name="Normal 9 19 3" xfId="17154" xr:uid="{00000000-0005-0000-0000-000034430000}"/>
    <cellStyle name="Normal 9 19 3 2" xfId="17155" xr:uid="{00000000-0005-0000-0000-000035430000}"/>
    <cellStyle name="Normal 9 19 3 2 2" xfId="17156" xr:uid="{00000000-0005-0000-0000-000036430000}"/>
    <cellStyle name="Normal 9 19 3 2 3" xfId="17157" xr:uid="{00000000-0005-0000-0000-000037430000}"/>
    <cellStyle name="Normal 9 19 3 3" xfId="17158" xr:uid="{00000000-0005-0000-0000-000038430000}"/>
    <cellStyle name="Normal 9 19 3 4" xfId="17159" xr:uid="{00000000-0005-0000-0000-000039430000}"/>
    <cellStyle name="Normal 9 19 4" xfId="17160" xr:uid="{00000000-0005-0000-0000-00003A430000}"/>
    <cellStyle name="Normal 9 19 4 2" xfId="17161" xr:uid="{00000000-0005-0000-0000-00003B430000}"/>
    <cellStyle name="Normal 9 19 4 3" xfId="17162" xr:uid="{00000000-0005-0000-0000-00003C430000}"/>
    <cellStyle name="Normal 9 19 5" xfId="17163" xr:uid="{00000000-0005-0000-0000-00003D430000}"/>
    <cellStyle name="Normal 9 19 6" xfId="17164" xr:uid="{00000000-0005-0000-0000-00003E430000}"/>
    <cellStyle name="Normal 9 2" xfId="17165" xr:uid="{00000000-0005-0000-0000-00003F430000}"/>
    <cellStyle name="Normal 9 2 10" xfId="17166" xr:uid="{00000000-0005-0000-0000-000040430000}"/>
    <cellStyle name="Normal 9 2 11" xfId="17167" xr:uid="{00000000-0005-0000-0000-000041430000}"/>
    <cellStyle name="Normal 9 2 2" xfId="17168" xr:uid="{00000000-0005-0000-0000-000042430000}"/>
    <cellStyle name="Normal 9 2 2 2" xfId="17169" xr:uid="{00000000-0005-0000-0000-000043430000}"/>
    <cellStyle name="Normal 9 2 2 2 2" xfId="17170" xr:uid="{00000000-0005-0000-0000-000044430000}"/>
    <cellStyle name="Normal 9 2 2 2 2 2" xfId="17171" xr:uid="{00000000-0005-0000-0000-000045430000}"/>
    <cellStyle name="Normal 9 2 2 2 2 2 2" xfId="17172" xr:uid="{00000000-0005-0000-0000-000046430000}"/>
    <cellStyle name="Normal 9 2 2 2 2 2 3" xfId="17173" xr:uid="{00000000-0005-0000-0000-000047430000}"/>
    <cellStyle name="Normal 9 2 2 2 2 3" xfId="17174" xr:uid="{00000000-0005-0000-0000-000048430000}"/>
    <cellStyle name="Normal 9 2 2 2 2 4" xfId="17175" xr:uid="{00000000-0005-0000-0000-000049430000}"/>
    <cellStyle name="Normal 9 2 2 2 3" xfId="17176" xr:uid="{00000000-0005-0000-0000-00004A430000}"/>
    <cellStyle name="Normal 9 2 2 2 3 2" xfId="17177" xr:uid="{00000000-0005-0000-0000-00004B430000}"/>
    <cellStyle name="Normal 9 2 2 2 3 3" xfId="17178" xr:uid="{00000000-0005-0000-0000-00004C430000}"/>
    <cellStyle name="Normal 9 2 2 2 4" xfId="17179" xr:uid="{00000000-0005-0000-0000-00004D430000}"/>
    <cellStyle name="Normal 9 2 2 2 5" xfId="17180" xr:uid="{00000000-0005-0000-0000-00004E430000}"/>
    <cellStyle name="Normal 9 2 2 3" xfId="17181" xr:uid="{00000000-0005-0000-0000-00004F430000}"/>
    <cellStyle name="Normal 9 2 2 3 2" xfId="17182" xr:uid="{00000000-0005-0000-0000-000050430000}"/>
    <cellStyle name="Normal 9 2 2 3 2 2" xfId="17183" xr:uid="{00000000-0005-0000-0000-000051430000}"/>
    <cellStyle name="Normal 9 2 2 3 2 3" xfId="17184" xr:uid="{00000000-0005-0000-0000-000052430000}"/>
    <cellStyle name="Normal 9 2 2 3 3" xfId="17185" xr:uid="{00000000-0005-0000-0000-000053430000}"/>
    <cellStyle name="Normal 9 2 2 3 4" xfId="17186" xr:uid="{00000000-0005-0000-0000-000054430000}"/>
    <cellStyle name="Normal 9 2 2 4" xfId="17187" xr:uid="{00000000-0005-0000-0000-000055430000}"/>
    <cellStyle name="Normal 9 2 2 4 2" xfId="17188" xr:uid="{00000000-0005-0000-0000-000056430000}"/>
    <cellStyle name="Normal 9 2 2 4 3" xfId="17189" xr:uid="{00000000-0005-0000-0000-000057430000}"/>
    <cellStyle name="Normal 9 2 2 5" xfId="17190" xr:uid="{00000000-0005-0000-0000-000058430000}"/>
    <cellStyle name="Normal 9 2 2 6" xfId="17191" xr:uid="{00000000-0005-0000-0000-000059430000}"/>
    <cellStyle name="Normal 9 2 3" xfId="17192" xr:uid="{00000000-0005-0000-0000-00005A430000}"/>
    <cellStyle name="Normal 9 2 3 2" xfId="17193" xr:uid="{00000000-0005-0000-0000-00005B430000}"/>
    <cellStyle name="Normal 9 2 3 2 2" xfId="17194" xr:uid="{00000000-0005-0000-0000-00005C430000}"/>
    <cellStyle name="Normal 9 2 3 2 2 2" xfId="17195" xr:uid="{00000000-0005-0000-0000-00005D430000}"/>
    <cellStyle name="Normal 9 2 3 2 2 2 2" xfId="17196" xr:uid="{00000000-0005-0000-0000-00005E430000}"/>
    <cellStyle name="Normal 9 2 3 2 2 2 3" xfId="17197" xr:uid="{00000000-0005-0000-0000-00005F430000}"/>
    <cellStyle name="Normal 9 2 3 2 2 3" xfId="17198" xr:uid="{00000000-0005-0000-0000-000060430000}"/>
    <cellStyle name="Normal 9 2 3 2 2 4" xfId="17199" xr:uid="{00000000-0005-0000-0000-000061430000}"/>
    <cellStyle name="Normal 9 2 3 2 3" xfId="17200" xr:uid="{00000000-0005-0000-0000-000062430000}"/>
    <cellStyle name="Normal 9 2 3 2 3 2" xfId="17201" xr:uid="{00000000-0005-0000-0000-000063430000}"/>
    <cellStyle name="Normal 9 2 3 2 3 3" xfId="17202" xr:uid="{00000000-0005-0000-0000-000064430000}"/>
    <cellStyle name="Normal 9 2 3 2 4" xfId="17203" xr:uid="{00000000-0005-0000-0000-000065430000}"/>
    <cellStyle name="Normal 9 2 3 2 5" xfId="17204" xr:uid="{00000000-0005-0000-0000-000066430000}"/>
    <cellStyle name="Normal 9 2 3 3" xfId="17205" xr:uid="{00000000-0005-0000-0000-000067430000}"/>
    <cellStyle name="Normal 9 2 3 3 2" xfId="17206" xr:uid="{00000000-0005-0000-0000-000068430000}"/>
    <cellStyle name="Normal 9 2 3 3 2 2" xfId="17207" xr:uid="{00000000-0005-0000-0000-000069430000}"/>
    <cellStyle name="Normal 9 2 3 3 2 3" xfId="17208" xr:uid="{00000000-0005-0000-0000-00006A430000}"/>
    <cellStyle name="Normal 9 2 3 3 3" xfId="17209" xr:uid="{00000000-0005-0000-0000-00006B430000}"/>
    <cellStyle name="Normal 9 2 3 3 4" xfId="17210" xr:uid="{00000000-0005-0000-0000-00006C430000}"/>
    <cellStyle name="Normal 9 2 3 4" xfId="17211" xr:uid="{00000000-0005-0000-0000-00006D430000}"/>
    <cellStyle name="Normal 9 2 3 4 2" xfId="17212" xr:uid="{00000000-0005-0000-0000-00006E430000}"/>
    <cellStyle name="Normal 9 2 3 4 3" xfId="17213" xr:uid="{00000000-0005-0000-0000-00006F430000}"/>
    <cellStyle name="Normal 9 2 3 5" xfId="17214" xr:uid="{00000000-0005-0000-0000-000070430000}"/>
    <cellStyle name="Normal 9 2 3 6" xfId="17215" xr:uid="{00000000-0005-0000-0000-000071430000}"/>
    <cellStyle name="Normal 9 2 4" xfId="17216" xr:uid="{00000000-0005-0000-0000-000072430000}"/>
    <cellStyle name="Normal 9 2 4 2" xfId="17217" xr:uid="{00000000-0005-0000-0000-000073430000}"/>
    <cellStyle name="Normal 9 2 4 2 2" xfId="17218" xr:uid="{00000000-0005-0000-0000-000074430000}"/>
    <cellStyle name="Normal 9 2 4 2 2 2" xfId="17219" xr:uid="{00000000-0005-0000-0000-000075430000}"/>
    <cellStyle name="Normal 9 2 4 2 2 2 2" xfId="17220" xr:uid="{00000000-0005-0000-0000-000076430000}"/>
    <cellStyle name="Normal 9 2 4 2 2 2 3" xfId="17221" xr:uid="{00000000-0005-0000-0000-000077430000}"/>
    <cellStyle name="Normal 9 2 4 2 2 3" xfId="17222" xr:uid="{00000000-0005-0000-0000-000078430000}"/>
    <cellStyle name="Normal 9 2 4 2 2 4" xfId="17223" xr:uid="{00000000-0005-0000-0000-000079430000}"/>
    <cellStyle name="Normal 9 2 4 2 3" xfId="17224" xr:uid="{00000000-0005-0000-0000-00007A430000}"/>
    <cellStyle name="Normal 9 2 4 2 3 2" xfId="17225" xr:uid="{00000000-0005-0000-0000-00007B430000}"/>
    <cellStyle name="Normal 9 2 4 2 3 3" xfId="17226" xr:uid="{00000000-0005-0000-0000-00007C430000}"/>
    <cellStyle name="Normal 9 2 4 2 4" xfId="17227" xr:uid="{00000000-0005-0000-0000-00007D430000}"/>
    <cellStyle name="Normal 9 2 4 2 5" xfId="17228" xr:uid="{00000000-0005-0000-0000-00007E430000}"/>
    <cellStyle name="Normal 9 2 4 3" xfId="17229" xr:uid="{00000000-0005-0000-0000-00007F430000}"/>
    <cellStyle name="Normal 9 2 4 3 2" xfId="17230" xr:uid="{00000000-0005-0000-0000-000080430000}"/>
    <cellStyle name="Normal 9 2 4 3 2 2" xfId="17231" xr:uid="{00000000-0005-0000-0000-000081430000}"/>
    <cellStyle name="Normal 9 2 4 3 2 3" xfId="17232" xr:uid="{00000000-0005-0000-0000-000082430000}"/>
    <cellStyle name="Normal 9 2 4 3 3" xfId="17233" xr:uid="{00000000-0005-0000-0000-000083430000}"/>
    <cellStyle name="Normal 9 2 4 3 4" xfId="17234" xr:uid="{00000000-0005-0000-0000-000084430000}"/>
    <cellStyle name="Normal 9 2 4 4" xfId="17235" xr:uid="{00000000-0005-0000-0000-000085430000}"/>
    <cellStyle name="Normal 9 2 4 4 2" xfId="17236" xr:uid="{00000000-0005-0000-0000-000086430000}"/>
    <cellStyle name="Normal 9 2 4 4 3" xfId="17237" xr:uid="{00000000-0005-0000-0000-000087430000}"/>
    <cellStyle name="Normal 9 2 4 5" xfId="17238" xr:uid="{00000000-0005-0000-0000-000088430000}"/>
    <cellStyle name="Normal 9 2 4 6" xfId="17239" xr:uid="{00000000-0005-0000-0000-000089430000}"/>
    <cellStyle name="Normal 9 2 5" xfId="17240" xr:uid="{00000000-0005-0000-0000-00008A430000}"/>
    <cellStyle name="Normal 9 2 5 2" xfId="17241" xr:uid="{00000000-0005-0000-0000-00008B430000}"/>
    <cellStyle name="Normal 9 2 5 2 2" xfId="17242" xr:uid="{00000000-0005-0000-0000-00008C430000}"/>
    <cellStyle name="Normal 9 2 5 2 2 2" xfId="17243" xr:uid="{00000000-0005-0000-0000-00008D430000}"/>
    <cellStyle name="Normal 9 2 5 2 2 2 2" xfId="17244" xr:uid="{00000000-0005-0000-0000-00008E430000}"/>
    <cellStyle name="Normal 9 2 5 2 2 2 3" xfId="17245" xr:uid="{00000000-0005-0000-0000-00008F430000}"/>
    <cellStyle name="Normal 9 2 5 2 2 3" xfId="17246" xr:uid="{00000000-0005-0000-0000-000090430000}"/>
    <cellStyle name="Normal 9 2 5 2 2 4" xfId="17247" xr:uid="{00000000-0005-0000-0000-000091430000}"/>
    <cellStyle name="Normal 9 2 5 2 3" xfId="17248" xr:uid="{00000000-0005-0000-0000-000092430000}"/>
    <cellStyle name="Normal 9 2 5 2 3 2" xfId="17249" xr:uid="{00000000-0005-0000-0000-000093430000}"/>
    <cellStyle name="Normal 9 2 5 2 3 3" xfId="17250" xr:uid="{00000000-0005-0000-0000-000094430000}"/>
    <cellStyle name="Normal 9 2 5 2 4" xfId="17251" xr:uid="{00000000-0005-0000-0000-000095430000}"/>
    <cellStyle name="Normal 9 2 5 2 5" xfId="17252" xr:uid="{00000000-0005-0000-0000-000096430000}"/>
    <cellStyle name="Normal 9 2 5 3" xfId="17253" xr:uid="{00000000-0005-0000-0000-000097430000}"/>
    <cellStyle name="Normal 9 2 5 3 2" xfId="17254" xr:uid="{00000000-0005-0000-0000-000098430000}"/>
    <cellStyle name="Normal 9 2 5 3 2 2" xfId="17255" xr:uid="{00000000-0005-0000-0000-000099430000}"/>
    <cellStyle name="Normal 9 2 5 3 2 3" xfId="17256" xr:uid="{00000000-0005-0000-0000-00009A430000}"/>
    <cellStyle name="Normal 9 2 5 3 3" xfId="17257" xr:uid="{00000000-0005-0000-0000-00009B430000}"/>
    <cellStyle name="Normal 9 2 5 3 4" xfId="17258" xr:uid="{00000000-0005-0000-0000-00009C430000}"/>
    <cellStyle name="Normal 9 2 5 4" xfId="17259" xr:uid="{00000000-0005-0000-0000-00009D430000}"/>
    <cellStyle name="Normal 9 2 5 4 2" xfId="17260" xr:uid="{00000000-0005-0000-0000-00009E430000}"/>
    <cellStyle name="Normal 9 2 5 4 3" xfId="17261" xr:uid="{00000000-0005-0000-0000-00009F430000}"/>
    <cellStyle name="Normal 9 2 5 5" xfId="17262" xr:uid="{00000000-0005-0000-0000-0000A0430000}"/>
    <cellStyle name="Normal 9 2 5 6" xfId="17263" xr:uid="{00000000-0005-0000-0000-0000A1430000}"/>
    <cellStyle name="Normal 9 2 6" xfId="17264" xr:uid="{00000000-0005-0000-0000-0000A2430000}"/>
    <cellStyle name="Normal 9 2 6 2" xfId="17265" xr:uid="{00000000-0005-0000-0000-0000A3430000}"/>
    <cellStyle name="Normal 9 2 6 2 2" xfId="17266" xr:uid="{00000000-0005-0000-0000-0000A4430000}"/>
    <cellStyle name="Normal 9 2 6 2 2 2" xfId="17267" xr:uid="{00000000-0005-0000-0000-0000A5430000}"/>
    <cellStyle name="Normal 9 2 6 2 2 3" xfId="17268" xr:uid="{00000000-0005-0000-0000-0000A6430000}"/>
    <cellStyle name="Normal 9 2 6 2 3" xfId="17269" xr:uid="{00000000-0005-0000-0000-0000A7430000}"/>
    <cellStyle name="Normal 9 2 6 2 4" xfId="17270" xr:uid="{00000000-0005-0000-0000-0000A8430000}"/>
    <cellStyle name="Normal 9 2 6 3" xfId="17271" xr:uid="{00000000-0005-0000-0000-0000A9430000}"/>
    <cellStyle name="Normal 9 2 6 3 2" xfId="17272" xr:uid="{00000000-0005-0000-0000-0000AA430000}"/>
    <cellStyle name="Normal 9 2 6 3 3" xfId="17273" xr:uid="{00000000-0005-0000-0000-0000AB430000}"/>
    <cellStyle name="Normal 9 2 6 4" xfId="17274" xr:uid="{00000000-0005-0000-0000-0000AC430000}"/>
    <cellStyle name="Normal 9 2 6 5" xfId="17275" xr:uid="{00000000-0005-0000-0000-0000AD430000}"/>
    <cellStyle name="Normal 9 2 7" xfId="17276" xr:uid="{00000000-0005-0000-0000-0000AE430000}"/>
    <cellStyle name="Normal 9 2 7 2" xfId="17277" xr:uid="{00000000-0005-0000-0000-0000AF430000}"/>
    <cellStyle name="Normal 9 2 7 2 2" xfId="17278" xr:uid="{00000000-0005-0000-0000-0000B0430000}"/>
    <cellStyle name="Normal 9 2 7 2 3" xfId="17279" xr:uid="{00000000-0005-0000-0000-0000B1430000}"/>
    <cellStyle name="Normal 9 2 7 3" xfId="17280" xr:uid="{00000000-0005-0000-0000-0000B2430000}"/>
    <cellStyle name="Normal 9 2 7 4" xfId="17281" xr:uid="{00000000-0005-0000-0000-0000B3430000}"/>
    <cellStyle name="Normal 9 2 8" xfId="17282" xr:uid="{00000000-0005-0000-0000-0000B4430000}"/>
    <cellStyle name="Normal 9 2 8 2" xfId="17283" xr:uid="{00000000-0005-0000-0000-0000B5430000}"/>
    <cellStyle name="Normal 9 2 8 3" xfId="17284" xr:uid="{00000000-0005-0000-0000-0000B6430000}"/>
    <cellStyle name="Normal 9 2 9" xfId="17285" xr:uid="{00000000-0005-0000-0000-0000B7430000}"/>
    <cellStyle name="Normal 9 20" xfId="17286" xr:uid="{00000000-0005-0000-0000-0000B8430000}"/>
    <cellStyle name="Normal 9 20 2" xfId="17287" xr:uid="{00000000-0005-0000-0000-0000B9430000}"/>
    <cellStyle name="Normal 9 20 2 2" xfId="17288" xr:uid="{00000000-0005-0000-0000-0000BA430000}"/>
    <cellStyle name="Normal 9 20 2 2 2" xfId="17289" xr:uid="{00000000-0005-0000-0000-0000BB430000}"/>
    <cellStyle name="Normal 9 20 2 2 2 2" xfId="17290" xr:uid="{00000000-0005-0000-0000-0000BC430000}"/>
    <cellStyle name="Normal 9 20 2 2 2 3" xfId="17291" xr:uid="{00000000-0005-0000-0000-0000BD430000}"/>
    <cellStyle name="Normal 9 20 2 2 3" xfId="17292" xr:uid="{00000000-0005-0000-0000-0000BE430000}"/>
    <cellStyle name="Normal 9 20 2 2 4" xfId="17293" xr:uid="{00000000-0005-0000-0000-0000BF430000}"/>
    <cellStyle name="Normal 9 20 2 3" xfId="17294" xr:uid="{00000000-0005-0000-0000-0000C0430000}"/>
    <cellStyle name="Normal 9 20 2 3 2" xfId="17295" xr:uid="{00000000-0005-0000-0000-0000C1430000}"/>
    <cellStyle name="Normal 9 20 2 3 3" xfId="17296" xr:uid="{00000000-0005-0000-0000-0000C2430000}"/>
    <cellStyle name="Normal 9 20 2 4" xfId="17297" xr:uid="{00000000-0005-0000-0000-0000C3430000}"/>
    <cellStyle name="Normal 9 20 2 5" xfId="17298" xr:uid="{00000000-0005-0000-0000-0000C4430000}"/>
    <cellStyle name="Normal 9 20 3" xfId="17299" xr:uid="{00000000-0005-0000-0000-0000C5430000}"/>
    <cellStyle name="Normal 9 20 3 2" xfId="17300" xr:uid="{00000000-0005-0000-0000-0000C6430000}"/>
    <cellStyle name="Normal 9 20 3 2 2" xfId="17301" xr:uid="{00000000-0005-0000-0000-0000C7430000}"/>
    <cellStyle name="Normal 9 20 3 2 3" xfId="17302" xr:uid="{00000000-0005-0000-0000-0000C8430000}"/>
    <cellStyle name="Normal 9 20 3 3" xfId="17303" xr:uid="{00000000-0005-0000-0000-0000C9430000}"/>
    <cellStyle name="Normal 9 20 3 4" xfId="17304" xr:uid="{00000000-0005-0000-0000-0000CA430000}"/>
    <cellStyle name="Normal 9 20 4" xfId="17305" xr:uid="{00000000-0005-0000-0000-0000CB430000}"/>
    <cellStyle name="Normal 9 20 4 2" xfId="17306" xr:uid="{00000000-0005-0000-0000-0000CC430000}"/>
    <cellStyle name="Normal 9 20 4 3" xfId="17307" xr:uid="{00000000-0005-0000-0000-0000CD430000}"/>
    <cellStyle name="Normal 9 20 5" xfId="17308" xr:uid="{00000000-0005-0000-0000-0000CE430000}"/>
    <cellStyle name="Normal 9 20 6" xfId="17309" xr:uid="{00000000-0005-0000-0000-0000CF430000}"/>
    <cellStyle name="Normal 9 21" xfId="17310" xr:uid="{00000000-0005-0000-0000-0000D0430000}"/>
    <cellStyle name="Normal 9 22" xfId="17311" xr:uid="{00000000-0005-0000-0000-0000D1430000}"/>
    <cellStyle name="Normal 9 22 2" xfId="17312" xr:uid="{00000000-0005-0000-0000-0000D2430000}"/>
    <cellStyle name="Normal 9 22 2 2" xfId="17313" xr:uid="{00000000-0005-0000-0000-0000D3430000}"/>
    <cellStyle name="Normal 9 22 2 2 2" xfId="17314" xr:uid="{00000000-0005-0000-0000-0000D4430000}"/>
    <cellStyle name="Normal 9 22 2 2 2 2" xfId="17315" xr:uid="{00000000-0005-0000-0000-0000D5430000}"/>
    <cellStyle name="Normal 9 22 2 2 2 3" xfId="17316" xr:uid="{00000000-0005-0000-0000-0000D6430000}"/>
    <cellStyle name="Normal 9 22 2 2 3" xfId="17317" xr:uid="{00000000-0005-0000-0000-0000D7430000}"/>
    <cellStyle name="Normal 9 22 2 2 4" xfId="17318" xr:uid="{00000000-0005-0000-0000-0000D8430000}"/>
    <cellStyle name="Normal 9 22 2 3" xfId="17319" xr:uid="{00000000-0005-0000-0000-0000D9430000}"/>
    <cellStyle name="Normal 9 22 2 3 2" xfId="17320" xr:uid="{00000000-0005-0000-0000-0000DA430000}"/>
    <cellStyle name="Normal 9 22 2 3 3" xfId="17321" xr:uid="{00000000-0005-0000-0000-0000DB430000}"/>
    <cellStyle name="Normal 9 22 2 4" xfId="17322" xr:uid="{00000000-0005-0000-0000-0000DC430000}"/>
    <cellStyle name="Normal 9 22 2 5" xfId="17323" xr:uid="{00000000-0005-0000-0000-0000DD430000}"/>
    <cellStyle name="Normal 9 22 3" xfId="17324" xr:uid="{00000000-0005-0000-0000-0000DE430000}"/>
    <cellStyle name="Normal 9 22 3 2" xfId="17325" xr:uid="{00000000-0005-0000-0000-0000DF430000}"/>
    <cellStyle name="Normal 9 22 3 2 2" xfId="17326" xr:uid="{00000000-0005-0000-0000-0000E0430000}"/>
    <cellStyle name="Normal 9 22 3 2 3" xfId="17327" xr:uid="{00000000-0005-0000-0000-0000E1430000}"/>
    <cellStyle name="Normal 9 22 3 3" xfId="17328" xr:uid="{00000000-0005-0000-0000-0000E2430000}"/>
    <cellStyle name="Normal 9 22 3 4" xfId="17329" xr:uid="{00000000-0005-0000-0000-0000E3430000}"/>
    <cellStyle name="Normal 9 22 4" xfId="17330" xr:uid="{00000000-0005-0000-0000-0000E4430000}"/>
    <cellStyle name="Normal 9 22 4 2" xfId="17331" xr:uid="{00000000-0005-0000-0000-0000E5430000}"/>
    <cellStyle name="Normal 9 22 4 3" xfId="17332" xr:uid="{00000000-0005-0000-0000-0000E6430000}"/>
    <cellStyle name="Normal 9 22 5" xfId="17333" xr:uid="{00000000-0005-0000-0000-0000E7430000}"/>
    <cellStyle name="Normal 9 22 6" xfId="17334" xr:uid="{00000000-0005-0000-0000-0000E8430000}"/>
    <cellStyle name="Normal 9 23" xfId="17335" xr:uid="{00000000-0005-0000-0000-0000E9430000}"/>
    <cellStyle name="Normal 9 23 2" xfId="17336" xr:uid="{00000000-0005-0000-0000-0000EA430000}"/>
    <cellStyle name="Normal 9 24" xfId="17337" xr:uid="{00000000-0005-0000-0000-0000EB430000}"/>
    <cellStyle name="Normal 9 24 2" xfId="17338" xr:uid="{00000000-0005-0000-0000-0000EC430000}"/>
    <cellStyle name="Normal 9 25" xfId="17339" xr:uid="{00000000-0005-0000-0000-0000ED430000}"/>
    <cellStyle name="Normal 9 25 2" xfId="17340" xr:uid="{00000000-0005-0000-0000-0000EE430000}"/>
    <cellStyle name="Normal 9 25 2 2" xfId="17341" xr:uid="{00000000-0005-0000-0000-0000EF430000}"/>
    <cellStyle name="Normal 9 25 2 2 2" xfId="17342" xr:uid="{00000000-0005-0000-0000-0000F0430000}"/>
    <cellStyle name="Normal 9 25 2 2 2 2" xfId="17343" xr:uid="{00000000-0005-0000-0000-0000F1430000}"/>
    <cellStyle name="Normal 9 25 2 2 2 3" xfId="17344" xr:uid="{00000000-0005-0000-0000-0000F2430000}"/>
    <cellStyle name="Normal 9 25 2 2 3" xfId="17345" xr:uid="{00000000-0005-0000-0000-0000F3430000}"/>
    <cellStyle name="Normal 9 25 2 2 4" xfId="17346" xr:uid="{00000000-0005-0000-0000-0000F4430000}"/>
    <cellStyle name="Normal 9 25 2 3" xfId="17347" xr:uid="{00000000-0005-0000-0000-0000F5430000}"/>
    <cellStyle name="Normal 9 25 2 3 2" xfId="17348" xr:uid="{00000000-0005-0000-0000-0000F6430000}"/>
    <cellStyle name="Normal 9 25 2 3 3" xfId="17349" xr:uid="{00000000-0005-0000-0000-0000F7430000}"/>
    <cellStyle name="Normal 9 25 2 4" xfId="17350" xr:uid="{00000000-0005-0000-0000-0000F8430000}"/>
    <cellStyle name="Normal 9 25 2 5" xfId="17351" xr:uid="{00000000-0005-0000-0000-0000F9430000}"/>
    <cellStyle name="Normal 9 25 3" xfId="17352" xr:uid="{00000000-0005-0000-0000-0000FA430000}"/>
    <cellStyle name="Normal 9 25 3 2" xfId="17353" xr:uid="{00000000-0005-0000-0000-0000FB430000}"/>
    <cellStyle name="Normal 9 25 3 2 2" xfId="17354" xr:uid="{00000000-0005-0000-0000-0000FC430000}"/>
    <cellStyle name="Normal 9 25 3 2 3" xfId="17355" xr:uid="{00000000-0005-0000-0000-0000FD430000}"/>
    <cellStyle name="Normal 9 25 3 3" xfId="17356" xr:uid="{00000000-0005-0000-0000-0000FE430000}"/>
    <cellStyle name="Normal 9 25 3 4" xfId="17357" xr:uid="{00000000-0005-0000-0000-0000FF430000}"/>
    <cellStyle name="Normal 9 25 4" xfId="17358" xr:uid="{00000000-0005-0000-0000-000000440000}"/>
    <cellStyle name="Normal 9 25 4 2" xfId="17359" xr:uid="{00000000-0005-0000-0000-000001440000}"/>
    <cellStyle name="Normal 9 25 4 3" xfId="17360" xr:uid="{00000000-0005-0000-0000-000002440000}"/>
    <cellStyle name="Normal 9 25 5" xfId="17361" xr:uid="{00000000-0005-0000-0000-000003440000}"/>
    <cellStyle name="Normal 9 25 6" xfId="17362" xr:uid="{00000000-0005-0000-0000-000004440000}"/>
    <cellStyle name="Normal 9 26" xfId="17363" xr:uid="{00000000-0005-0000-0000-000005440000}"/>
    <cellStyle name="Normal 9 3" xfId="17364" xr:uid="{00000000-0005-0000-0000-000006440000}"/>
    <cellStyle name="Normal 9 3 10" xfId="17365" xr:uid="{00000000-0005-0000-0000-000007440000}"/>
    <cellStyle name="Normal 9 3 2" xfId="17366" xr:uid="{00000000-0005-0000-0000-000008440000}"/>
    <cellStyle name="Normal 9 3 2 2" xfId="17367" xr:uid="{00000000-0005-0000-0000-000009440000}"/>
    <cellStyle name="Normal 9 3 2 2 2" xfId="17368" xr:uid="{00000000-0005-0000-0000-00000A440000}"/>
    <cellStyle name="Normal 9 3 2 2 2 2" xfId="17369" xr:uid="{00000000-0005-0000-0000-00000B440000}"/>
    <cellStyle name="Normal 9 3 2 2 2 2 2" xfId="17370" xr:uid="{00000000-0005-0000-0000-00000C440000}"/>
    <cellStyle name="Normal 9 3 2 2 2 2 3" xfId="17371" xr:uid="{00000000-0005-0000-0000-00000D440000}"/>
    <cellStyle name="Normal 9 3 2 2 2 3" xfId="17372" xr:uid="{00000000-0005-0000-0000-00000E440000}"/>
    <cellStyle name="Normal 9 3 2 2 2 4" xfId="17373" xr:uid="{00000000-0005-0000-0000-00000F440000}"/>
    <cellStyle name="Normal 9 3 2 2 3" xfId="17374" xr:uid="{00000000-0005-0000-0000-000010440000}"/>
    <cellStyle name="Normal 9 3 2 2 3 2" xfId="17375" xr:uid="{00000000-0005-0000-0000-000011440000}"/>
    <cellStyle name="Normal 9 3 2 2 3 3" xfId="17376" xr:uid="{00000000-0005-0000-0000-000012440000}"/>
    <cellStyle name="Normal 9 3 2 2 4" xfId="17377" xr:uid="{00000000-0005-0000-0000-000013440000}"/>
    <cellStyle name="Normal 9 3 2 2 5" xfId="17378" xr:uid="{00000000-0005-0000-0000-000014440000}"/>
    <cellStyle name="Normal 9 3 2 3" xfId="17379" xr:uid="{00000000-0005-0000-0000-000015440000}"/>
    <cellStyle name="Normal 9 3 2 3 2" xfId="17380" xr:uid="{00000000-0005-0000-0000-000016440000}"/>
    <cellStyle name="Normal 9 3 2 3 2 2" xfId="17381" xr:uid="{00000000-0005-0000-0000-000017440000}"/>
    <cellStyle name="Normal 9 3 2 3 2 3" xfId="17382" xr:uid="{00000000-0005-0000-0000-000018440000}"/>
    <cellStyle name="Normal 9 3 2 3 3" xfId="17383" xr:uid="{00000000-0005-0000-0000-000019440000}"/>
    <cellStyle name="Normal 9 3 2 3 4" xfId="17384" xr:uid="{00000000-0005-0000-0000-00001A440000}"/>
    <cellStyle name="Normal 9 3 2 4" xfId="17385" xr:uid="{00000000-0005-0000-0000-00001B440000}"/>
    <cellStyle name="Normal 9 3 2 4 2" xfId="17386" xr:uid="{00000000-0005-0000-0000-00001C440000}"/>
    <cellStyle name="Normal 9 3 2 4 3" xfId="17387" xr:uid="{00000000-0005-0000-0000-00001D440000}"/>
    <cellStyle name="Normal 9 3 2 5" xfId="17388" xr:uid="{00000000-0005-0000-0000-00001E440000}"/>
    <cellStyle name="Normal 9 3 2 6" xfId="17389" xr:uid="{00000000-0005-0000-0000-00001F440000}"/>
    <cellStyle name="Normal 9 3 3" xfId="17390" xr:uid="{00000000-0005-0000-0000-000020440000}"/>
    <cellStyle name="Normal 9 3 3 2" xfId="17391" xr:uid="{00000000-0005-0000-0000-000021440000}"/>
    <cellStyle name="Normal 9 3 3 2 2" xfId="17392" xr:uid="{00000000-0005-0000-0000-000022440000}"/>
    <cellStyle name="Normal 9 3 3 2 2 2" xfId="17393" xr:uid="{00000000-0005-0000-0000-000023440000}"/>
    <cellStyle name="Normal 9 3 3 2 2 2 2" xfId="17394" xr:uid="{00000000-0005-0000-0000-000024440000}"/>
    <cellStyle name="Normal 9 3 3 2 2 2 3" xfId="17395" xr:uid="{00000000-0005-0000-0000-000025440000}"/>
    <cellStyle name="Normal 9 3 3 2 2 3" xfId="17396" xr:uid="{00000000-0005-0000-0000-000026440000}"/>
    <cellStyle name="Normal 9 3 3 2 2 4" xfId="17397" xr:uid="{00000000-0005-0000-0000-000027440000}"/>
    <cellStyle name="Normal 9 3 3 2 3" xfId="17398" xr:uid="{00000000-0005-0000-0000-000028440000}"/>
    <cellStyle name="Normal 9 3 3 2 3 2" xfId="17399" xr:uid="{00000000-0005-0000-0000-000029440000}"/>
    <cellStyle name="Normal 9 3 3 2 3 3" xfId="17400" xr:uid="{00000000-0005-0000-0000-00002A440000}"/>
    <cellStyle name="Normal 9 3 3 2 4" xfId="17401" xr:uid="{00000000-0005-0000-0000-00002B440000}"/>
    <cellStyle name="Normal 9 3 3 2 5" xfId="17402" xr:uid="{00000000-0005-0000-0000-00002C440000}"/>
    <cellStyle name="Normal 9 3 3 3" xfId="17403" xr:uid="{00000000-0005-0000-0000-00002D440000}"/>
    <cellStyle name="Normal 9 3 3 3 2" xfId="17404" xr:uid="{00000000-0005-0000-0000-00002E440000}"/>
    <cellStyle name="Normal 9 3 3 3 2 2" xfId="17405" xr:uid="{00000000-0005-0000-0000-00002F440000}"/>
    <cellStyle name="Normal 9 3 3 3 2 3" xfId="17406" xr:uid="{00000000-0005-0000-0000-000030440000}"/>
    <cellStyle name="Normal 9 3 3 3 3" xfId="17407" xr:uid="{00000000-0005-0000-0000-000031440000}"/>
    <cellStyle name="Normal 9 3 3 3 4" xfId="17408" xr:uid="{00000000-0005-0000-0000-000032440000}"/>
    <cellStyle name="Normal 9 3 3 4" xfId="17409" xr:uid="{00000000-0005-0000-0000-000033440000}"/>
    <cellStyle name="Normal 9 3 3 4 2" xfId="17410" xr:uid="{00000000-0005-0000-0000-000034440000}"/>
    <cellStyle name="Normal 9 3 3 4 3" xfId="17411" xr:uid="{00000000-0005-0000-0000-000035440000}"/>
    <cellStyle name="Normal 9 3 3 5" xfId="17412" xr:uid="{00000000-0005-0000-0000-000036440000}"/>
    <cellStyle name="Normal 9 3 3 6" xfId="17413" xr:uid="{00000000-0005-0000-0000-000037440000}"/>
    <cellStyle name="Normal 9 3 4" xfId="17414" xr:uid="{00000000-0005-0000-0000-000038440000}"/>
    <cellStyle name="Normal 9 3 4 2" xfId="17415" xr:uid="{00000000-0005-0000-0000-000039440000}"/>
    <cellStyle name="Normal 9 3 4 2 2" xfId="17416" xr:uid="{00000000-0005-0000-0000-00003A440000}"/>
    <cellStyle name="Normal 9 3 4 2 2 2" xfId="17417" xr:uid="{00000000-0005-0000-0000-00003B440000}"/>
    <cellStyle name="Normal 9 3 4 2 2 2 2" xfId="17418" xr:uid="{00000000-0005-0000-0000-00003C440000}"/>
    <cellStyle name="Normal 9 3 4 2 2 2 3" xfId="17419" xr:uid="{00000000-0005-0000-0000-00003D440000}"/>
    <cellStyle name="Normal 9 3 4 2 2 3" xfId="17420" xr:uid="{00000000-0005-0000-0000-00003E440000}"/>
    <cellStyle name="Normal 9 3 4 2 2 4" xfId="17421" xr:uid="{00000000-0005-0000-0000-00003F440000}"/>
    <cellStyle name="Normal 9 3 4 2 3" xfId="17422" xr:uid="{00000000-0005-0000-0000-000040440000}"/>
    <cellStyle name="Normal 9 3 4 2 3 2" xfId="17423" xr:uid="{00000000-0005-0000-0000-000041440000}"/>
    <cellStyle name="Normal 9 3 4 2 3 3" xfId="17424" xr:uid="{00000000-0005-0000-0000-000042440000}"/>
    <cellStyle name="Normal 9 3 4 2 4" xfId="17425" xr:uid="{00000000-0005-0000-0000-000043440000}"/>
    <cellStyle name="Normal 9 3 4 2 5" xfId="17426" xr:uid="{00000000-0005-0000-0000-000044440000}"/>
    <cellStyle name="Normal 9 3 4 3" xfId="17427" xr:uid="{00000000-0005-0000-0000-000045440000}"/>
    <cellStyle name="Normal 9 3 4 3 2" xfId="17428" xr:uid="{00000000-0005-0000-0000-000046440000}"/>
    <cellStyle name="Normal 9 3 4 3 2 2" xfId="17429" xr:uid="{00000000-0005-0000-0000-000047440000}"/>
    <cellStyle name="Normal 9 3 4 3 2 3" xfId="17430" xr:uid="{00000000-0005-0000-0000-000048440000}"/>
    <cellStyle name="Normal 9 3 4 3 3" xfId="17431" xr:uid="{00000000-0005-0000-0000-000049440000}"/>
    <cellStyle name="Normal 9 3 4 3 4" xfId="17432" xr:uid="{00000000-0005-0000-0000-00004A440000}"/>
    <cellStyle name="Normal 9 3 4 4" xfId="17433" xr:uid="{00000000-0005-0000-0000-00004B440000}"/>
    <cellStyle name="Normal 9 3 4 4 2" xfId="17434" xr:uid="{00000000-0005-0000-0000-00004C440000}"/>
    <cellStyle name="Normal 9 3 4 4 3" xfId="17435" xr:uid="{00000000-0005-0000-0000-00004D440000}"/>
    <cellStyle name="Normal 9 3 4 5" xfId="17436" xr:uid="{00000000-0005-0000-0000-00004E440000}"/>
    <cellStyle name="Normal 9 3 4 6" xfId="17437" xr:uid="{00000000-0005-0000-0000-00004F440000}"/>
    <cellStyle name="Normal 9 3 5" xfId="17438" xr:uid="{00000000-0005-0000-0000-000050440000}"/>
    <cellStyle name="Normal 9 3 5 2" xfId="17439" xr:uid="{00000000-0005-0000-0000-000051440000}"/>
    <cellStyle name="Normal 9 3 5 2 2" xfId="17440" xr:uid="{00000000-0005-0000-0000-000052440000}"/>
    <cellStyle name="Normal 9 3 5 2 2 2" xfId="17441" xr:uid="{00000000-0005-0000-0000-000053440000}"/>
    <cellStyle name="Normal 9 3 5 2 2 2 2" xfId="17442" xr:uid="{00000000-0005-0000-0000-000054440000}"/>
    <cellStyle name="Normal 9 3 5 2 2 2 3" xfId="17443" xr:uid="{00000000-0005-0000-0000-000055440000}"/>
    <cellStyle name="Normal 9 3 5 2 2 3" xfId="17444" xr:uid="{00000000-0005-0000-0000-000056440000}"/>
    <cellStyle name="Normal 9 3 5 2 2 4" xfId="17445" xr:uid="{00000000-0005-0000-0000-000057440000}"/>
    <cellStyle name="Normal 9 3 5 2 3" xfId="17446" xr:uid="{00000000-0005-0000-0000-000058440000}"/>
    <cellStyle name="Normal 9 3 5 2 3 2" xfId="17447" xr:uid="{00000000-0005-0000-0000-000059440000}"/>
    <cellStyle name="Normal 9 3 5 2 3 3" xfId="17448" xr:uid="{00000000-0005-0000-0000-00005A440000}"/>
    <cellStyle name="Normal 9 3 5 2 4" xfId="17449" xr:uid="{00000000-0005-0000-0000-00005B440000}"/>
    <cellStyle name="Normal 9 3 5 2 5" xfId="17450" xr:uid="{00000000-0005-0000-0000-00005C440000}"/>
    <cellStyle name="Normal 9 3 5 3" xfId="17451" xr:uid="{00000000-0005-0000-0000-00005D440000}"/>
    <cellStyle name="Normal 9 3 5 3 2" xfId="17452" xr:uid="{00000000-0005-0000-0000-00005E440000}"/>
    <cellStyle name="Normal 9 3 5 3 2 2" xfId="17453" xr:uid="{00000000-0005-0000-0000-00005F440000}"/>
    <cellStyle name="Normal 9 3 5 3 2 3" xfId="17454" xr:uid="{00000000-0005-0000-0000-000060440000}"/>
    <cellStyle name="Normal 9 3 5 3 3" xfId="17455" xr:uid="{00000000-0005-0000-0000-000061440000}"/>
    <cellStyle name="Normal 9 3 5 3 4" xfId="17456" xr:uid="{00000000-0005-0000-0000-000062440000}"/>
    <cellStyle name="Normal 9 3 5 4" xfId="17457" xr:uid="{00000000-0005-0000-0000-000063440000}"/>
    <cellStyle name="Normal 9 3 5 4 2" xfId="17458" xr:uid="{00000000-0005-0000-0000-000064440000}"/>
    <cellStyle name="Normal 9 3 5 4 3" xfId="17459" xr:uid="{00000000-0005-0000-0000-000065440000}"/>
    <cellStyle name="Normal 9 3 5 5" xfId="17460" xr:uid="{00000000-0005-0000-0000-000066440000}"/>
    <cellStyle name="Normal 9 3 5 6" xfId="17461" xr:uid="{00000000-0005-0000-0000-000067440000}"/>
    <cellStyle name="Normal 9 3 6" xfId="17462" xr:uid="{00000000-0005-0000-0000-000068440000}"/>
    <cellStyle name="Normal 9 3 6 2" xfId="17463" xr:uid="{00000000-0005-0000-0000-000069440000}"/>
    <cellStyle name="Normal 9 3 6 2 2" xfId="17464" xr:uid="{00000000-0005-0000-0000-00006A440000}"/>
    <cellStyle name="Normal 9 3 6 2 2 2" xfId="17465" xr:uid="{00000000-0005-0000-0000-00006B440000}"/>
    <cellStyle name="Normal 9 3 6 2 2 3" xfId="17466" xr:uid="{00000000-0005-0000-0000-00006C440000}"/>
    <cellStyle name="Normal 9 3 6 2 3" xfId="17467" xr:uid="{00000000-0005-0000-0000-00006D440000}"/>
    <cellStyle name="Normal 9 3 6 2 4" xfId="17468" xr:uid="{00000000-0005-0000-0000-00006E440000}"/>
    <cellStyle name="Normal 9 3 6 3" xfId="17469" xr:uid="{00000000-0005-0000-0000-00006F440000}"/>
    <cellStyle name="Normal 9 3 6 3 2" xfId="17470" xr:uid="{00000000-0005-0000-0000-000070440000}"/>
    <cellStyle name="Normal 9 3 6 3 3" xfId="17471" xr:uid="{00000000-0005-0000-0000-000071440000}"/>
    <cellStyle name="Normal 9 3 6 4" xfId="17472" xr:uid="{00000000-0005-0000-0000-000072440000}"/>
    <cellStyle name="Normal 9 3 6 5" xfId="17473" xr:uid="{00000000-0005-0000-0000-000073440000}"/>
    <cellStyle name="Normal 9 3 7" xfId="17474" xr:uid="{00000000-0005-0000-0000-000074440000}"/>
    <cellStyle name="Normal 9 3 7 2" xfId="17475" xr:uid="{00000000-0005-0000-0000-000075440000}"/>
    <cellStyle name="Normal 9 3 7 2 2" xfId="17476" xr:uid="{00000000-0005-0000-0000-000076440000}"/>
    <cellStyle name="Normal 9 3 7 2 3" xfId="17477" xr:uid="{00000000-0005-0000-0000-000077440000}"/>
    <cellStyle name="Normal 9 3 7 3" xfId="17478" xr:uid="{00000000-0005-0000-0000-000078440000}"/>
    <cellStyle name="Normal 9 3 7 4" xfId="17479" xr:uid="{00000000-0005-0000-0000-000079440000}"/>
    <cellStyle name="Normal 9 3 8" xfId="17480" xr:uid="{00000000-0005-0000-0000-00007A440000}"/>
    <cellStyle name="Normal 9 3 8 2" xfId="17481" xr:uid="{00000000-0005-0000-0000-00007B440000}"/>
    <cellStyle name="Normal 9 3 8 3" xfId="17482" xr:uid="{00000000-0005-0000-0000-00007C440000}"/>
    <cellStyle name="Normal 9 3 9" xfId="17483" xr:uid="{00000000-0005-0000-0000-00007D440000}"/>
    <cellStyle name="Normal 9 4" xfId="17484" xr:uid="{00000000-0005-0000-0000-00007E440000}"/>
    <cellStyle name="Normal 9 4 2" xfId="17485" xr:uid="{00000000-0005-0000-0000-00007F440000}"/>
    <cellStyle name="Normal 9 4 2 2" xfId="17486" xr:uid="{00000000-0005-0000-0000-000080440000}"/>
    <cellStyle name="Normal 9 4 2 2 2" xfId="17487" xr:uid="{00000000-0005-0000-0000-000081440000}"/>
    <cellStyle name="Normal 9 4 2 2 2 2" xfId="17488" xr:uid="{00000000-0005-0000-0000-000082440000}"/>
    <cellStyle name="Normal 9 4 2 2 2 3" xfId="17489" xr:uid="{00000000-0005-0000-0000-000083440000}"/>
    <cellStyle name="Normal 9 4 2 2 3" xfId="17490" xr:uid="{00000000-0005-0000-0000-000084440000}"/>
    <cellStyle name="Normal 9 4 2 2 4" xfId="17491" xr:uid="{00000000-0005-0000-0000-000085440000}"/>
    <cellStyle name="Normal 9 4 2 3" xfId="17492" xr:uid="{00000000-0005-0000-0000-000086440000}"/>
    <cellStyle name="Normal 9 4 2 3 2" xfId="17493" xr:uid="{00000000-0005-0000-0000-000087440000}"/>
    <cellStyle name="Normal 9 4 2 3 3" xfId="17494" xr:uid="{00000000-0005-0000-0000-000088440000}"/>
    <cellStyle name="Normal 9 4 2 4" xfId="17495" xr:uid="{00000000-0005-0000-0000-000089440000}"/>
    <cellStyle name="Normal 9 4 2 5" xfId="17496" xr:uid="{00000000-0005-0000-0000-00008A440000}"/>
    <cellStyle name="Normal 9 4 3" xfId="17497" xr:uid="{00000000-0005-0000-0000-00008B440000}"/>
    <cellStyle name="Normal 9 4 3 2" xfId="17498" xr:uid="{00000000-0005-0000-0000-00008C440000}"/>
    <cellStyle name="Normal 9 4 3 2 2" xfId="17499" xr:uid="{00000000-0005-0000-0000-00008D440000}"/>
    <cellStyle name="Normal 9 4 3 2 3" xfId="17500" xr:uid="{00000000-0005-0000-0000-00008E440000}"/>
    <cellStyle name="Normal 9 4 3 3" xfId="17501" xr:uid="{00000000-0005-0000-0000-00008F440000}"/>
    <cellStyle name="Normal 9 4 3 4" xfId="17502" xr:uid="{00000000-0005-0000-0000-000090440000}"/>
    <cellStyle name="Normal 9 4 4" xfId="17503" xr:uid="{00000000-0005-0000-0000-000091440000}"/>
    <cellStyle name="Normal 9 4 4 2" xfId="17504" xr:uid="{00000000-0005-0000-0000-000092440000}"/>
    <cellStyle name="Normal 9 4 4 3" xfId="17505" xr:uid="{00000000-0005-0000-0000-000093440000}"/>
    <cellStyle name="Normal 9 4 5" xfId="17506" xr:uid="{00000000-0005-0000-0000-000094440000}"/>
    <cellStyle name="Normal 9 4 6" xfId="17507" xr:uid="{00000000-0005-0000-0000-000095440000}"/>
    <cellStyle name="Normal 9 5" xfId="17508" xr:uid="{00000000-0005-0000-0000-000096440000}"/>
    <cellStyle name="Normal 9 5 2" xfId="17509" xr:uid="{00000000-0005-0000-0000-000097440000}"/>
    <cellStyle name="Normal 9 5 2 2" xfId="17510" xr:uid="{00000000-0005-0000-0000-000098440000}"/>
    <cellStyle name="Normal 9 5 2 2 2" xfId="17511" xr:uid="{00000000-0005-0000-0000-000099440000}"/>
    <cellStyle name="Normal 9 5 2 2 2 2" xfId="17512" xr:uid="{00000000-0005-0000-0000-00009A440000}"/>
    <cellStyle name="Normal 9 5 2 2 2 3" xfId="17513" xr:uid="{00000000-0005-0000-0000-00009B440000}"/>
    <cellStyle name="Normal 9 5 2 2 3" xfId="17514" xr:uid="{00000000-0005-0000-0000-00009C440000}"/>
    <cellStyle name="Normal 9 5 2 2 4" xfId="17515" xr:uid="{00000000-0005-0000-0000-00009D440000}"/>
    <cellStyle name="Normal 9 5 2 3" xfId="17516" xr:uid="{00000000-0005-0000-0000-00009E440000}"/>
    <cellStyle name="Normal 9 5 2 3 2" xfId="17517" xr:uid="{00000000-0005-0000-0000-00009F440000}"/>
    <cellStyle name="Normal 9 5 2 3 3" xfId="17518" xr:uid="{00000000-0005-0000-0000-0000A0440000}"/>
    <cellStyle name="Normal 9 5 2 4" xfId="17519" xr:uid="{00000000-0005-0000-0000-0000A1440000}"/>
    <cellStyle name="Normal 9 5 2 5" xfId="17520" xr:uid="{00000000-0005-0000-0000-0000A2440000}"/>
    <cellStyle name="Normal 9 5 3" xfId="17521" xr:uid="{00000000-0005-0000-0000-0000A3440000}"/>
    <cellStyle name="Normal 9 5 3 2" xfId="17522" xr:uid="{00000000-0005-0000-0000-0000A4440000}"/>
    <cellStyle name="Normal 9 5 3 2 2" xfId="17523" xr:uid="{00000000-0005-0000-0000-0000A5440000}"/>
    <cellStyle name="Normal 9 5 3 2 3" xfId="17524" xr:uid="{00000000-0005-0000-0000-0000A6440000}"/>
    <cellStyle name="Normal 9 5 3 3" xfId="17525" xr:uid="{00000000-0005-0000-0000-0000A7440000}"/>
    <cellStyle name="Normal 9 5 3 4" xfId="17526" xr:uid="{00000000-0005-0000-0000-0000A8440000}"/>
    <cellStyle name="Normal 9 5 4" xfId="17527" xr:uid="{00000000-0005-0000-0000-0000A9440000}"/>
    <cellStyle name="Normal 9 5 4 2" xfId="17528" xr:uid="{00000000-0005-0000-0000-0000AA440000}"/>
    <cellStyle name="Normal 9 5 4 3" xfId="17529" xr:uid="{00000000-0005-0000-0000-0000AB440000}"/>
    <cellStyle name="Normal 9 5 5" xfId="17530" xr:uid="{00000000-0005-0000-0000-0000AC440000}"/>
    <cellStyle name="Normal 9 5 6" xfId="17531" xr:uid="{00000000-0005-0000-0000-0000AD440000}"/>
    <cellStyle name="Normal 9 6" xfId="17532" xr:uid="{00000000-0005-0000-0000-0000AE440000}"/>
    <cellStyle name="Normal 9 6 2" xfId="17533" xr:uid="{00000000-0005-0000-0000-0000AF440000}"/>
    <cellStyle name="Normal 9 6 2 2" xfId="17534" xr:uid="{00000000-0005-0000-0000-0000B0440000}"/>
    <cellStyle name="Normal 9 6 2 2 2" xfId="17535" xr:uid="{00000000-0005-0000-0000-0000B1440000}"/>
    <cellStyle name="Normal 9 6 2 2 2 2" xfId="17536" xr:uid="{00000000-0005-0000-0000-0000B2440000}"/>
    <cellStyle name="Normal 9 6 2 2 2 3" xfId="17537" xr:uid="{00000000-0005-0000-0000-0000B3440000}"/>
    <cellStyle name="Normal 9 6 2 2 3" xfId="17538" xr:uid="{00000000-0005-0000-0000-0000B4440000}"/>
    <cellStyle name="Normal 9 6 2 2 4" xfId="17539" xr:uid="{00000000-0005-0000-0000-0000B5440000}"/>
    <cellStyle name="Normal 9 6 2 3" xfId="17540" xr:uid="{00000000-0005-0000-0000-0000B6440000}"/>
    <cellStyle name="Normal 9 6 2 3 2" xfId="17541" xr:uid="{00000000-0005-0000-0000-0000B7440000}"/>
    <cellStyle name="Normal 9 6 2 3 3" xfId="17542" xr:uid="{00000000-0005-0000-0000-0000B8440000}"/>
    <cellStyle name="Normal 9 6 2 4" xfId="17543" xr:uid="{00000000-0005-0000-0000-0000B9440000}"/>
    <cellStyle name="Normal 9 6 2 5" xfId="17544" xr:uid="{00000000-0005-0000-0000-0000BA440000}"/>
    <cellStyle name="Normal 9 6 3" xfId="17545" xr:uid="{00000000-0005-0000-0000-0000BB440000}"/>
    <cellStyle name="Normal 9 6 3 2" xfId="17546" xr:uid="{00000000-0005-0000-0000-0000BC440000}"/>
    <cellStyle name="Normal 9 6 3 2 2" xfId="17547" xr:uid="{00000000-0005-0000-0000-0000BD440000}"/>
    <cellStyle name="Normal 9 6 3 2 3" xfId="17548" xr:uid="{00000000-0005-0000-0000-0000BE440000}"/>
    <cellStyle name="Normal 9 6 3 3" xfId="17549" xr:uid="{00000000-0005-0000-0000-0000BF440000}"/>
    <cellStyle name="Normal 9 6 3 4" xfId="17550" xr:uid="{00000000-0005-0000-0000-0000C0440000}"/>
    <cellStyle name="Normal 9 6 4" xfId="17551" xr:uid="{00000000-0005-0000-0000-0000C1440000}"/>
    <cellStyle name="Normal 9 6 4 2" xfId="17552" xr:uid="{00000000-0005-0000-0000-0000C2440000}"/>
    <cellStyle name="Normal 9 6 4 3" xfId="17553" xr:uid="{00000000-0005-0000-0000-0000C3440000}"/>
    <cellStyle name="Normal 9 6 5" xfId="17554" xr:uid="{00000000-0005-0000-0000-0000C4440000}"/>
    <cellStyle name="Normal 9 6 6" xfId="17555" xr:uid="{00000000-0005-0000-0000-0000C5440000}"/>
    <cellStyle name="Normal 9 7" xfId="17556" xr:uid="{00000000-0005-0000-0000-0000C6440000}"/>
    <cellStyle name="Normal 9 7 2" xfId="17557" xr:uid="{00000000-0005-0000-0000-0000C7440000}"/>
    <cellStyle name="Normal 9 7 2 2" xfId="17558" xr:uid="{00000000-0005-0000-0000-0000C8440000}"/>
    <cellStyle name="Normal 9 7 2 2 2" xfId="17559" xr:uid="{00000000-0005-0000-0000-0000C9440000}"/>
    <cellStyle name="Normal 9 7 2 2 2 2" xfId="17560" xr:uid="{00000000-0005-0000-0000-0000CA440000}"/>
    <cellStyle name="Normal 9 7 2 2 2 3" xfId="17561" xr:uid="{00000000-0005-0000-0000-0000CB440000}"/>
    <cellStyle name="Normal 9 7 2 2 3" xfId="17562" xr:uid="{00000000-0005-0000-0000-0000CC440000}"/>
    <cellStyle name="Normal 9 7 2 2 4" xfId="17563" xr:uid="{00000000-0005-0000-0000-0000CD440000}"/>
    <cellStyle name="Normal 9 7 2 3" xfId="17564" xr:uid="{00000000-0005-0000-0000-0000CE440000}"/>
    <cellStyle name="Normal 9 7 2 3 2" xfId="17565" xr:uid="{00000000-0005-0000-0000-0000CF440000}"/>
    <cellStyle name="Normal 9 7 2 3 3" xfId="17566" xr:uid="{00000000-0005-0000-0000-0000D0440000}"/>
    <cellStyle name="Normal 9 7 2 4" xfId="17567" xr:uid="{00000000-0005-0000-0000-0000D1440000}"/>
    <cellStyle name="Normal 9 7 2 5" xfId="17568" xr:uid="{00000000-0005-0000-0000-0000D2440000}"/>
    <cellStyle name="Normal 9 7 3" xfId="17569" xr:uid="{00000000-0005-0000-0000-0000D3440000}"/>
    <cellStyle name="Normal 9 7 3 2" xfId="17570" xr:uid="{00000000-0005-0000-0000-0000D4440000}"/>
    <cellStyle name="Normal 9 7 3 2 2" xfId="17571" xr:uid="{00000000-0005-0000-0000-0000D5440000}"/>
    <cellStyle name="Normal 9 7 3 2 3" xfId="17572" xr:uid="{00000000-0005-0000-0000-0000D6440000}"/>
    <cellStyle name="Normal 9 7 3 3" xfId="17573" xr:uid="{00000000-0005-0000-0000-0000D7440000}"/>
    <cellStyle name="Normal 9 7 3 4" xfId="17574" xr:uid="{00000000-0005-0000-0000-0000D8440000}"/>
    <cellStyle name="Normal 9 7 4" xfId="17575" xr:uid="{00000000-0005-0000-0000-0000D9440000}"/>
    <cellStyle name="Normal 9 7 4 2" xfId="17576" xr:uid="{00000000-0005-0000-0000-0000DA440000}"/>
    <cellStyle name="Normal 9 7 4 3" xfId="17577" xr:uid="{00000000-0005-0000-0000-0000DB440000}"/>
    <cellStyle name="Normal 9 7 5" xfId="17578" xr:uid="{00000000-0005-0000-0000-0000DC440000}"/>
    <cellStyle name="Normal 9 7 6" xfId="17579" xr:uid="{00000000-0005-0000-0000-0000DD440000}"/>
    <cellStyle name="Normal 9 8" xfId="17580" xr:uid="{00000000-0005-0000-0000-0000DE440000}"/>
    <cellStyle name="Normal 9 8 2" xfId="17581" xr:uid="{00000000-0005-0000-0000-0000DF440000}"/>
    <cellStyle name="Normal 9 8 2 2" xfId="17582" xr:uid="{00000000-0005-0000-0000-0000E0440000}"/>
    <cellStyle name="Normal 9 8 2 2 2" xfId="17583" xr:uid="{00000000-0005-0000-0000-0000E1440000}"/>
    <cellStyle name="Normal 9 8 2 2 2 2" xfId="17584" xr:uid="{00000000-0005-0000-0000-0000E2440000}"/>
    <cellStyle name="Normal 9 8 2 2 2 3" xfId="17585" xr:uid="{00000000-0005-0000-0000-0000E3440000}"/>
    <cellStyle name="Normal 9 8 2 2 3" xfId="17586" xr:uid="{00000000-0005-0000-0000-0000E4440000}"/>
    <cellStyle name="Normal 9 8 2 2 4" xfId="17587" xr:uid="{00000000-0005-0000-0000-0000E5440000}"/>
    <cellStyle name="Normal 9 8 2 3" xfId="17588" xr:uid="{00000000-0005-0000-0000-0000E6440000}"/>
    <cellStyle name="Normal 9 8 2 3 2" xfId="17589" xr:uid="{00000000-0005-0000-0000-0000E7440000}"/>
    <cellStyle name="Normal 9 8 2 3 3" xfId="17590" xr:uid="{00000000-0005-0000-0000-0000E8440000}"/>
    <cellStyle name="Normal 9 8 2 4" xfId="17591" xr:uid="{00000000-0005-0000-0000-0000E9440000}"/>
    <cellStyle name="Normal 9 8 2 5" xfId="17592" xr:uid="{00000000-0005-0000-0000-0000EA440000}"/>
    <cellStyle name="Normal 9 8 3" xfId="17593" xr:uid="{00000000-0005-0000-0000-0000EB440000}"/>
    <cellStyle name="Normal 9 8 3 2" xfId="17594" xr:uid="{00000000-0005-0000-0000-0000EC440000}"/>
    <cellStyle name="Normal 9 8 3 2 2" xfId="17595" xr:uid="{00000000-0005-0000-0000-0000ED440000}"/>
    <cellStyle name="Normal 9 8 3 2 3" xfId="17596" xr:uid="{00000000-0005-0000-0000-0000EE440000}"/>
    <cellStyle name="Normal 9 8 3 3" xfId="17597" xr:uid="{00000000-0005-0000-0000-0000EF440000}"/>
    <cellStyle name="Normal 9 8 3 4" xfId="17598" xr:uid="{00000000-0005-0000-0000-0000F0440000}"/>
    <cellStyle name="Normal 9 8 4" xfId="17599" xr:uid="{00000000-0005-0000-0000-0000F1440000}"/>
    <cellStyle name="Normal 9 8 4 2" xfId="17600" xr:uid="{00000000-0005-0000-0000-0000F2440000}"/>
    <cellStyle name="Normal 9 8 4 3" xfId="17601" xr:uid="{00000000-0005-0000-0000-0000F3440000}"/>
    <cellStyle name="Normal 9 8 5" xfId="17602" xr:uid="{00000000-0005-0000-0000-0000F4440000}"/>
    <cellStyle name="Normal 9 8 6" xfId="17603" xr:uid="{00000000-0005-0000-0000-0000F5440000}"/>
    <cellStyle name="Normal 9 9" xfId="17604" xr:uid="{00000000-0005-0000-0000-0000F6440000}"/>
    <cellStyle name="Normal 9 9 2" xfId="17605" xr:uid="{00000000-0005-0000-0000-0000F7440000}"/>
    <cellStyle name="Normal 9 9 2 2" xfId="17606" xr:uid="{00000000-0005-0000-0000-0000F8440000}"/>
    <cellStyle name="Normal 9 9 2 2 2" xfId="17607" xr:uid="{00000000-0005-0000-0000-0000F9440000}"/>
    <cellStyle name="Normal 9 9 2 2 2 2" xfId="17608" xr:uid="{00000000-0005-0000-0000-0000FA440000}"/>
    <cellStyle name="Normal 9 9 2 2 2 3" xfId="17609" xr:uid="{00000000-0005-0000-0000-0000FB440000}"/>
    <cellStyle name="Normal 9 9 2 2 3" xfId="17610" xr:uid="{00000000-0005-0000-0000-0000FC440000}"/>
    <cellStyle name="Normal 9 9 2 2 4" xfId="17611" xr:uid="{00000000-0005-0000-0000-0000FD440000}"/>
    <cellStyle name="Normal 9 9 2 3" xfId="17612" xr:uid="{00000000-0005-0000-0000-0000FE440000}"/>
    <cellStyle name="Normal 9 9 2 3 2" xfId="17613" xr:uid="{00000000-0005-0000-0000-0000FF440000}"/>
    <cellStyle name="Normal 9 9 2 3 3" xfId="17614" xr:uid="{00000000-0005-0000-0000-000000450000}"/>
    <cellStyle name="Normal 9 9 2 4" xfId="17615" xr:uid="{00000000-0005-0000-0000-000001450000}"/>
    <cellStyle name="Normal 9 9 2 5" xfId="17616" xr:uid="{00000000-0005-0000-0000-000002450000}"/>
    <cellStyle name="Normal 9 9 3" xfId="17617" xr:uid="{00000000-0005-0000-0000-000003450000}"/>
    <cellStyle name="Normal 9 9 3 2" xfId="17618" xr:uid="{00000000-0005-0000-0000-000004450000}"/>
    <cellStyle name="Normal 9 9 3 2 2" xfId="17619" xr:uid="{00000000-0005-0000-0000-000005450000}"/>
    <cellStyle name="Normal 9 9 3 2 3" xfId="17620" xr:uid="{00000000-0005-0000-0000-000006450000}"/>
    <cellStyle name="Normal 9 9 3 3" xfId="17621" xr:uid="{00000000-0005-0000-0000-000007450000}"/>
    <cellStyle name="Normal 9 9 3 4" xfId="17622" xr:uid="{00000000-0005-0000-0000-000008450000}"/>
    <cellStyle name="Normal 9 9 4" xfId="17623" xr:uid="{00000000-0005-0000-0000-000009450000}"/>
    <cellStyle name="Normal 9 9 4 2" xfId="17624" xr:uid="{00000000-0005-0000-0000-00000A450000}"/>
    <cellStyle name="Normal 9 9 4 3" xfId="17625" xr:uid="{00000000-0005-0000-0000-00000B450000}"/>
    <cellStyle name="Normal 9 9 5" xfId="17626" xr:uid="{00000000-0005-0000-0000-00000C450000}"/>
    <cellStyle name="Normal 9 9 6" xfId="17627" xr:uid="{00000000-0005-0000-0000-00000D450000}"/>
    <cellStyle name="Normal_2006 Sch 25 Data" xfId="3" xr:uid="{00000000-0005-0000-0000-00000E450000}"/>
    <cellStyle name="Normal_Book8" xfId="4" xr:uid="{00000000-0005-0000-0000-00000F450000}"/>
    <cellStyle name="Normal_demand est" xfId="5" xr:uid="{00000000-0005-0000-0000-000010450000}"/>
    <cellStyle name="Normal_Hourly Demand Calc" xfId="6" xr:uid="{00000000-0005-0000-0000-000011450000}"/>
    <cellStyle name="Normal_RevenueElec_12MEDec2005" xfId="7" xr:uid="{00000000-0005-0000-0000-000012450000}"/>
    <cellStyle name="Normal_Sys Pk data from PT% calc" xfId="8" xr:uid="{00000000-0005-0000-0000-000013450000}"/>
    <cellStyle name="Normal_WSCoefficientSum05" xfId="9" xr:uid="{00000000-0005-0000-0000-000014450000}"/>
    <cellStyle name="Note 2" xfId="17628" xr:uid="{00000000-0005-0000-0000-000015450000}"/>
    <cellStyle name="Note 2 10" xfId="17629" xr:uid="{00000000-0005-0000-0000-000016450000}"/>
    <cellStyle name="Note 2 11" xfId="17630" xr:uid="{00000000-0005-0000-0000-000017450000}"/>
    <cellStyle name="Note 2 12" xfId="17631" xr:uid="{00000000-0005-0000-0000-000018450000}"/>
    <cellStyle name="Note 2 13" xfId="17632" xr:uid="{00000000-0005-0000-0000-000019450000}"/>
    <cellStyle name="Note 2 14" xfId="17633" xr:uid="{00000000-0005-0000-0000-00001A450000}"/>
    <cellStyle name="Note 2 15" xfId="17634" xr:uid="{00000000-0005-0000-0000-00001B450000}"/>
    <cellStyle name="Note 2 2" xfId="17635" xr:uid="{00000000-0005-0000-0000-00001C450000}"/>
    <cellStyle name="Note 2 2 2" xfId="17636" xr:uid="{00000000-0005-0000-0000-00001D450000}"/>
    <cellStyle name="Note 2 2 2 2" xfId="17637" xr:uid="{00000000-0005-0000-0000-00001E450000}"/>
    <cellStyle name="Note 2 2 2 2 2" xfId="17638" xr:uid="{00000000-0005-0000-0000-00001F450000}"/>
    <cellStyle name="Note 2 2 2 2 3" xfId="17639" xr:uid="{00000000-0005-0000-0000-000020450000}"/>
    <cellStyle name="Note 2 2 2 3" xfId="17640" xr:uid="{00000000-0005-0000-0000-000021450000}"/>
    <cellStyle name="Note 2 2 2 4" xfId="17641" xr:uid="{00000000-0005-0000-0000-000022450000}"/>
    <cellStyle name="Note 2 2 3" xfId="17642" xr:uid="{00000000-0005-0000-0000-000023450000}"/>
    <cellStyle name="Note 2 2 3 2" xfId="17643" xr:uid="{00000000-0005-0000-0000-000024450000}"/>
    <cellStyle name="Note 2 2 3 3" xfId="17644" xr:uid="{00000000-0005-0000-0000-000025450000}"/>
    <cellStyle name="Note 2 2 4" xfId="17645" xr:uid="{00000000-0005-0000-0000-000026450000}"/>
    <cellStyle name="Note 2 2 5" xfId="17646" xr:uid="{00000000-0005-0000-0000-000027450000}"/>
    <cellStyle name="Note 2 3" xfId="17647" xr:uid="{00000000-0005-0000-0000-000028450000}"/>
    <cellStyle name="Note 2 3 2" xfId="17648" xr:uid="{00000000-0005-0000-0000-000029450000}"/>
    <cellStyle name="Note 2 3 2 2" xfId="17649" xr:uid="{00000000-0005-0000-0000-00002A450000}"/>
    <cellStyle name="Note 2 3 2 3" xfId="17650" xr:uid="{00000000-0005-0000-0000-00002B450000}"/>
    <cellStyle name="Note 2 3 3" xfId="17651" xr:uid="{00000000-0005-0000-0000-00002C450000}"/>
    <cellStyle name="Note 2 3 4" xfId="17652" xr:uid="{00000000-0005-0000-0000-00002D450000}"/>
    <cellStyle name="Note 2 4" xfId="17653" xr:uid="{00000000-0005-0000-0000-00002E450000}"/>
    <cellStyle name="Note 2 4 2" xfId="17654" xr:uid="{00000000-0005-0000-0000-00002F450000}"/>
    <cellStyle name="Note 2 4 3" xfId="17655" xr:uid="{00000000-0005-0000-0000-000030450000}"/>
    <cellStyle name="Note 2 5" xfId="17656" xr:uid="{00000000-0005-0000-0000-000031450000}"/>
    <cellStyle name="Note 2 6" xfId="17657" xr:uid="{00000000-0005-0000-0000-000032450000}"/>
    <cellStyle name="Note 2 7" xfId="17658" xr:uid="{00000000-0005-0000-0000-000033450000}"/>
    <cellStyle name="Note 2 8" xfId="17659" xr:uid="{00000000-0005-0000-0000-000034450000}"/>
    <cellStyle name="Note 2 9" xfId="17660" xr:uid="{00000000-0005-0000-0000-000035450000}"/>
    <cellStyle name="Note 3" xfId="17661" xr:uid="{00000000-0005-0000-0000-000036450000}"/>
    <cellStyle name="Note 3 2" xfId="17662" xr:uid="{00000000-0005-0000-0000-000037450000}"/>
    <cellStyle name="Note 3 2 2" xfId="17663" xr:uid="{00000000-0005-0000-0000-000038450000}"/>
    <cellStyle name="Note 3 2 2 2" xfId="17664" xr:uid="{00000000-0005-0000-0000-000039450000}"/>
    <cellStyle name="Note 3 2 2 2 2" xfId="17665" xr:uid="{00000000-0005-0000-0000-00003A450000}"/>
    <cellStyle name="Note 3 2 2 2 3" xfId="17666" xr:uid="{00000000-0005-0000-0000-00003B450000}"/>
    <cellStyle name="Note 3 2 2 3" xfId="17667" xr:uid="{00000000-0005-0000-0000-00003C450000}"/>
    <cellStyle name="Note 3 2 2 4" xfId="17668" xr:uid="{00000000-0005-0000-0000-00003D450000}"/>
    <cellStyle name="Note 3 2 3" xfId="17669" xr:uid="{00000000-0005-0000-0000-00003E450000}"/>
    <cellStyle name="Note 3 2 3 2" xfId="17670" xr:uid="{00000000-0005-0000-0000-00003F450000}"/>
    <cellStyle name="Note 3 2 3 3" xfId="17671" xr:uid="{00000000-0005-0000-0000-000040450000}"/>
    <cellStyle name="Note 3 2 4" xfId="17672" xr:uid="{00000000-0005-0000-0000-000041450000}"/>
    <cellStyle name="Note 3 2 5" xfId="17673" xr:uid="{00000000-0005-0000-0000-000042450000}"/>
    <cellStyle name="Note 3 3" xfId="17674" xr:uid="{00000000-0005-0000-0000-000043450000}"/>
    <cellStyle name="Note 3 3 2" xfId="17675" xr:uid="{00000000-0005-0000-0000-000044450000}"/>
    <cellStyle name="Note 3 3 2 2" xfId="17676" xr:uid="{00000000-0005-0000-0000-000045450000}"/>
    <cellStyle name="Note 3 3 2 3" xfId="17677" xr:uid="{00000000-0005-0000-0000-000046450000}"/>
    <cellStyle name="Note 3 3 3" xfId="17678" xr:uid="{00000000-0005-0000-0000-000047450000}"/>
    <cellStyle name="Note 3 3 4" xfId="17679" xr:uid="{00000000-0005-0000-0000-000048450000}"/>
    <cellStyle name="Note 3 4" xfId="17680" xr:uid="{00000000-0005-0000-0000-000049450000}"/>
    <cellStyle name="Note 3 4 2" xfId="17681" xr:uid="{00000000-0005-0000-0000-00004A450000}"/>
    <cellStyle name="Note 3 4 3" xfId="17682" xr:uid="{00000000-0005-0000-0000-00004B450000}"/>
    <cellStyle name="Note 3 5" xfId="17683" xr:uid="{00000000-0005-0000-0000-00004C450000}"/>
    <cellStyle name="Note 3 6" xfId="17684" xr:uid="{00000000-0005-0000-0000-00004D450000}"/>
    <cellStyle name="Note 4" xfId="17685" xr:uid="{00000000-0005-0000-0000-00004E450000}"/>
    <cellStyle name="Note 4 2" xfId="17686" xr:uid="{00000000-0005-0000-0000-00004F450000}"/>
    <cellStyle name="Note 4 2 2" xfId="17687" xr:uid="{00000000-0005-0000-0000-000050450000}"/>
    <cellStyle name="Note 4 2 2 2" xfId="17688" xr:uid="{00000000-0005-0000-0000-000051450000}"/>
    <cellStyle name="Note 4 2 2 2 2" xfId="17689" xr:uid="{00000000-0005-0000-0000-000052450000}"/>
    <cellStyle name="Note 4 2 2 2 3" xfId="17690" xr:uid="{00000000-0005-0000-0000-000053450000}"/>
    <cellStyle name="Note 4 2 2 3" xfId="17691" xr:uid="{00000000-0005-0000-0000-000054450000}"/>
    <cellStyle name="Note 4 2 2 4" xfId="17692" xr:uid="{00000000-0005-0000-0000-000055450000}"/>
    <cellStyle name="Note 4 2 3" xfId="17693" xr:uid="{00000000-0005-0000-0000-000056450000}"/>
    <cellStyle name="Note 4 2 3 2" xfId="17694" xr:uid="{00000000-0005-0000-0000-000057450000}"/>
    <cellStyle name="Note 4 2 3 3" xfId="17695" xr:uid="{00000000-0005-0000-0000-000058450000}"/>
    <cellStyle name="Note 4 2 4" xfId="17696" xr:uid="{00000000-0005-0000-0000-000059450000}"/>
    <cellStyle name="Note 4 2 5" xfId="17697" xr:uid="{00000000-0005-0000-0000-00005A450000}"/>
    <cellStyle name="Note 4 3" xfId="17698" xr:uid="{00000000-0005-0000-0000-00005B450000}"/>
    <cellStyle name="Note 4 3 2" xfId="17699" xr:uid="{00000000-0005-0000-0000-00005C450000}"/>
    <cellStyle name="Note 4 3 2 2" xfId="17700" xr:uid="{00000000-0005-0000-0000-00005D450000}"/>
    <cellStyle name="Note 4 3 2 3" xfId="17701" xr:uid="{00000000-0005-0000-0000-00005E450000}"/>
    <cellStyle name="Note 4 3 3" xfId="17702" xr:uid="{00000000-0005-0000-0000-00005F450000}"/>
    <cellStyle name="Note 4 3 4" xfId="17703" xr:uid="{00000000-0005-0000-0000-000060450000}"/>
    <cellStyle name="Note 4 4" xfId="17704" xr:uid="{00000000-0005-0000-0000-000061450000}"/>
    <cellStyle name="Note 4 4 2" xfId="17705" xr:uid="{00000000-0005-0000-0000-000062450000}"/>
    <cellStyle name="Note 4 4 3" xfId="17706" xr:uid="{00000000-0005-0000-0000-000063450000}"/>
    <cellStyle name="Note 4 5" xfId="17707" xr:uid="{00000000-0005-0000-0000-000064450000}"/>
    <cellStyle name="Note 4 6" xfId="17708" xr:uid="{00000000-0005-0000-0000-000065450000}"/>
    <cellStyle name="Note 5" xfId="17709" xr:uid="{00000000-0005-0000-0000-000066450000}"/>
    <cellStyle name="Note 6" xfId="17710" xr:uid="{00000000-0005-0000-0000-000067450000}"/>
    <cellStyle name="Note 6 2" xfId="17711" xr:uid="{00000000-0005-0000-0000-000068450000}"/>
    <cellStyle name="Note 6 2 2" xfId="17712" xr:uid="{00000000-0005-0000-0000-000069450000}"/>
    <cellStyle name="Note 6 3" xfId="17713" xr:uid="{00000000-0005-0000-0000-00006A450000}"/>
    <cellStyle name="Note 6 3 2" xfId="17714" xr:uid="{00000000-0005-0000-0000-00006B450000}"/>
    <cellStyle name="Note 6 4" xfId="17715" xr:uid="{00000000-0005-0000-0000-00006C450000}"/>
    <cellStyle name="Note 6 4 2" xfId="17716" xr:uid="{00000000-0005-0000-0000-00006D450000}"/>
    <cellStyle name="Note 6 5" xfId="17717" xr:uid="{00000000-0005-0000-0000-00006E450000}"/>
    <cellStyle name="Note 6 5 2" xfId="17718" xr:uid="{00000000-0005-0000-0000-00006F450000}"/>
    <cellStyle name="Note 6 6" xfId="17719" xr:uid="{00000000-0005-0000-0000-000070450000}"/>
    <cellStyle name="Note 7" xfId="17720" xr:uid="{00000000-0005-0000-0000-000071450000}"/>
    <cellStyle name="Note 7 2" xfId="17721" xr:uid="{00000000-0005-0000-0000-000072450000}"/>
    <cellStyle name="Note 7 2 2" xfId="17722" xr:uid="{00000000-0005-0000-0000-000073450000}"/>
    <cellStyle name="Note 7 2 2 2" xfId="17723" xr:uid="{00000000-0005-0000-0000-000074450000}"/>
    <cellStyle name="Note 7 2 2 2 2" xfId="17724" xr:uid="{00000000-0005-0000-0000-000075450000}"/>
    <cellStyle name="Note 7 2 2 2 3" xfId="17725" xr:uid="{00000000-0005-0000-0000-000076450000}"/>
    <cellStyle name="Note 7 2 2 3" xfId="17726" xr:uid="{00000000-0005-0000-0000-000077450000}"/>
    <cellStyle name="Note 7 2 2 4" xfId="17727" xr:uid="{00000000-0005-0000-0000-000078450000}"/>
    <cellStyle name="Note 7 2 3" xfId="17728" xr:uid="{00000000-0005-0000-0000-000079450000}"/>
    <cellStyle name="Note 7 2 3 2" xfId="17729" xr:uid="{00000000-0005-0000-0000-00007A450000}"/>
    <cellStyle name="Note 7 2 3 3" xfId="17730" xr:uid="{00000000-0005-0000-0000-00007B450000}"/>
    <cellStyle name="Note 7 2 4" xfId="17731" xr:uid="{00000000-0005-0000-0000-00007C450000}"/>
    <cellStyle name="Note 7 2 5" xfId="17732" xr:uid="{00000000-0005-0000-0000-00007D450000}"/>
    <cellStyle name="Note 7 3" xfId="17733" xr:uid="{00000000-0005-0000-0000-00007E450000}"/>
    <cellStyle name="Note 7 3 2" xfId="17734" xr:uid="{00000000-0005-0000-0000-00007F450000}"/>
    <cellStyle name="Note 7 3 2 2" xfId="17735" xr:uid="{00000000-0005-0000-0000-000080450000}"/>
    <cellStyle name="Note 7 3 2 3" xfId="17736" xr:uid="{00000000-0005-0000-0000-000081450000}"/>
    <cellStyle name="Note 7 3 3" xfId="17737" xr:uid="{00000000-0005-0000-0000-000082450000}"/>
    <cellStyle name="Note 7 3 4" xfId="17738" xr:uid="{00000000-0005-0000-0000-000083450000}"/>
    <cellStyle name="Note 7 4" xfId="17739" xr:uid="{00000000-0005-0000-0000-000084450000}"/>
    <cellStyle name="Note 7 4 2" xfId="17740" xr:uid="{00000000-0005-0000-0000-000085450000}"/>
    <cellStyle name="Note 7 4 3" xfId="17741" xr:uid="{00000000-0005-0000-0000-000086450000}"/>
    <cellStyle name="Note 7 5" xfId="17742" xr:uid="{00000000-0005-0000-0000-000087450000}"/>
    <cellStyle name="Note 7 6" xfId="17743" xr:uid="{00000000-0005-0000-0000-000088450000}"/>
    <cellStyle name="Note 8" xfId="21932" xr:uid="{00000000-0005-0000-0000-000089450000}"/>
    <cellStyle name="Output" xfId="21899" builtinId="21" customBuiltin="1"/>
    <cellStyle name="Output 2" xfId="17744" xr:uid="{00000000-0005-0000-0000-00008B450000}"/>
    <cellStyle name="Output 3" xfId="17745" xr:uid="{00000000-0005-0000-0000-00008C450000}"/>
    <cellStyle name="Output 4" xfId="17746" xr:uid="{00000000-0005-0000-0000-00008D450000}"/>
    <cellStyle name="Output 5" xfId="17747" xr:uid="{00000000-0005-0000-0000-00008E450000}"/>
    <cellStyle name="Output 6" xfId="17748" xr:uid="{00000000-0005-0000-0000-00008F450000}"/>
    <cellStyle name="Output 6 2" xfId="17749" xr:uid="{00000000-0005-0000-0000-000090450000}"/>
    <cellStyle name="Output 6 2 2" xfId="17750" xr:uid="{00000000-0005-0000-0000-000091450000}"/>
    <cellStyle name="Output 6 3" xfId="17751" xr:uid="{00000000-0005-0000-0000-000092450000}"/>
    <cellStyle name="Output 6 3 2" xfId="17752" xr:uid="{00000000-0005-0000-0000-000093450000}"/>
    <cellStyle name="Output 6 4" xfId="17753" xr:uid="{00000000-0005-0000-0000-000094450000}"/>
    <cellStyle name="Output 6 4 2" xfId="17754" xr:uid="{00000000-0005-0000-0000-000095450000}"/>
    <cellStyle name="Output 6 5" xfId="17755" xr:uid="{00000000-0005-0000-0000-000096450000}"/>
    <cellStyle name="Output 6 5 2" xfId="17756" xr:uid="{00000000-0005-0000-0000-000097450000}"/>
    <cellStyle name="Output 6 6" xfId="17757" xr:uid="{00000000-0005-0000-0000-000098450000}"/>
    <cellStyle name="Output Amounts" xfId="17758" xr:uid="{00000000-0005-0000-0000-000099450000}"/>
    <cellStyle name="Output Column Headings" xfId="17759" xr:uid="{00000000-0005-0000-0000-00009A450000}"/>
    <cellStyle name="Output highlight" xfId="17760" xr:uid="{00000000-0005-0000-0000-00009B450000}"/>
    <cellStyle name="Output highlight 2" xfId="17761" xr:uid="{00000000-0005-0000-0000-00009C450000}"/>
    <cellStyle name="Output Line Items" xfId="17762" xr:uid="{00000000-0005-0000-0000-00009D450000}"/>
    <cellStyle name="Output Report Heading" xfId="17763" xr:uid="{00000000-0005-0000-0000-00009E450000}"/>
    <cellStyle name="Output Report Title" xfId="17764" xr:uid="{00000000-0005-0000-0000-00009F450000}"/>
    <cellStyle name="Percent" xfId="10" builtinId="5"/>
    <cellStyle name="Percent %" xfId="17765" xr:uid="{00000000-0005-0000-0000-0000A1450000}"/>
    <cellStyle name="Percent % Long Underline" xfId="17766" xr:uid="{00000000-0005-0000-0000-0000A2450000}"/>
    <cellStyle name="Percent 0.0%" xfId="17767" xr:uid="{00000000-0005-0000-0000-0000A3450000}"/>
    <cellStyle name="Percent 0.0% Long Underline" xfId="17768" xr:uid="{00000000-0005-0000-0000-0000A4450000}"/>
    <cellStyle name="Percent 0.00%" xfId="17769" xr:uid="{00000000-0005-0000-0000-0000A5450000}"/>
    <cellStyle name="Percent 0.00% Long Underline" xfId="17770" xr:uid="{00000000-0005-0000-0000-0000A6450000}"/>
    <cellStyle name="Percent 0.000%" xfId="17771" xr:uid="{00000000-0005-0000-0000-0000A7450000}"/>
    <cellStyle name="Percent 0.000% Long Underline" xfId="17772" xr:uid="{00000000-0005-0000-0000-0000A8450000}"/>
    <cellStyle name="Percent 0.0000%" xfId="17773" xr:uid="{00000000-0005-0000-0000-0000A9450000}"/>
    <cellStyle name="Percent 0.0000% Long Underline" xfId="17774" xr:uid="{00000000-0005-0000-0000-0000AA450000}"/>
    <cellStyle name="Percent 10" xfId="17775" xr:uid="{00000000-0005-0000-0000-0000AB450000}"/>
    <cellStyle name="Percent 10 2" xfId="17776" xr:uid="{00000000-0005-0000-0000-0000AC450000}"/>
    <cellStyle name="Percent 10 2 2" xfId="17777" xr:uid="{00000000-0005-0000-0000-0000AD450000}"/>
    <cellStyle name="Percent 10 2 3" xfId="17778" xr:uid="{00000000-0005-0000-0000-0000AE450000}"/>
    <cellStyle name="Percent 10 3" xfId="17779" xr:uid="{00000000-0005-0000-0000-0000AF450000}"/>
    <cellStyle name="Percent 100" xfId="17780" xr:uid="{00000000-0005-0000-0000-0000B0450000}"/>
    <cellStyle name="Percent 101" xfId="17781" xr:uid="{00000000-0005-0000-0000-0000B1450000}"/>
    <cellStyle name="Percent 102" xfId="17782" xr:uid="{00000000-0005-0000-0000-0000B2450000}"/>
    <cellStyle name="Percent 103" xfId="17783" xr:uid="{00000000-0005-0000-0000-0000B3450000}"/>
    <cellStyle name="Percent 104" xfId="17784" xr:uid="{00000000-0005-0000-0000-0000B4450000}"/>
    <cellStyle name="Percent 105" xfId="17785" xr:uid="{00000000-0005-0000-0000-0000B5450000}"/>
    <cellStyle name="Percent 106" xfId="17786" xr:uid="{00000000-0005-0000-0000-0000B6450000}"/>
    <cellStyle name="Percent 107" xfId="17787" xr:uid="{00000000-0005-0000-0000-0000B7450000}"/>
    <cellStyle name="Percent 108" xfId="17788" xr:uid="{00000000-0005-0000-0000-0000B8450000}"/>
    <cellStyle name="Percent 109" xfId="17789" xr:uid="{00000000-0005-0000-0000-0000B9450000}"/>
    <cellStyle name="Percent 11" xfId="17790" xr:uid="{00000000-0005-0000-0000-0000BA450000}"/>
    <cellStyle name="Percent 11 2" xfId="17791" xr:uid="{00000000-0005-0000-0000-0000BB450000}"/>
    <cellStyle name="Percent 11 2 2" xfId="17792" xr:uid="{00000000-0005-0000-0000-0000BC450000}"/>
    <cellStyle name="Percent 11 2 3" xfId="17793" xr:uid="{00000000-0005-0000-0000-0000BD450000}"/>
    <cellStyle name="Percent 110" xfId="17794" xr:uid="{00000000-0005-0000-0000-0000BE450000}"/>
    <cellStyle name="Percent 111" xfId="17795" xr:uid="{00000000-0005-0000-0000-0000BF450000}"/>
    <cellStyle name="Percent 112" xfId="17796" xr:uid="{00000000-0005-0000-0000-0000C0450000}"/>
    <cellStyle name="Percent 113" xfId="17797" xr:uid="{00000000-0005-0000-0000-0000C1450000}"/>
    <cellStyle name="Percent 114" xfId="17798" xr:uid="{00000000-0005-0000-0000-0000C2450000}"/>
    <cellStyle name="Percent 115" xfId="17799" xr:uid="{00000000-0005-0000-0000-0000C3450000}"/>
    <cellStyle name="Percent 116" xfId="17800" xr:uid="{00000000-0005-0000-0000-0000C4450000}"/>
    <cellStyle name="Percent 117" xfId="17801" xr:uid="{00000000-0005-0000-0000-0000C5450000}"/>
    <cellStyle name="Percent 118" xfId="17802" xr:uid="{00000000-0005-0000-0000-0000C6450000}"/>
    <cellStyle name="Percent 119" xfId="17803" xr:uid="{00000000-0005-0000-0000-0000C7450000}"/>
    <cellStyle name="Percent 12" xfId="17804" xr:uid="{00000000-0005-0000-0000-0000C8450000}"/>
    <cellStyle name="Percent 12 2" xfId="17805" xr:uid="{00000000-0005-0000-0000-0000C9450000}"/>
    <cellStyle name="Percent 12 2 2" xfId="17806" xr:uid="{00000000-0005-0000-0000-0000CA450000}"/>
    <cellStyle name="Percent 12 2 3" xfId="17807" xr:uid="{00000000-0005-0000-0000-0000CB450000}"/>
    <cellStyle name="Percent 120" xfId="17808" xr:uid="{00000000-0005-0000-0000-0000CC450000}"/>
    <cellStyle name="Percent 120 2" xfId="17809" xr:uid="{00000000-0005-0000-0000-0000CD450000}"/>
    <cellStyle name="Percent 120 2 2" xfId="17810" xr:uid="{00000000-0005-0000-0000-0000CE450000}"/>
    <cellStyle name="Percent 120 2 2 2" xfId="17811" xr:uid="{00000000-0005-0000-0000-0000CF450000}"/>
    <cellStyle name="Percent 120 2 2 2 2" xfId="17812" xr:uid="{00000000-0005-0000-0000-0000D0450000}"/>
    <cellStyle name="Percent 120 2 2 2 3" xfId="17813" xr:uid="{00000000-0005-0000-0000-0000D1450000}"/>
    <cellStyle name="Percent 120 2 2 3" xfId="17814" xr:uid="{00000000-0005-0000-0000-0000D2450000}"/>
    <cellStyle name="Percent 120 2 2 4" xfId="17815" xr:uid="{00000000-0005-0000-0000-0000D3450000}"/>
    <cellStyle name="Percent 120 2 3" xfId="17816" xr:uid="{00000000-0005-0000-0000-0000D4450000}"/>
    <cellStyle name="Percent 120 2 3 2" xfId="17817" xr:uid="{00000000-0005-0000-0000-0000D5450000}"/>
    <cellStyle name="Percent 120 2 3 3" xfId="17818" xr:uid="{00000000-0005-0000-0000-0000D6450000}"/>
    <cellStyle name="Percent 120 2 4" xfId="17819" xr:uid="{00000000-0005-0000-0000-0000D7450000}"/>
    <cellStyle name="Percent 120 2 5" xfId="17820" xr:uid="{00000000-0005-0000-0000-0000D8450000}"/>
    <cellStyle name="Percent 120 3" xfId="17821" xr:uid="{00000000-0005-0000-0000-0000D9450000}"/>
    <cellStyle name="Percent 120 3 2" xfId="17822" xr:uid="{00000000-0005-0000-0000-0000DA450000}"/>
    <cellStyle name="Percent 120 3 2 2" xfId="17823" xr:uid="{00000000-0005-0000-0000-0000DB450000}"/>
    <cellStyle name="Percent 120 3 2 3" xfId="17824" xr:uid="{00000000-0005-0000-0000-0000DC450000}"/>
    <cellStyle name="Percent 120 3 3" xfId="17825" xr:uid="{00000000-0005-0000-0000-0000DD450000}"/>
    <cellStyle name="Percent 120 3 4" xfId="17826" xr:uid="{00000000-0005-0000-0000-0000DE450000}"/>
    <cellStyle name="Percent 120 4" xfId="17827" xr:uid="{00000000-0005-0000-0000-0000DF450000}"/>
    <cellStyle name="Percent 120 4 2" xfId="17828" xr:uid="{00000000-0005-0000-0000-0000E0450000}"/>
    <cellStyle name="Percent 120 4 3" xfId="17829" xr:uid="{00000000-0005-0000-0000-0000E1450000}"/>
    <cellStyle name="Percent 120 5" xfId="17830" xr:uid="{00000000-0005-0000-0000-0000E2450000}"/>
    <cellStyle name="Percent 120 6" xfId="17831" xr:uid="{00000000-0005-0000-0000-0000E3450000}"/>
    <cellStyle name="Percent 121" xfId="17832" xr:uid="{00000000-0005-0000-0000-0000E4450000}"/>
    <cellStyle name="Percent 121 2" xfId="17833" xr:uid="{00000000-0005-0000-0000-0000E5450000}"/>
    <cellStyle name="Percent 121 2 2" xfId="17834" xr:uid="{00000000-0005-0000-0000-0000E6450000}"/>
    <cellStyle name="Percent 121 2 2 2" xfId="17835" xr:uid="{00000000-0005-0000-0000-0000E7450000}"/>
    <cellStyle name="Percent 121 2 2 2 2" xfId="17836" xr:uid="{00000000-0005-0000-0000-0000E8450000}"/>
    <cellStyle name="Percent 121 2 2 2 3" xfId="17837" xr:uid="{00000000-0005-0000-0000-0000E9450000}"/>
    <cellStyle name="Percent 121 2 2 3" xfId="17838" xr:uid="{00000000-0005-0000-0000-0000EA450000}"/>
    <cellStyle name="Percent 121 2 2 4" xfId="17839" xr:uid="{00000000-0005-0000-0000-0000EB450000}"/>
    <cellStyle name="Percent 121 2 3" xfId="17840" xr:uid="{00000000-0005-0000-0000-0000EC450000}"/>
    <cellStyle name="Percent 121 2 3 2" xfId="17841" xr:uid="{00000000-0005-0000-0000-0000ED450000}"/>
    <cellStyle name="Percent 121 2 3 3" xfId="17842" xr:uid="{00000000-0005-0000-0000-0000EE450000}"/>
    <cellStyle name="Percent 121 2 4" xfId="17843" xr:uid="{00000000-0005-0000-0000-0000EF450000}"/>
    <cellStyle name="Percent 121 2 5" xfId="17844" xr:uid="{00000000-0005-0000-0000-0000F0450000}"/>
    <cellStyle name="Percent 121 3" xfId="17845" xr:uid="{00000000-0005-0000-0000-0000F1450000}"/>
    <cellStyle name="Percent 121 3 2" xfId="17846" xr:uid="{00000000-0005-0000-0000-0000F2450000}"/>
    <cellStyle name="Percent 121 3 2 2" xfId="17847" xr:uid="{00000000-0005-0000-0000-0000F3450000}"/>
    <cellStyle name="Percent 121 3 2 3" xfId="17848" xr:uid="{00000000-0005-0000-0000-0000F4450000}"/>
    <cellStyle name="Percent 121 3 3" xfId="17849" xr:uid="{00000000-0005-0000-0000-0000F5450000}"/>
    <cellStyle name="Percent 121 3 4" xfId="17850" xr:uid="{00000000-0005-0000-0000-0000F6450000}"/>
    <cellStyle name="Percent 121 4" xfId="17851" xr:uid="{00000000-0005-0000-0000-0000F7450000}"/>
    <cellStyle name="Percent 121 4 2" xfId="17852" xr:uid="{00000000-0005-0000-0000-0000F8450000}"/>
    <cellStyle name="Percent 121 4 3" xfId="17853" xr:uid="{00000000-0005-0000-0000-0000F9450000}"/>
    <cellStyle name="Percent 121 5" xfId="17854" xr:uid="{00000000-0005-0000-0000-0000FA450000}"/>
    <cellStyle name="Percent 121 6" xfId="17855" xr:uid="{00000000-0005-0000-0000-0000FB450000}"/>
    <cellStyle name="Percent 122" xfId="17856" xr:uid="{00000000-0005-0000-0000-0000FC450000}"/>
    <cellStyle name="Percent 122 2" xfId="17857" xr:uid="{00000000-0005-0000-0000-0000FD450000}"/>
    <cellStyle name="Percent 122 2 2" xfId="17858" xr:uid="{00000000-0005-0000-0000-0000FE450000}"/>
    <cellStyle name="Percent 122 2 2 2" xfId="17859" xr:uid="{00000000-0005-0000-0000-0000FF450000}"/>
    <cellStyle name="Percent 122 2 2 2 2" xfId="17860" xr:uid="{00000000-0005-0000-0000-000000460000}"/>
    <cellStyle name="Percent 122 2 2 2 3" xfId="17861" xr:uid="{00000000-0005-0000-0000-000001460000}"/>
    <cellStyle name="Percent 122 2 2 3" xfId="17862" xr:uid="{00000000-0005-0000-0000-000002460000}"/>
    <cellStyle name="Percent 122 2 2 4" xfId="17863" xr:uid="{00000000-0005-0000-0000-000003460000}"/>
    <cellStyle name="Percent 122 2 3" xfId="17864" xr:uid="{00000000-0005-0000-0000-000004460000}"/>
    <cellStyle name="Percent 122 2 3 2" xfId="17865" xr:uid="{00000000-0005-0000-0000-000005460000}"/>
    <cellStyle name="Percent 122 2 3 3" xfId="17866" xr:uid="{00000000-0005-0000-0000-000006460000}"/>
    <cellStyle name="Percent 122 2 4" xfId="17867" xr:uid="{00000000-0005-0000-0000-000007460000}"/>
    <cellStyle name="Percent 122 2 5" xfId="17868" xr:uid="{00000000-0005-0000-0000-000008460000}"/>
    <cellStyle name="Percent 122 3" xfId="17869" xr:uid="{00000000-0005-0000-0000-000009460000}"/>
    <cellStyle name="Percent 122 3 2" xfId="17870" xr:uid="{00000000-0005-0000-0000-00000A460000}"/>
    <cellStyle name="Percent 122 3 2 2" xfId="17871" xr:uid="{00000000-0005-0000-0000-00000B460000}"/>
    <cellStyle name="Percent 122 3 2 3" xfId="17872" xr:uid="{00000000-0005-0000-0000-00000C460000}"/>
    <cellStyle name="Percent 122 3 3" xfId="17873" xr:uid="{00000000-0005-0000-0000-00000D460000}"/>
    <cellStyle name="Percent 122 3 4" xfId="17874" xr:uid="{00000000-0005-0000-0000-00000E460000}"/>
    <cellStyle name="Percent 122 4" xfId="17875" xr:uid="{00000000-0005-0000-0000-00000F460000}"/>
    <cellStyle name="Percent 122 4 2" xfId="17876" xr:uid="{00000000-0005-0000-0000-000010460000}"/>
    <cellStyle name="Percent 122 4 3" xfId="17877" xr:uid="{00000000-0005-0000-0000-000011460000}"/>
    <cellStyle name="Percent 122 5" xfId="17878" xr:uid="{00000000-0005-0000-0000-000012460000}"/>
    <cellStyle name="Percent 122 6" xfId="17879" xr:uid="{00000000-0005-0000-0000-000013460000}"/>
    <cellStyle name="Percent 123" xfId="17880" xr:uid="{00000000-0005-0000-0000-000014460000}"/>
    <cellStyle name="Percent 123 2" xfId="17881" xr:uid="{00000000-0005-0000-0000-000015460000}"/>
    <cellStyle name="Percent 123 2 2" xfId="17882" xr:uid="{00000000-0005-0000-0000-000016460000}"/>
    <cellStyle name="Percent 123 2 2 2" xfId="17883" xr:uid="{00000000-0005-0000-0000-000017460000}"/>
    <cellStyle name="Percent 123 2 2 2 2" xfId="17884" xr:uid="{00000000-0005-0000-0000-000018460000}"/>
    <cellStyle name="Percent 123 2 2 2 3" xfId="17885" xr:uid="{00000000-0005-0000-0000-000019460000}"/>
    <cellStyle name="Percent 123 2 2 3" xfId="17886" xr:uid="{00000000-0005-0000-0000-00001A460000}"/>
    <cellStyle name="Percent 123 2 2 4" xfId="17887" xr:uid="{00000000-0005-0000-0000-00001B460000}"/>
    <cellStyle name="Percent 123 2 3" xfId="17888" xr:uid="{00000000-0005-0000-0000-00001C460000}"/>
    <cellStyle name="Percent 123 2 3 2" xfId="17889" xr:uid="{00000000-0005-0000-0000-00001D460000}"/>
    <cellStyle name="Percent 123 2 3 3" xfId="17890" xr:uid="{00000000-0005-0000-0000-00001E460000}"/>
    <cellStyle name="Percent 123 2 4" xfId="17891" xr:uid="{00000000-0005-0000-0000-00001F460000}"/>
    <cellStyle name="Percent 123 2 5" xfId="17892" xr:uid="{00000000-0005-0000-0000-000020460000}"/>
    <cellStyle name="Percent 123 3" xfId="17893" xr:uid="{00000000-0005-0000-0000-000021460000}"/>
    <cellStyle name="Percent 123 3 2" xfId="17894" xr:uid="{00000000-0005-0000-0000-000022460000}"/>
    <cellStyle name="Percent 123 3 2 2" xfId="17895" xr:uid="{00000000-0005-0000-0000-000023460000}"/>
    <cellStyle name="Percent 123 3 2 3" xfId="17896" xr:uid="{00000000-0005-0000-0000-000024460000}"/>
    <cellStyle name="Percent 123 3 3" xfId="17897" xr:uid="{00000000-0005-0000-0000-000025460000}"/>
    <cellStyle name="Percent 123 3 4" xfId="17898" xr:uid="{00000000-0005-0000-0000-000026460000}"/>
    <cellStyle name="Percent 123 4" xfId="17899" xr:uid="{00000000-0005-0000-0000-000027460000}"/>
    <cellStyle name="Percent 123 4 2" xfId="17900" xr:uid="{00000000-0005-0000-0000-000028460000}"/>
    <cellStyle name="Percent 123 4 3" xfId="17901" xr:uid="{00000000-0005-0000-0000-000029460000}"/>
    <cellStyle name="Percent 123 5" xfId="17902" xr:uid="{00000000-0005-0000-0000-00002A460000}"/>
    <cellStyle name="Percent 123 6" xfId="17903" xr:uid="{00000000-0005-0000-0000-00002B460000}"/>
    <cellStyle name="Percent 124" xfId="17904" xr:uid="{00000000-0005-0000-0000-00002C460000}"/>
    <cellStyle name="Percent 124 2" xfId="17905" xr:uid="{00000000-0005-0000-0000-00002D460000}"/>
    <cellStyle name="Percent 124 2 2" xfId="17906" xr:uid="{00000000-0005-0000-0000-00002E460000}"/>
    <cellStyle name="Percent 124 2 2 2" xfId="17907" xr:uid="{00000000-0005-0000-0000-00002F460000}"/>
    <cellStyle name="Percent 124 2 2 2 2" xfId="17908" xr:uid="{00000000-0005-0000-0000-000030460000}"/>
    <cellStyle name="Percent 124 2 2 2 3" xfId="17909" xr:uid="{00000000-0005-0000-0000-000031460000}"/>
    <cellStyle name="Percent 124 2 2 3" xfId="17910" xr:uid="{00000000-0005-0000-0000-000032460000}"/>
    <cellStyle name="Percent 124 2 2 4" xfId="17911" xr:uid="{00000000-0005-0000-0000-000033460000}"/>
    <cellStyle name="Percent 124 2 3" xfId="17912" xr:uid="{00000000-0005-0000-0000-000034460000}"/>
    <cellStyle name="Percent 124 2 3 2" xfId="17913" xr:uid="{00000000-0005-0000-0000-000035460000}"/>
    <cellStyle name="Percent 124 2 3 3" xfId="17914" xr:uid="{00000000-0005-0000-0000-000036460000}"/>
    <cellStyle name="Percent 124 2 4" xfId="17915" xr:uid="{00000000-0005-0000-0000-000037460000}"/>
    <cellStyle name="Percent 124 2 5" xfId="17916" xr:uid="{00000000-0005-0000-0000-000038460000}"/>
    <cellStyle name="Percent 124 3" xfId="17917" xr:uid="{00000000-0005-0000-0000-000039460000}"/>
    <cellStyle name="Percent 124 3 2" xfId="17918" xr:uid="{00000000-0005-0000-0000-00003A460000}"/>
    <cellStyle name="Percent 124 3 2 2" xfId="17919" xr:uid="{00000000-0005-0000-0000-00003B460000}"/>
    <cellStyle name="Percent 124 3 2 3" xfId="17920" xr:uid="{00000000-0005-0000-0000-00003C460000}"/>
    <cellStyle name="Percent 124 3 3" xfId="17921" xr:uid="{00000000-0005-0000-0000-00003D460000}"/>
    <cellStyle name="Percent 124 3 4" xfId="17922" xr:uid="{00000000-0005-0000-0000-00003E460000}"/>
    <cellStyle name="Percent 124 4" xfId="17923" xr:uid="{00000000-0005-0000-0000-00003F460000}"/>
    <cellStyle name="Percent 124 4 2" xfId="17924" xr:uid="{00000000-0005-0000-0000-000040460000}"/>
    <cellStyle name="Percent 124 4 3" xfId="17925" xr:uid="{00000000-0005-0000-0000-000041460000}"/>
    <cellStyle name="Percent 124 5" xfId="17926" xr:uid="{00000000-0005-0000-0000-000042460000}"/>
    <cellStyle name="Percent 124 6" xfId="17927" xr:uid="{00000000-0005-0000-0000-000043460000}"/>
    <cellStyle name="Percent 125" xfId="17928" xr:uid="{00000000-0005-0000-0000-000044460000}"/>
    <cellStyle name="Percent 125 2" xfId="17929" xr:uid="{00000000-0005-0000-0000-000045460000}"/>
    <cellStyle name="Percent 125 2 2" xfId="17930" xr:uid="{00000000-0005-0000-0000-000046460000}"/>
    <cellStyle name="Percent 125 2 2 2" xfId="17931" xr:uid="{00000000-0005-0000-0000-000047460000}"/>
    <cellStyle name="Percent 125 2 2 2 2" xfId="17932" xr:uid="{00000000-0005-0000-0000-000048460000}"/>
    <cellStyle name="Percent 125 2 2 2 3" xfId="17933" xr:uid="{00000000-0005-0000-0000-000049460000}"/>
    <cellStyle name="Percent 125 2 2 3" xfId="17934" xr:uid="{00000000-0005-0000-0000-00004A460000}"/>
    <cellStyle name="Percent 125 2 2 4" xfId="17935" xr:uid="{00000000-0005-0000-0000-00004B460000}"/>
    <cellStyle name="Percent 125 2 3" xfId="17936" xr:uid="{00000000-0005-0000-0000-00004C460000}"/>
    <cellStyle name="Percent 125 2 3 2" xfId="17937" xr:uid="{00000000-0005-0000-0000-00004D460000}"/>
    <cellStyle name="Percent 125 2 3 3" xfId="17938" xr:uid="{00000000-0005-0000-0000-00004E460000}"/>
    <cellStyle name="Percent 125 2 4" xfId="17939" xr:uid="{00000000-0005-0000-0000-00004F460000}"/>
    <cellStyle name="Percent 125 2 5" xfId="17940" xr:uid="{00000000-0005-0000-0000-000050460000}"/>
    <cellStyle name="Percent 125 3" xfId="17941" xr:uid="{00000000-0005-0000-0000-000051460000}"/>
    <cellStyle name="Percent 125 3 2" xfId="17942" xr:uid="{00000000-0005-0000-0000-000052460000}"/>
    <cellStyle name="Percent 125 3 2 2" xfId="17943" xr:uid="{00000000-0005-0000-0000-000053460000}"/>
    <cellStyle name="Percent 125 3 2 3" xfId="17944" xr:uid="{00000000-0005-0000-0000-000054460000}"/>
    <cellStyle name="Percent 125 3 3" xfId="17945" xr:uid="{00000000-0005-0000-0000-000055460000}"/>
    <cellStyle name="Percent 125 3 4" xfId="17946" xr:uid="{00000000-0005-0000-0000-000056460000}"/>
    <cellStyle name="Percent 125 4" xfId="17947" xr:uid="{00000000-0005-0000-0000-000057460000}"/>
    <cellStyle name="Percent 125 4 2" xfId="17948" xr:uid="{00000000-0005-0000-0000-000058460000}"/>
    <cellStyle name="Percent 125 4 3" xfId="17949" xr:uid="{00000000-0005-0000-0000-000059460000}"/>
    <cellStyle name="Percent 125 5" xfId="17950" xr:uid="{00000000-0005-0000-0000-00005A460000}"/>
    <cellStyle name="Percent 125 6" xfId="17951" xr:uid="{00000000-0005-0000-0000-00005B460000}"/>
    <cellStyle name="Percent 126" xfId="17952" xr:uid="{00000000-0005-0000-0000-00005C460000}"/>
    <cellStyle name="Percent 126 2" xfId="17953" xr:uid="{00000000-0005-0000-0000-00005D460000}"/>
    <cellStyle name="Percent 126 2 2" xfId="17954" xr:uid="{00000000-0005-0000-0000-00005E460000}"/>
    <cellStyle name="Percent 126 2 2 2" xfId="17955" xr:uid="{00000000-0005-0000-0000-00005F460000}"/>
    <cellStyle name="Percent 126 2 2 2 2" xfId="17956" xr:uid="{00000000-0005-0000-0000-000060460000}"/>
    <cellStyle name="Percent 126 2 2 2 3" xfId="17957" xr:uid="{00000000-0005-0000-0000-000061460000}"/>
    <cellStyle name="Percent 126 2 2 3" xfId="17958" xr:uid="{00000000-0005-0000-0000-000062460000}"/>
    <cellStyle name="Percent 126 2 2 4" xfId="17959" xr:uid="{00000000-0005-0000-0000-000063460000}"/>
    <cellStyle name="Percent 126 2 3" xfId="17960" xr:uid="{00000000-0005-0000-0000-000064460000}"/>
    <cellStyle name="Percent 126 2 3 2" xfId="17961" xr:uid="{00000000-0005-0000-0000-000065460000}"/>
    <cellStyle name="Percent 126 2 3 3" xfId="17962" xr:uid="{00000000-0005-0000-0000-000066460000}"/>
    <cellStyle name="Percent 126 2 4" xfId="17963" xr:uid="{00000000-0005-0000-0000-000067460000}"/>
    <cellStyle name="Percent 126 2 5" xfId="17964" xr:uid="{00000000-0005-0000-0000-000068460000}"/>
    <cellStyle name="Percent 126 3" xfId="17965" xr:uid="{00000000-0005-0000-0000-000069460000}"/>
    <cellStyle name="Percent 126 3 2" xfId="17966" xr:uid="{00000000-0005-0000-0000-00006A460000}"/>
    <cellStyle name="Percent 126 3 2 2" xfId="17967" xr:uid="{00000000-0005-0000-0000-00006B460000}"/>
    <cellStyle name="Percent 126 3 2 3" xfId="17968" xr:uid="{00000000-0005-0000-0000-00006C460000}"/>
    <cellStyle name="Percent 126 3 3" xfId="17969" xr:uid="{00000000-0005-0000-0000-00006D460000}"/>
    <cellStyle name="Percent 126 3 4" xfId="17970" xr:uid="{00000000-0005-0000-0000-00006E460000}"/>
    <cellStyle name="Percent 126 4" xfId="17971" xr:uid="{00000000-0005-0000-0000-00006F460000}"/>
    <cellStyle name="Percent 126 4 2" xfId="17972" xr:uid="{00000000-0005-0000-0000-000070460000}"/>
    <cellStyle name="Percent 126 4 3" xfId="17973" xr:uid="{00000000-0005-0000-0000-000071460000}"/>
    <cellStyle name="Percent 126 5" xfId="17974" xr:uid="{00000000-0005-0000-0000-000072460000}"/>
    <cellStyle name="Percent 126 6" xfId="17975" xr:uid="{00000000-0005-0000-0000-000073460000}"/>
    <cellStyle name="Percent 127" xfId="17976" xr:uid="{00000000-0005-0000-0000-000074460000}"/>
    <cellStyle name="Percent 127 2" xfId="17977" xr:uid="{00000000-0005-0000-0000-000075460000}"/>
    <cellStyle name="Percent 127 2 2" xfId="17978" xr:uid="{00000000-0005-0000-0000-000076460000}"/>
    <cellStyle name="Percent 127 2 2 2" xfId="17979" xr:uid="{00000000-0005-0000-0000-000077460000}"/>
    <cellStyle name="Percent 127 2 2 2 2" xfId="17980" xr:uid="{00000000-0005-0000-0000-000078460000}"/>
    <cellStyle name="Percent 127 2 2 2 3" xfId="17981" xr:uid="{00000000-0005-0000-0000-000079460000}"/>
    <cellStyle name="Percent 127 2 2 3" xfId="17982" xr:uid="{00000000-0005-0000-0000-00007A460000}"/>
    <cellStyle name="Percent 127 2 2 4" xfId="17983" xr:uid="{00000000-0005-0000-0000-00007B460000}"/>
    <cellStyle name="Percent 127 2 3" xfId="17984" xr:uid="{00000000-0005-0000-0000-00007C460000}"/>
    <cellStyle name="Percent 127 2 3 2" xfId="17985" xr:uid="{00000000-0005-0000-0000-00007D460000}"/>
    <cellStyle name="Percent 127 2 3 3" xfId="17986" xr:uid="{00000000-0005-0000-0000-00007E460000}"/>
    <cellStyle name="Percent 127 2 4" xfId="17987" xr:uid="{00000000-0005-0000-0000-00007F460000}"/>
    <cellStyle name="Percent 127 2 5" xfId="17988" xr:uid="{00000000-0005-0000-0000-000080460000}"/>
    <cellStyle name="Percent 127 3" xfId="17989" xr:uid="{00000000-0005-0000-0000-000081460000}"/>
    <cellStyle name="Percent 127 3 2" xfId="17990" xr:uid="{00000000-0005-0000-0000-000082460000}"/>
    <cellStyle name="Percent 127 3 2 2" xfId="17991" xr:uid="{00000000-0005-0000-0000-000083460000}"/>
    <cellStyle name="Percent 127 3 2 3" xfId="17992" xr:uid="{00000000-0005-0000-0000-000084460000}"/>
    <cellStyle name="Percent 127 3 3" xfId="17993" xr:uid="{00000000-0005-0000-0000-000085460000}"/>
    <cellStyle name="Percent 127 3 4" xfId="17994" xr:uid="{00000000-0005-0000-0000-000086460000}"/>
    <cellStyle name="Percent 127 4" xfId="17995" xr:uid="{00000000-0005-0000-0000-000087460000}"/>
    <cellStyle name="Percent 127 4 2" xfId="17996" xr:uid="{00000000-0005-0000-0000-000088460000}"/>
    <cellStyle name="Percent 127 4 3" xfId="17997" xr:uid="{00000000-0005-0000-0000-000089460000}"/>
    <cellStyle name="Percent 127 5" xfId="17998" xr:uid="{00000000-0005-0000-0000-00008A460000}"/>
    <cellStyle name="Percent 127 6" xfId="17999" xr:uid="{00000000-0005-0000-0000-00008B460000}"/>
    <cellStyle name="Percent 128" xfId="18000" xr:uid="{00000000-0005-0000-0000-00008C460000}"/>
    <cellStyle name="Percent 128 2" xfId="18001" xr:uid="{00000000-0005-0000-0000-00008D460000}"/>
    <cellStyle name="Percent 128 2 2" xfId="18002" xr:uid="{00000000-0005-0000-0000-00008E460000}"/>
    <cellStyle name="Percent 128 2 2 2" xfId="18003" xr:uid="{00000000-0005-0000-0000-00008F460000}"/>
    <cellStyle name="Percent 128 2 2 2 2" xfId="18004" xr:uid="{00000000-0005-0000-0000-000090460000}"/>
    <cellStyle name="Percent 128 2 2 2 3" xfId="18005" xr:uid="{00000000-0005-0000-0000-000091460000}"/>
    <cellStyle name="Percent 128 2 2 3" xfId="18006" xr:uid="{00000000-0005-0000-0000-000092460000}"/>
    <cellStyle name="Percent 128 2 2 4" xfId="18007" xr:uid="{00000000-0005-0000-0000-000093460000}"/>
    <cellStyle name="Percent 128 2 3" xfId="18008" xr:uid="{00000000-0005-0000-0000-000094460000}"/>
    <cellStyle name="Percent 128 2 3 2" xfId="18009" xr:uid="{00000000-0005-0000-0000-000095460000}"/>
    <cellStyle name="Percent 128 2 3 3" xfId="18010" xr:uid="{00000000-0005-0000-0000-000096460000}"/>
    <cellStyle name="Percent 128 2 4" xfId="18011" xr:uid="{00000000-0005-0000-0000-000097460000}"/>
    <cellStyle name="Percent 128 2 5" xfId="18012" xr:uid="{00000000-0005-0000-0000-000098460000}"/>
    <cellStyle name="Percent 128 3" xfId="18013" xr:uid="{00000000-0005-0000-0000-000099460000}"/>
    <cellStyle name="Percent 128 3 2" xfId="18014" xr:uid="{00000000-0005-0000-0000-00009A460000}"/>
    <cellStyle name="Percent 128 3 2 2" xfId="18015" xr:uid="{00000000-0005-0000-0000-00009B460000}"/>
    <cellStyle name="Percent 128 3 2 3" xfId="18016" xr:uid="{00000000-0005-0000-0000-00009C460000}"/>
    <cellStyle name="Percent 128 3 3" xfId="18017" xr:uid="{00000000-0005-0000-0000-00009D460000}"/>
    <cellStyle name="Percent 128 3 4" xfId="18018" xr:uid="{00000000-0005-0000-0000-00009E460000}"/>
    <cellStyle name="Percent 128 4" xfId="18019" xr:uid="{00000000-0005-0000-0000-00009F460000}"/>
    <cellStyle name="Percent 128 4 2" xfId="18020" xr:uid="{00000000-0005-0000-0000-0000A0460000}"/>
    <cellStyle name="Percent 128 4 3" xfId="18021" xr:uid="{00000000-0005-0000-0000-0000A1460000}"/>
    <cellStyle name="Percent 128 5" xfId="18022" xr:uid="{00000000-0005-0000-0000-0000A2460000}"/>
    <cellStyle name="Percent 128 6" xfId="18023" xr:uid="{00000000-0005-0000-0000-0000A3460000}"/>
    <cellStyle name="Percent 129" xfId="18024" xr:uid="{00000000-0005-0000-0000-0000A4460000}"/>
    <cellStyle name="Percent 129 2" xfId="18025" xr:uid="{00000000-0005-0000-0000-0000A5460000}"/>
    <cellStyle name="Percent 129 2 2" xfId="18026" xr:uid="{00000000-0005-0000-0000-0000A6460000}"/>
    <cellStyle name="Percent 129 2 2 2" xfId="18027" xr:uid="{00000000-0005-0000-0000-0000A7460000}"/>
    <cellStyle name="Percent 129 2 2 2 2" xfId="18028" xr:uid="{00000000-0005-0000-0000-0000A8460000}"/>
    <cellStyle name="Percent 129 2 2 2 3" xfId="18029" xr:uid="{00000000-0005-0000-0000-0000A9460000}"/>
    <cellStyle name="Percent 129 2 2 3" xfId="18030" xr:uid="{00000000-0005-0000-0000-0000AA460000}"/>
    <cellStyle name="Percent 129 2 2 4" xfId="18031" xr:uid="{00000000-0005-0000-0000-0000AB460000}"/>
    <cellStyle name="Percent 129 2 3" xfId="18032" xr:uid="{00000000-0005-0000-0000-0000AC460000}"/>
    <cellStyle name="Percent 129 2 3 2" xfId="18033" xr:uid="{00000000-0005-0000-0000-0000AD460000}"/>
    <cellStyle name="Percent 129 2 3 3" xfId="18034" xr:uid="{00000000-0005-0000-0000-0000AE460000}"/>
    <cellStyle name="Percent 129 2 4" xfId="18035" xr:uid="{00000000-0005-0000-0000-0000AF460000}"/>
    <cellStyle name="Percent 129 2 5" xfId="18036" xr:uid="{00000000-0005-0000-0000-0000B0460000}"/>
    <cellStyle name="Percent 129 3" xfId="18037" xr:uid="{00000000-0005-0000-0000-0000B1460000}"/>
    <cellStyle name="Percent 129 3 2" xfId="18038" xr:uid="{00000000-0005-0000-0000-0000B2460000}"/>
    <cellStyle name="Percent 129 3 2 2" xfId="18039" xr:uid="{00000000-0005-0000-0000-0000B3460000}"/>
    <cellStyle name="Percent 129 3 2 3" xfId="18040" xr:uid="{00000000-0005-0000-0000-0000B4460000}"/>
    <cellStyle name="Percent 129 3 3" xfId="18041" xr:uid="{00000000-0005-0000-0000-0000B5460000}"/>
    <cellStyle name="Percent 129 3 4" xfId="18042" xr:uid="{00000000-0005-0000-0000-0000B6460000}"/>
    <cellStyle name="Percent 129 4" xfId="18043" xr:uid="{00000000-0005-0000-0000-0000B7460000}"/>
    <cellStyle name="Percent 129 4 2" xfId="18044" xr:uid="{00000000-0005-0000-0000-0000B8460000}"/>
    <cellStyle name="Percent 129 4 3" xfId="18045" xr:uid="{00000000-0005-0000-0000-0000B9460000}"/>
    <cellStyle name="Percent 129 5" xfId="18046" xr:uid="{00000000-0005-0000-0000-0000BA460000}"/>
    <cellStyle name="Percent 129 6" xfId="18047" xr:uid="{00000000-0005-0000-0000-0000BB460000}"/>
    <cellStyle name="Percent 13" xfId="18048" xr:uid="{00000000-0005-0000-0000-0000BC460000}"/>
    <cellStyle name="Percent 130" xfId="18049" xr:uid="{00000000-0005-0000-0000-0000BD460000}"/>
    <cellStyle name="Percent 130 2" xfId="18050" xr:uid="{00000000-0005-0000-0000-0000BE460000}"/>
    <cellStyle name="Percent 130 2 2" xfId="18051" xr:uid="{00000000-0005-0000-0000-0000BF460000}"/>
    <cellStyle name="Percent 130 2 2 2" xfId="18052" xr:uid="{00000000-0005-0000-0000-0000C0460000}"/>
    <cellStyle name="Percent 130 2 2 2 2" xfId="18053" xr:uid="{00000000-0005-0000-0000-0000C1460000}"/>
    <cellStyle name="Percent 130 2 2 2 3" xfId="18054" xr:uid="{00000000-0005-0000-0000-0000C2460000}"/>
    <cellStyle name="Percent 130 2 2 3" xfId="18055" xr:uid="{00000000-0005-0000-0000-0000C3460000}"/>
    <cellStyle name="Percent 130 2 2 4" xfId="18056" xr:uid="{00000000-0005-0000-0000-0000C4460000}"/>
    <cellStyle name="Percent 130 2 3" xfId="18057" xr:uid="{00000000-0005-0000-0000-0000C5460000}"/>
    <cellStyle name="Percent 130 2 3 2" xfId="18058" xr:uid="{00000000-0005-0000-0000-0000C6460000}"/>
    <cellStyle name="Percent 130 2 3 3" xfId="18059" xr:uid="{00000000-0005-0000-0000-0000C7460000}"/>
    <cellStyle name="Percent 130 2 4" xfId="18060" xr:uid="{00000000-0005-0000-0000-0000C8460000}"/>
    <cellStyle name="Percent 130 2 5" xfId="18061" xr:uid="{00000000-0005-0000-0000-0000C9460000}"/>
    <cellStyle name="Percent 130 3" xfId="18062" xr:uid="{00000000-0005-0000-0000-0000CA460000}"/>
    <cellStyle name="Percent 130 3 2" xfId="18063" xr:uid="{00000000-0005-0000-0000-0000CB460000}"/>
    <cellStyle name="Percent 130 3 2 2" xfId="18064" xr:uid="{00000000-0005-0000-0000-0000CC460000}"/>
    <cellStyle name="Percent 130 3 2 3" xfId="18065" xr:uid="{00000000-0005-0000-0000-0000CD460000}"/>
    <cellStyle name="Percent 130 3 3" xfId="18066" xr:uid="{00000000-0005-0000-0000-0000CE460000}"/>
    <cellStyle name="Percent 130 3 4" xfId="18067" xr:uid="{00000000-0005-0000-0000-0000CF460000}"/>
    <cellStyle name="Percent 130 4" xfId="18068" xr:uid="{00000000-0005-0000-0000-0000D0460000}"/>
    <cellStyle name="Percent 130 4 2" xfId="18069" xr:uid="{00000000-0005-0000-0000-0000D1460000}"/>
    <cellStyle name="Percent 130 4 3" xfId="18070" xr:uid="{00000000-0005-0000-0000-0000D2460000}"/>
    <cellStyle name="Percent 130 5" xfId="18071" xr:uid="{00000000-0005-0000-0000-0000D3460000}"/>
    <cellStyle name="Percent 130 6" xfId="18072" xr:uid="{00000000-0005-0000-0000-0000D4460000}"/>
    <cellStyle name="Percent 131" xfId="18073" xr:uid="{00000000-0005-0000-0000-0000D5460000}"/>
    <cellStyle name="Percent 132" xfId="18074" xr:uid="{00000000-0005-0000-0000-0000D6460000}"/>
    <cellStyle name="Percent 133" xfId="18075" xr:uid="{00000000-0005-0000-0000-0000D7460000}"/>
    <cellStyle name="Percent 134" xfId="18076" xr:uid="{00000000-0005-0000-0000-0000D8460000}"/>
    <cellStyle name="Percent 135" xfId="18077" xr:uid="{00000000-0005-0000-0000-0000D9460000}"/>
    <cellStyle name="Percent 136" xfId="18078" xr:uid="{00000000-0005-0000-0000-0000DA460000}"/>
    <cellStyle name="Percent 137" xfId="18079" xr:uid="{00000000-0005-0000-0000-0000DB460000}"/>
    <cellStyle name="Percent 138" xfId="18080" xr:uid="{00000000-0005-0000-0000-0000DC460000}"/>
    <cellStyle name="Percent 139" xfId="18081" xr:uid="{00000000-0005-0000-0000-0000DD460000}"/>
    <cellStyle name="Percent 14" xfId="18082" xr:uid="{00000000-0005-0000-0000-0000DE460000}"/>
    <cellStyle name="Percent 140" xfId="18083" xr:uid="{00000000-0005-0000-0000-0000DF460000}"/>
    <cellStyle name="Percent 141" xfId="18084" xr:uid="{00000000-0005-0000-0000-0000E0460000}"/>
    <cellStyle name="Percent 142" xfId="18085" xr:uid="{00000000-0005-0000-0000-0000E1460000}"/>
    <cellStyle name="Percent 143" xfId="18086" xr:uid="{00000000-0005-0000-0000-0000E2460000}"/>
    <cellStyle name="Percent 144" xfId="18087" xr:uid="{00000000-0005-0000-0000-0000E3460000}"/>
    <cellStyle name="Percent 145" xfId="18088" xr:uid="{00000000-0005-0000-0000-0000E4460000}"/>
    <cellStyle name="Percent 146" xfId="18089" xr:uid="{00000000-0005-0000-0000-0000E5460000}"/>
    <cellStyle name="Percent 147" xfId="18090" xr:uid="{00000000-0005-0000-0000-0000E6460000}"/>
    <cellStyle name="Percent 148" xfId="18091" xr:uid="{00000000-0005-0000-0000-0000E7460000}"/>
    <cellStyle name="Percent 149" xfId="18092" xr:uid="{00000000-0005-0000-0000-0000E8460000}"/>
    <cellStyle name="Percent 15" xfId="18093" xr:uid="{00000000-0005-0000-0000-0000E9460000}"/>
    <cellStyle name="Percent 150" xfId="18094" xr:uid="{00000000-0005-0000-0000-0000EA460000}"/>
    <cellStyle name="Percent 151" xfId="18095" xr:uid="{00000000-0005-0000-0000-0000EB460000}"/>
    <cellStyle name="Percent 152" xfId="18096" xr:uid="{00000000-0005-0000-0000-0000EC460000}"/>
    <cellStyle name="Percent 153" xfId="18097" xr:uid="{00000000-0005-0000-0000-0000ED460000}"/>
    <cellStyle name="Percent 154" xfId="18098" xr:uid="{00000000-0005-0000-0000-0000EE460000}"/>
    <cellStyle name="Percent 155" xfId="18099" xr:uid="{00000000-0005-0000-0000-0000EF460000}"/>
    <cellStyle name="Percent 156" xfId="18100" xr:uid="{00000000-0005-0000-0000-0000F0460000}"/>
    <cellStyle name="Percent 157" xfId="18101" xr:uid="{00000000-0005-0000-0000-0000F1460000}"/>
    <cellStyle name="Percent 158" xfId="18102" xr:uid="{00000000-0005-0000-0000-0000F2460000}"/>
    <cellStyle name="Percent 159" xfId="18103" xr:uid="{00000000-0005-0000-0000-0000F3460000}"/>
    <cellStyle name="Percent 159 2" xfId="18104" xr:uid="{00000000-0005-0000-0000-0000F4460000}"/>
    <cellStyle name="Percent 159 2 2" xfId="18105" xr:uid="{00000000-0005-0000-0000-0000F5460000}"/>
    <cellStyle name="Percent 159 2 2 2" xfId="18106" xr:uid="{00000000-0005-0000-0000-0000F6460000}"/>
    <cellStyle name="Percent 159 2 2 2 2" xfId="18107" xr:uid="{00000000-0005-0000-0000-0000F7460000}"/>
    <cellStyle name="Percent 159 2 2 2 3" xfId="18108" xr:uid="{00000000-0005-0000-0000-0000F8460000}"/>
    <cellStyle name="Percent 159 2 2 3" xfId="18109" xr:uid="{00000000-0005-0000-0000-0000F9460000}"/>
    <cellStyle name="Percent 159 2 2 4" xfId="18110" xr:uid="{00000000-0005-0000-0000-0000FA460000}"/>
    <cellStyle name="Percent 159 2 3" xfId="18111" xr:uid="{00000000-0005-0000-0000-0000FB460000}"/>
    <cellStyle name="Percent 159 2 3 2" xfId="18112" xr:uid="{00000000-0005-0000-0000-0000FC460000}"/>
    <cellStyle name="Percent 159 2 3 3" xfId="18113" xr:uid="{00000000-0005-0000-0000-0000FD460000}"/>
    <cellStyle name="Percent 159 2 4" xfId="18114" xr:uid="{00000000-0005-0000-0000-0000FE460000}"/>
    <cellStyle name="Percent 159 2 5" xfId="18115" xr:uid="{00000000-0005-0000-0000-0000FF460000}"/>
    <cellStyle name="Percent 159 3" xfId="18116" xr:uid="{00000000-0005-0000-0000-000000470000}"/>
    <cellStyle name="Percent 159 3 2" xfId="18117" xr:uid="{00000000-0005-0000-0000-000001470000}"/>
    <cellStyle name="Percent 159 3 2 2" xfId="18118" xr:uid="{00000000-0005-0000-0000-000002470000}"/>
    <cellStyle name="Percent 159 3 2 3" xfId="18119" xr:uid="{00000000-0005-0000-0000-000003470000}"/>
    <cellStyle name="Percent 159 3 3" xfId="18120" xr:uid="{00000000-0005-0000-0000-000004470000}"/>
    <cellStyle name="Percent 159 3 4" xfId="18121" xr:uid="{00000000-0005-0000-0000-000005470000}"/>
    <cellStyle name="Percent 159 4" xfId="18122" xr:uid="{00000000-0005-0000-0000-000006470000}"/>
    <cellStyle name="Percent 159 4 2" xfId="18123" xr:uid="{00000000-0005-0000-0000-000007470000}"/>
    <cellStyle name="Percent 159 4 3" xfId="18124" xr:uid="{00000000-0005-0000-0000-000008470000}"/>
    <cellStyle name="Percent 159 5" xfId="18125" xr:uid="{00000000-0005-0000-0000-000009470000}"/>
    <cellStyle name="Percent 159 6" xfId="18126" xr:uid="{00000000-0005-0000-0000-00000A470000}"/>
    <cellStyle name="Percent 16" xfId="18127" xr:uid="{00000000-0005-0000-0000-00000B470000}"/>
    <cellStyle name="Percent 160" xfId="18128" xr:uid="{00000000-0005-0000-0000-00000C470000}"/>
    <cellStyle name="Percent 161" xfId="18129" xr:uid="{00000000-0005-0000-0000-00000D470000}"/>
    <cellStyle name="Percent 162" xfId="18130" xr:uid="{00000000-0005-0000-0000-00000E470000}"/>
    <cellStyle name="Percent 162 2" xfId="18131" xr:uid="{00000000-0005-0000-0000-00000F470000}"/>
    <cellStyle name="Percent 162 2 2" xfId="18132" xr:uid="{00000000-0005-0000-0000-000010470000}"/>
    <cellStyle name="Percent 162 2 2 2" xfId="18133" xr:uid="{00000000-0005-0000-0000-000011470000}"/>
    <cellStyle name="Percent 162 2 2 2 2" xfId="18134" xr:uid="{00000000-0005-0000-0000-000012470000}"/>
    <cellStyle name="Percent 162 2 2 2 3" xfId="18135" xr:uid="{00000000-0005-0000-0000-000013470000}"/>
    <cellStyle name="Percent 162 2 2 3" xfId="18136" xr:uid="{00000000-0005-0000-0000-000014470000}"/>
    <cellStyle name="Percent 162 2 2 4" xfId="18137" xr:uid="{00000000-0005-0000-0000-000015470000}"/>
    <cellStyle name="Percent 162 2 3" xfId="18138" xr:uid="{00000000-0005-0000-0000-000016470000}"/>
    <cellStyle name="Percent 162 2 3 2" xfId="18139" xr:uid="{00000000-0005-0000-0000-000017470000}"/>
    <cellStyle name="Percent 162 2 3 3" xfId="18140" xr:uid="{00000000-0005-0000-0000-000018470000}"/>
    <cellStyle name="Percent 162 2 4" xfId="18141" xr:uid="{00000000-0005-0000-0000-000019470000}"/>
    <cellStyle name="Percent 162 2 5" xfId="18142" xr:uid="{00000000-0005-0000-0000-00001A470000}"/>
    <cellStyle name="Percent 162 3" xfId="18143" xr:uid="{00000000-0005-0000-0000-00001B470000}"/>
    <cellStyle name="Percent 162 3 2" xfId="18144" xr:uid="{00000000-0005-0000-0000-00001C470000}"/>
    <cellStyle name="Percent 162 3 2 2" xfId="18145" xr:uid="{00000000-0005-0000-0000-00001D470000}"/>
    <cellStyle name="Percent 162 3 2 3" xfId="18146" xr:uid="{00000000-0005-0000-0000-00001E470000}"/>
    <cellStyle name="Percent 162 3 3" xfId="18147" xr:uid="{00000000-0005-0000-0000-00001F470000}"/>
    <cellStyle name="Percent 162 3 4" xfId="18148" xr:uid="{00000000-0005-0000-0000-000020470000}"/>
    <cellStyle name="Percent 162 4" xfId="18149" xr:uid="{00000000-0005-0000-0000-000021470000}"/>
    <cellStyle name="Percent 162 4 2" xfId="18150" xr:uid="{00000000-0005-0000-0000-000022470000}"/>
    <cellStyle name="Percent 162 4 3" xfId="18151" xr:uid="{00000000-0005-0000-0000-000023470000}"/>
    <cellStyle name="Percent 162 5" xfId="18152" xr:uid="{00000000-0005-0000-0000-000024470000}"/>
    <cellStyle name="Percent 162 6" xfId="18153" xr:uid="{00000000-0005-0000-0000-000025470000}"/>
    <cellStyle name="Percent 163" xfId="18154" xr:uid="{00000000-0005-0000-0000-000026470000}"/>
    <cellStyle name="Percent 163 2" xfId="18155" xr:uid="{00000000-0005-0000-0000-000027470000}"/>
    <cellStyle name="Percent 163 3" xfId="18156" xr:uid="{00000000-0005-0000-0000-000028470000}"/>
    <cellStyle name="Percent 163 3 2" xfId="18157" xr:uid="{00000000-0005-0000-0000-000029470000}"/>
    <cellStyle name="Percent 163 3 2 2" xfId="18158" xr:uid="{00000000-0005-0000-0000-00002A470000}"/>
    <cellStyle name="Percent 163 3 2 3" xfId="18159" xr:uid="{00000000-0005-0000-0000-00002B470000}"/>
    <cellStyle name="Percent 163 3 3" xfId="18160" xr:uid="{00000000-0005-0000-0000-00002C470000}"/>
    <cellStyle name="Percent 163 3 4" xfId="18161" xr:uid="{00000000-0005-0000-0000-00002D470000}"/>
    <cellStyle name="Percent 163 4" xfId="18162" xr:uid="{00000000-0005-0000-0000-00002E470000}"/>
    <cellStyle name="Percent 163 4 2" xfId="18163" xr:uid="{00000000-0005-0000-0000-00002F470000}"/>
    <cellStyle name="Percent 163 4 3" xfId="18164" xr:uid="{00000000-0005-0000-0000-000030470000}"/>
    <cellStyle name="Percent 163 5" xfId="18165" xr:uid="{00000000-0005-0000-0000-000031470000}"/>
    <cellStyle name="Percent 163 6" xfId="18166" xr:uid="{00000000-0005-0000-0000-000032470000}"/>
    <cellStyle name="Percent 164" xfId="18167" xr:uid="{00000000-0005-0000-0000-000033470000}"/>
    <cellStyle name="Percent 165" xfId="18168" xr:uid="{00000000-0005-0000-0000-000034470000}"/>
    <cellStyle name="Percent 166" xfId="18169" xr:uid="{00000000-0005-0000-0000-000035470000}"/>
    <cellStyle name="Percent 167" xfId="18170" xr:uid="{00000000-0005-0000-0000-000036470000}"/>
    <cellStyle name="Percent 168" xfId="18171" xr:uid="{00000000-0005-0000-0000-000037470000}"/>
    <cellStyle name="Percent 169" xfId="18172" xr:uid="{00000000-0005-0000-0000-000038470000}"/>
    <cellStyle name="Percent 17" xfId="18173" xr:uid="{00000000-0005-0000-0000-000039470000}"/>
    <cellStyle name="Percent 170" xfId="18174" xr:uid="{00000000-0005-0000-0000-00003A470000}"/>
    <cellStyle name="Percent 171" xfId="18175" xr:uid="{00000000-0005-0000-0000-00003B470000}"/>
    <cellStyle name="Percent 172" xfId="18176" xr:uid="{00000000-0005-0000-0000-00003C470000}"/>
    <cellStyle name="Percent 173" xfId="18177" xr:uid="{00000000-0005-0000-0000-00003D470000}"/>
    <cellStyle name="Percent 174" xfId="18178" xr:uid="{00000000-0005-0000-0000-00003E470000}"/>
    <cellStyle name="Percent 175" xfId="18179" xr:uid="{00000000-0005-0000-0000-00003F470000}"/>
    <cellStyle name="Percent 176" xfId="18180" xr:uid="{00000000-0005-0000-0000-000040470000}"/>
    <cellStyle name="Percent 177" xfId="18181" xr:uid="{00000000-0005-0000-0000-000041470000}"/>
    <cellStyle name="Percent 178" xfId="18182" xr:uid="{00000000-0005-0000-0000-000042470000}"/>
    <cellStyle name="Percent 179" xfId="18183" xr:uid="{00000000-0005-0000-0000-000043470000}"/>
    <cellStyle name="Percent 18" xfId="18184" xr:uid="{00000000-0005-0000-0000-000044470000}"/>
    <cellStyle name="Percent 180" xfId="18185" xr:uid="{00000000-0005-0000-0000-000045470000}"/>
    <cellStyle name="Percent 180 2" xfId="18186" xr:uid="{00000000-0005-0000-0000-000046470000}"/>
    <cellStyle name="Percent 180 2 2" xfId="18187" xr:uid="{00000000-0005-0000-0000-000047470000}"/>
    <cellStyle name="Percent 180 2 2 2" xfId="18188" xr:uid="{00000000-0005-0000-0000-000048470000}"/>
    <cellStyle name="Percent 180 2 2 3" xfId="18189" xr:uid="{00000000-0005-0000-0000-000049470000}"/>
    <cellStyle name="Percent 180 2 3" xfId="18190" xr:uid="{00000000-0005-0000-0000-00004A470000}"/>
    <cellStyle name="Percent 180 2 4" xfId="18191" xr:uid="{00000000-0005-0000-0000-00004B470000}"/>
    <cellStyle name="Percent 180 3" xfId="18192" xr:uid="{00000000-0005-0000-0000-00004C470000}"/>
    <cellStyle name="Percent 180 3 2" xfId="18193" xr:uid="{00000000-0005-0000-0000-00004D470000}"/>
    <cellStyle name="Percent 180 3 3" xfId="18194" xr:uid="{00000000-0005-0000-0000-00004E470000}"/>
    <cellStyle name="Percent 180 4" xfId="18195" xr:uid="{00000000-0005-0000-0000-00004F470000}"/>
    <cellStyle name="Percent 180 5" xfId="18196" xr:uid="{00000000-0005-0000-0000-000050470000}"/>
    <cellStyle name="Percent 181" xfId="18197" xr:uid="{00000000-0005-0000-0000-000051470000}"/>
    <cellStyle name="Percent 182" xfId="18198" xr:uid="{00000000-0005-0000-0000-000052470000}"/>
    <cellStyle name="Percent 183" xfId="18199" xr:uid="{00000000-0005-0000-0000-000053470000}"/>
    <cellStyle name="Percent 184" xfId="18200" xr:uid="{00000000-0005-0000-0000-000054470000}"/>
    <cellStyle name="Percent 185" xfId="18201" xr:uid="{00000000-0005-0000-0000-000055470000}"/>
    <cellStyle name="Percent 186" xfId="18202" xr:uid="{00000000-0005-0000-0000-000056470000}"/>
    <cellStyle name="Percent 187" xfId="18203" xr:uid="{00000000-0005-0000-0000-000057470000}"/>
    <cellStyle name="Percent 188" xfId="18204" xr:uid="{00000000-0005-0000-0000-000058470000}"/>
    <cellStyle name="Percent 189" xfId="18205" xr:uid="{00000000-0005-0000-0000-000059470000}"/>
    <cellStyle name="Percent 19" xfId="18206" xr:uid="{00000000-0005-0000-0000-00005A470000}"/>
    <cellStyle name="Percent 190" xfId="21846" xr:uid="{00000000-0005-0000-0000-00005B470000}"/>
    <cellStyle name="Percent 191" xfId="21854" xr:uid="{00000000-0005-0000-0000-00005C470000}"/>
    <cellStyle name="Percent 192" xfId="21855" xr:uid="{00000000-0005-0000-0000-00005D470000}"/>
    <cellStyle name="Percent 193" xfId="21844" xr:uid="{00000000-0005-0000-0000-00005E470000}"/>
    <cellStyle name="Percent 194" xfId="21856" xr:uid="{00000000-0005-0000-0000-00005F470000}"/>
    <cellStyle name="Percent 195" xfId="21843" xr:uid="{00000000-0005-0000-0000-000060470000}"/>
    <cellStyle name="Percent 196" xfId="21858" xr:uid="{00000000-0005-0000-0000-000061470000}"/>
    <cellStyle name="Percent 197" xfId="21871" xr:uid="{00000000-0005-0000-0000-000062470000}"/>
    <cellStyle name="Percent 198" xfId="21872" xr:uid="{00000000-0005-0000-0000-000063470000}"/>
    <cellStyle name="Percent 199" xfId="21851" xr:uid="{00000000-0005-0000-0000-000064470000}"/>
    <cellStyle name="Percent 2" xfId="14" xr:uid="{00000000-0005-0000-0000-000065470000}"/>
    <cellStyle name="Percent 2 10" xfId="18207" xr:uid="{00000000-0005-0000-0000-000066470000}"/>
    <cellStyle name="Percent 2 10 2" xfId="18208" xr:uid="{00000000-0005-0000-0000-000067470000}"/>
    <cellStyle name="Percent 2 10 3" xfId="18209" xr:uid="{00000000-0005-0000-0000-000068470000}"/>
    <cellStyle name="Percent 2 11" xfId="18210" xr:uid="{00000000-0005-0000-0000-000069470000}"/>
    <cellStyle name="Percent 2 11 2" xfId="18211" xr:uid="{00000000-0005-0000-0000-00006A470000}"/>
    <cellStyle name="Percent 2 11 3" xfId="18212" xr:uid="{00000000-0005-0000-0000-00006B470000}"/>
    <cellStyle name="Percent 2 12" xfId="18213" xr:uid="{00000000-0005-0000-0000-00006C470000}"/>
    <cellStyle name="Percent 2 12 2" xfId="18214" xr:uid="{00000000-0005-0000-0000-00006D470000}"/>
    <cellStyle name="Percent 2 12 3" xfId="18215" xr:uid="{00000000-0005-0000-0000-00006E470000}"/>
    <cellStyle name="Percent 2 13" xfId="18216" xr:uid="{00000000-0005-0000-0000-00006F470000}"/>
    <cellStyle name="Percent 2 13 2" xfId="18217" xr:uid="{00000000-0005-0000-0000-000070470000}"/>
    <cellStyle name="Percent 2 13 3" xfId="18218" xr:uid="{00000000-0005-0000-0000-000071470000}"/>
    <cellStyle name="Percent 2 14" xfId="18219" xr:uid="{00000000-0005-0000-0000-000072470000}"/>
    <cellStyle name="Percent 2 14 2" xfId="18220" xr:uid="{00000000-0005-0000-0000-000073470000}"/>
    <cellStyle name="Percent 2 14 3" xfId="18221" xr:uid="{00000000-0005-0000-0000-000074470000}"/>
    <cellStyle name="Percent 2 15" xfId="18222" xr:uid="{00000000-0005-0000-0000-000075470000}"/>
    <cellStyle name="Percent 2 15 2" xfId="18223" xr:uid="{00000000-0005-0000-0000-000076470000}"/>
    <cellStyle name="Percent 2 15 3" xfId="18224" xr:uid="{00000000-0005-0000-0000-000077470000}"/>
    <cellStyle name="Percent 2 16" xfId="18225" xr:uid="{00000000-0005-0000-0000-000078470000}"/>
    <cellStyle name="Percent 2 16 2" xfId="18226" xr:uid="{00000000-0005-0000-0000-000079470000}"/>
    <cellStyle name="Percent 2 16 3" xfId="18227" xr:uid="{00000000-0005-0000-0000-00007A470000}"/>
    <cellStyle name="Percent 2 17" xfId="18228" xr:uid="{00000000-0005-0000-0000-00007B470000}"/>
    <cellStyle name="Percent 2 17 2" xfId="18229" xr:uid="{00000000-0005-0000-0000-00007C470000}"/>
    <cellStyle name="Percent 2 17 3" xfId="18230" xr:uid="{00000000-0005-0000-0000-00007D470000}"/>
    <cellStyle name="Percent 2 18" xfId="18231" xr:uid="{00000000-0005-0000-0000-00007E470000}"/>
    <cellStyle name="Percent 2 18 2" xfId="18232" xr:uid="{00000000-0005-0000-0000-00007F470000}"/>
    <cellStyle name="Percent 2 18 3" xfId="18233" xr:uid="{00000000-0005-0000-0000-000080470000}"/>
    <cellStyle name="Percent 2 19" xfId="18234" xr:uid="{00000000-0005-0000-0000-000081470000}"/>
    <cellStyle name="Percent 2 19 2" xfId="18235" xr:uid="{00000000-0005-0000-0000-000082470000}"/>
    <cellStyle name="Percent 2 19 3" xfId="18236" xr:uid="{00000000-0005-0000-0000-000083470000}"/>
    <cellStyle name="Percent 2 2" xfId="37" xr:uid="{00000000-0005-0000-0000-000084470000}"/>
    <cellStyle name="Percent 2 2 10" xfId="18237" xr:uid="{00000000-0005-0000-0000-000085470000}"/>
    <cellStyle name="Percent 2 2 11" xfId="18238" xr:uid="{00000000-0005-0000-0000-000086470000}"/>
    <cellStyle name="Percent 2 2 12" xfId="18239" xr:uid="{00000000-0005-0000-0000-000087470000}"/>
    <cellStyle name="Percent 2 2 13" xfId="18240" xr:uid="{00000000-0005-0000-0000-000088470000}"/>
    <cellStyle name="Percent 2 2 14" xfId="18241" xr:uid="{00000000-0005-0000-0000-000089470000}"/>
    <cellStyle name="Percent 2 2 15" xfId="18242" xr:uid="{00000000-0005-0000-0000-00008A470000}"/>
    <cellStyle name="Percent 2 2 16" xfId="18243" xr:uid="{00000000-0005-0000-0000-00008B470000}"/>
    <cellStyle name="Percent 2 2 17" xfId="18244" xr:uid="{00000000-0005-0000-0000-00008C470000}"/>
    <cellStyle name="Percent 2 2 18" xfId="18245" xr:uid="{00000000-0005-0000-0000-00008D470000}"/>
    <cellStyle name="Percent 2 2 19" xfId="18246" xr:uid="{00000000-0005-0000-0000-00008E470000}"/>
    <cellStyle name="Percent 2 2 2" xfId="18247" xr:uid="{00000000-0005-0000-0000-00008F470000}"/>
    <cellStyle name="Percent 2 2 2 2" xfId="18248" xr:uid="{00000000-0005-0000-0000-000090470000}"/>
    <cellStyle name="Percent 2 2 2 2 2" xfId="18249" xr:uid="{00000000-0005-0000-0000-000091470000}"/>
    <cellStyle name="Percent 2 2 2 3" xfId="18250" xr:uid="{00000000-0005-0000-0000-000092470000}"/>
    <cellStyle name="Percent 2 2 20" xfId="18251" xr:uid="{00000000-0005-0000-0000-000093470000}"/>
    <cellStyle name="Percent 2 2 21" xfId="18252" xr:uid="{00000000-0005-0000-0000-000094470000}"/>
    <cellStyle name="Percent 2 2 22" xfId="18253" xr:uid="{00000000-0005-0000-0000-000095470000}"/>
    <cellStyle name="Percent 2 2 23" xfId="18254" xr:uid="{00000000-0005-0000-0000-000096470000}"/>
    <cellStyle name="Percent 2 2 24" xfId="18255" xr:uid="{00000000-0005-0000-0000-000097470000}"/>
    <cellStyle name="Percent 2 2 25" xfId="18256" xr:uid="{00000000-0005-0000-0000-000098470000}"/>
    <cellStyle name="Percent 2 2 26" xfId="18257" xr:uid="{00000000-0005-0000-0000-000099470000}"/>
    <cellStyle name="Percent 2 2 27" xfId="18258" xr:uid="{00000000-0005-0000-0000-00009A470000}"/>
    <cellStyle name="Percent 2 2 28" xfId="18259" xr:uid="{00000000-0005-0000-0000-00009B470000}"/>
    <cellStyle name="Percent 2 2 3" xfId="18260" xr:uid="{00000000-0005-0000-0000-00009C470000}"/>
    <cellStyle name="Percent 2 2 4" xfId="18261" xr:uid="{00000000-0005-0000-0000-00009D470000}"/>
    <cellStyle name="Percent 2 2 5" xfId="18262" xr:uid="{00000000-0005-0000-0000-00009E470000}"/>
    <cellStyle name="Percent 2 2 6" xfId="18263" xr:uid="{00000000-0005-0000-0000-00009F470000}"/>
    <cellStyle name="Percent 2 2 7" xfId="18264" xr:uid="{00000000-0005-0000-0000-0000A0470000}"/>
    <cellStyle name="Percent 2 2 8" xfId="18265" xr:uid="{00000000-0005-0000-0000-0000A1470000}"/>
    <cellStyle name="Percent 2 2 9" xfId="18266" xr:uid="{00000000-0005-0000-0000-0000A2470000}"/>
    <cellStyle name="Percent 2 20" xfId="18267" xr:uid="{00000000-0005-0000-0000-0000A3470000}"/>
    <cellStyle name="Percent 2 21" xfId="18268" xr:uid="{00000000-0005-0000-0000-0000A4470000}"/>
    <cellStyle name="Percent 2 22" xfId="18269" xr:uid="{00000000-0005-0000-0000-0000A5470000}"/>
    <cellStyle name="Percent 2 22 2" xfId="18270" xr:uid="{00000000-0005-0000-0000-0000A6470000}"/>
    <cellStyle name="Percent 2 22 2 2" xfId="18271" xr:uid="{00000000-0005-0000-0000-0000A7470000}"/>
    <cellStyle name="Percent 2 22 2 2 2" xfId="18272" xr:uid="{00000000-0005-0000-0000-0000A8470000}"/>
    <cellStyle name="Percent 2 22 2 2 2 2" xfId="18273" xr:uid="{00000000-0005-0000-0000-0000A9470000}"/>
    <cellStyle name="Percent 2 22 2 2 2 3" xfId="18274" xr:uid="{00000000-0005-0000-0000-0000AA470000}"/>
    <cellStyle name="Percent 2 22 2 2 3" xfId="18275" xr:uid="{00000000-0005-0000-0000-0000AB470000}"/>
    <cellStyle name="Percent 2 22 2 2 4" xfId="18276" xr:uid="{00000000-0005-0000-0000-0000AC470000}"/>
    <cellStyle name="Percent 2 22 2 3" xfId="18277" xr:uid="{00000000-0005-0000-0000-0000AD470000}"/>
    <cellStyle name="Percent 2 22 2 3 2" xfId="18278" xr:uid="{00000000-0005-0000-0000-0000AE470000}"/>
    <cellStyle name="Percent 2 22 2 3 3" xfId="18279" xr:uid="{00000000-0005-0000-0000-0000AF470000}"/>
    <cellStyle name="Percent 2 22 2 4" xfId="18280" xr:uid="{00000000-0005-0000-0000-0000B0470000}"/>
    <cellStyle name="Percent 2 22 2 5" xfId="18281" xr:uid="{00000000-0005-0000-0000-0000B1470000}"/>
    <cellStyle name="Percent 2 22 3" xfId="18282" xr:uid="{00000000-0005-0000-0000-0000B2470000}"/>
    <cellStyle name="Percent 2 22 3 2" xfId="18283" xr:uid="{00000000-0005-0000-0000-0000B3470000}"/>
    <cellStyle name="Percent 2 22 3 2 2" xfId="18284" xr:uid="{00000000-0005-0000-0000-0000B4470000}"/>
    <cellStyle name="Percent 2 22 3 2 3" xfId="18285" xr:uid="{00000000-0005-0000-0000-0000B5470000}"/>
    <cellStyle name="Percent 2 22 3 3" xfId="18286" xr:uid="{00000000-0005-0000-0000-0000B6470000}"/>
    <cellStyle name="Percent 2 22 3 4" xfId="18287" xr:uid="{00000000-0005-0000-0000-0000B7470000}"/>
    <cellStyle name="Percent 2 22 4" xfId="18288" xr:uid="{00000000-0005-0000-0000-0000B8470000}"/>
    <cellStyle name="Percent 2 22 4 2" xfId="18289" xr:uid="{00000000-0005-0000-0000-0000B9470000}"/>
    <cellStyle name="Percent 2 22 4 3" xfId="18290" xr:uid="{00000000-0005-0000-0000-0000BA470000}"/>
    <cellStyle name="Percent 2 22 5" xfId="18291" xr:uid="{00000000-0005-0000-0000-0000BB470000}"/>
    <cellStyle name="Percent 2 22 6" xfId="18292" xr:uid="{00000000-0005-0000-0000-0000BC470000}"/>
    <cellStyle name="Percent 2 23" xfId="18293" xr:uid="{00000000-0005-0000-0000-0000BD470000}"/>
    <cellStyle name="Percent 2 24" xfId="18294" xr:uid="{00000000-0005-0000-0000-0000BE470000}"/>
    <cellStyle name="Percent 2 25" xfId="18295" xr:uid="{00000000-0005-0000-0000-0000BF470000}"/>
    <cellStyle name="Percent 2 26" xfId="18296" xr:uid="{00000000-0005-0000-0000-0000C0470000}"/>
    <cellStyle name="Percent 2 27" xfId="18297" xr:uid="{00000000-0005-0000-0000-0000C1470000}"/>
    <cellStyle name="Percent 2 28" xfId="18298" xr:uid="{00000000-0005-0000-0000-0000C2470000}"/>
    <cellStyle name="Percent 2 29" xfId="18299" xr:uid="{00000000-0005-0000-0000-0000C3470000}"/>
    <cellStyle name="Percent 2 3" xfId="18300" xr:uid="{00000000-0005-0000-0000-0000C4470000}"/>
    <cellStyle name="Percent 2 3 2" xfId="18301" xr:uid="{00000000-0005-0000-0000-0000C5470000}"/>
    <cellStyle name="Percent 2 3 3" xfId="18302" xr:uid="{00000000-0005-0000-0000-0000C6470000}"/>
    <cellStyle name="Percent 2 3 4" xfId="18303" xr:uid="{00000000-0005-0000-0000-0000C7470000}"/>
    <cellStyle name="Percent 2 3 5" xfId="18304" xr:uid="{00000000-0005-0000-0000-0000C8470000}"/>
    <cellStyle name="Percent 2 30" xfId="18305" xr:uid="{00000000-0005-0000-0000-0000C9470000}"/>
    <cellStyle name="Percent 2 31" xfId="18306" xr:uid="{00000000-0005-0000-0000-0000CA470000}"/>
    <cellStyle name="Percent 2 32" xfId="18307" xr:uid="{00000000-0005-0000-0000-0000CB470000}"/>
    <cellStyle name="Percent 2 33" xfId="18308" xr:uid="{00000000-0005-0000-0000-0000CC470000}"/>
    <cellStyle name="Percent 2 34" xfId="18309" xr:uid="{00000000-0005-0000-0000-0000CD470000}"/>
    <cellStyle name="Percent 2 35" xfId="18310" xr:uid="{00000000-0005-0000-0000-0000CE470000}"/>
    <cellStyle name="Percent 2 36" xfId="18311" xr:uid="{00000000-0005-0000-0000-0000CF470000}"/>
    <cellStyle name="Percent 2 37" xfId="18312" xr:uid="{00000000-0005-0000-0000-0000D0470000}"/>
    <cellStyle name="Percent 2 38" xfId="18313" xr:uid="{00000000-0005-0000-0000-0000D1470000}"/>
    <cellStyle name="Percent 2 39" xfId="18314" xr:uid="{00000000-0005-0000-0000-0000D2470000}"/>
    <cellStyle name="Percent 2 4" xfId="18315" xr:uid="{00000000-0005-0000-0000-0000D3470000}"/>
    <cellStyle name="Percent 2 4 2" xfId="18316" xr:uid="{00000000-0005-0000-0000-0000D4470000}"/>
    <cellStyle name="Percent 2 4 3" xfId="18317" xr:uid="{00000000-0005-0000-0000-0000D5470000}"/>
    <cellStyle name="Percent 2 4 4" xfId="18318" xr:uid="{00000000-0005-0000-0000-0000D6470000}"/>
    <cellStyle name="Percent 2 40" xfId="21848" xr:uid="{00000000-0005-0000-0000-0000D7470000}"/>
    <cellStyle name="Percent 2 5" xfId="18319" xr:uid="{00000000-0005-0000-0000-0000D8470000}"/>
    <cellStyle name="Percent 2 5 2" xfId="18320" xr:uid="{00000000-0005-0000-0000-0000D9470000}"/>
    <cellStyle name="Percent 2 5 3" xfId="18321" xr:uid="{00000000-0005-0000-0000-0000DA470000}"/>
    <cellStyle name="Percent 2 6" xfId="18322" xr:uid="{00000000-0005-0000-0000-0000DB470000}"/>
    <cellStyle name="Percent 2 6 2" xfId="18323" xr:uid="{00000000-0005-0000-0000-0000DC470000}"/>
    <cellStyle name="Percent 2 6 3" xfId="18324" xr:uid="{00000000-0005-0000-0000-0000DD470000}"/>
    <cellStyle name="Percent 2 7" xfId="18325" xr:uid="{00000000-0005-0000-0000-0000DE470000}"/>
    <cellStyle name="Percent 2 7 2" xfId="18326" xr:uid="{00000000-0005-0000-0000-0000DF470000}"/>
    <cellStyle name="Percent 2 7 3" xfId="18327" xr:uid="{00000000-0005-0000-0000-0000E0470000}"/>
    <cellStyle name="Percent 2 8" xfId="18328" xr:uid="{00000000-0005-0000-0000-0000E1470000}"/>
    <cellStyle name="Percent 2 8 2" xfId="18329" xr:uid="{00000000-0005-0000-0000-0000E2470000}"/>
    <cellStyle name="Percent 2 8 3" xfId="18330" xr:uid="{00000000-0005-0000-0000-0000E3470000}"/>
    <cellStyle name="Percent 2 9" xfId="18331" xr:uid="{00000000-0005-0000-0000-0000E4470000}"/>
    <cellStyle name="Percent 2 9 2" xfId="18332" xr:uid="{00000000-0005-0000-0000-0000E5470000}"/>
    <cellStyle name="Percent 2 9 3" xfId="18333" xr:uid="{00000000-0005-0000-0000-0000E6470000}"/>
    <cellStyle name="Percent 20" xfId="18334" xr:uid="{00000000-0005-0000-0000-0000E7470000}"/>
    <cellStyle name="Percent 200" xfId="21873" xr:uid="{00000000-0005-0000-0000-0000E8470000}"/>
    <cellStyle name="Percent 201" xfId="21868" xr:uid="{00000000-0005-0000-0000-0000E9470000}"/>
    <cellStyle name="Percent 202" xfId="21875" xr:uid="{00000000-0005-0000-0000-0000EA470000}"/>
    <cellStyle name="Percent 203" xfId="21878" xr:uid="{00000000-0005-0000-0000-0000EB470000}"/>
    <cellStyle name="Percent 204" xfId="21881" xr:uid="{00000000-0005-0000-0000-0000EC470000}"/>
    <cellStyle name="Percent 21" xfId="18335" xr:uid="{00000000-0005-0000-0000-0000ED470000}"/>
    <cellStyle name="Percent 22" xfId="18336" xr:uid="{00000000-0005-0000-0000-0000EE470000}"/>
    <cellStyle name="Percent 23" xfId="18337" xr:uid="{00000000-0005-0000-0000-0000EF470000}"/>
    <cellStyle name="Percent 24" xfId="18338" xr:uid="{00000000-0005-0000-0000-0000F0470000}"/>
    <cellStyle name="Percent 25" xfId="18339" xr:uid="{00000000-0005-0000-0000-0000F1470000}"/>
    <cellStyle name="Percent 25 2" xfId="18340" xr:uid="{00000000-0005-0000-0000-0000F2470000}"/>
    <cellStyle name="Percent 25 2 2" xfId="18341" xr:uid="{00000000-0005-0000-0000-0000F3470000}"/>
    <cellStyle name="Percent 25 2 2 2" xfId="18342" xr:uid="{00000000-0005-0000-0000-0000F4470000}"/>
    <cellStyle name="Percent 25 2 2 2 2" xfId="18343" xr:uid="{00000000-0005-0000-0000-0000F5470000}"/>
    <cellStyle name="Percent 25 2 2 2 2 2" xfId="18344" xr:uid="{00000000-0005-0000-0000-0000F6470000}"/>
    <cellStyle name="Percent 25 2 2 2 2 2 2" xfId="18345" xr:uid="{00000000-0005-0000-0000-0000F7470000}"/>
    <cellStyle name="Percent 25 2 2 2 2 2 3" xfId="18346" xr:uid="{00000000-0005-0000-0000-0000F8470000}"/>
    <cellStyle name="Percent 25 2 2 2 2 3" xfId="18347" xr:uid="{00000000-0005-0000-0000-0000F9470000}"/>
    <cellStyle name="Percent 25 2 2 2 2 4" xfId="18348" xr:uid="{00000000-0005-0000-0000-0000FA470000}"/>
    <cellStyle name="Percent 25 2 2 2 3" xfId="18349" xr:uid="{00000000-0005-0000-0000-0000FB470000}"/>
    <cellStyle name="Percent 25 2 2 2 3 2" xfId="18350" xr:uid="{00000000-0005-0000-0000-0000FC470000}"/>
    <cellStyle name="Percent 25 2 2 2 3 3" xfId="18351" xr:uid="{00000000-0005-0000-0000-0000FD470000}"/>
    <cellStyle name="Percent 25 2 2 2 4" xfId="18352" xr:uid="{00000000-0005-0000-0000-0000FE470000}"/>
    <cellStyle name="Percent 25 2 2 2 5" xfId="18353" xr:uid="{00000000-0005-0000-0000-0000FF470000}"/>
    <cellStyle name="Percent 25 2 2 3" xfId="18354" xr:uid="{00000000-0005-0000-0000-000000480000}"/>
    <cellStyle name="Percent 25 2 2 3 2" xfId="18355" xr:uid="{00000000-0005-0000-0000-000001480000}"/>
    <cellStyle name="Percent 25 2 2 3 2 2" xfId="18356" xr:uid="{00000000-0005-0000-0000-000002480000}"/>
    <cellStyle name="Percent 25 2 2 3 2 3" xfId="18357" xr:uid="{00000000-0005-0000-0000-000003480000}"/>
    <cellStyle name="Percent 25 2 2 3 3" xfId="18358" xr:uid="{00000000-0005-0000-0000-000004480000}"/>
    <cellStyle name="Percent 25 2 2 3 4" xfId="18359" xr:uid="{00000000-0005-0000-0000-000005480000}"/>
    <cellStyle name="Percent 25 2 2 4" xfId="18360" xr:uid="{00000000-0005-0000-0000-000006480000}"/>
    <cellStyle name="Percent 25 2 2 4 2" xfId="18361" xr:uid="{00000000-0005-0000-0000-000007480000}"/>
    <cellStyle name="Percent 25 2 2 4 3" xfId="18362" xr:uid="{00000000-0005-0000-0000-000008480000}"/>
    <cellStyle name="Percent 25 2 2 5" xfId="18363" xr:uid="{00000000-0005-0000-0000-000009480000}"/>
    <cellStyle name="Percent 25 2 2 6" xfId="18364" xr:uid="{00000000-0005-0000-0000-00000A480000}"/>
    <cellStyle name="Percent 25 2 3" xfId="18365" xr:uid="{00000000-0005-0000-0000-00000B480000}"/>
    <cellStyle name="Percent 25 2 3 2" xfId="18366" xr:uid="{00000000-0005-0000-0000-00000C480000}"/>
    <cellStyle name="Percent 25 2 3 2 2" xfId="18367" xr:uid="{00000000-0005-0000-0000-00000D480000}"/>
    <cellStyle name="Percent 25 2 3 2 2 2" xfId="18368" xr:uid="{00000000-0005-0000-0000-00000E480000}"/>
    <cellStyle name="Percent 25 2 3 2 2 3" xfId="18369" xr:uid="{00000000-0005-0000-0000-00000F480000}"/>
    <cellStyle name="Percent 25 2 3 2 3" xfId="18370" xr:uid="{00000000-0005-0000-0000-000010480000}"/>
    <cellStyle name="Percent 25 2 3 2 4" xfId="18371" xr:uid="{00000000-0005-0000-0000-000011480000}"/>
    <cellStyle name="Percent 25 2 3 3" xfId="18372" xr:uid="{00000000-0005-0000-0000-000012480000}"/>
    <cellStyle name="Percent 25 2 3 3 2" xfId="18373" xr:uid="{00000000-0005-0000-0000-000013480000}"/>
    <cellStyle name="Percent 25 2 3 3 3" xfId="18374" xr:uid="{00000000-0005-0000-0000-000014480000}"/>
    <cellStyle name="Percent 25 2 3 4" xfId="18375" xr:uid="{00000000-0005-0000-0000-000015480000}"/>
    <cellStyle name="Percent 25 2 3 5" xfId="18376" xr:uid="{00000000-0005-0000-0000-000016480000}"/>
    <cellStyle name="Percent 25 2 4" xfId="18377" xr:uid="{00000000-0005-0000-0000-000017480000}"/>
    <cellStyle name="Percent 25 2 4 2" xfId="18378" xr:uid="{00000000-0005-0000-0000-000018480000}"/>
    <cellStyle name="Percent 25 2 4 2 2" xfId="18379" xr:uid="{00000000-0005-0000-0000-000019480000}"/>
    <cellStyle name="Percent 25 2 4 2 3" xfId="18380" xr:uid="{00000000-0005-0000-0000-00001A480000}"/>
    <cellStyle name="Percent 25 2 4 3" xfId="18381" xr:uid="{00000000-0005-0000-0000-00001B480000}"/>
    <cellStyle name="Percent 25 2 4 4" xfId="18382" xr:uid="{00000000-0005-0000-0000-00001C480000}"/>
    <cellStyle name="Percent 25 2 5" xfId="18383" xr:uid="{00000000-0005-0000-0000-00001D480000}"/>
    <cellStyle name="Percent 25 2 5 2" xfId="18384" xr:uid="{00000000-0005-0000-0000-00001E480000}"/>
    <cellStyle name="Percent 25 2 5 3" xfId="18385" xr:uid="{00000000-0005-0000-0000-00001F480000}"/>
    <cellStyle name="Percent 25 2 6" xfId="18386" xr:uid="{00000000-0005-0000-0000-000020480000}"/>
    <cellStyle name="Percent 25 2 7" xfId="18387" xr:uid="{00000000-0005-0000-0000-000021480000}"/>
    <cellStyle name="Percent 25 3" xfId="18388" xr:uid="{00000000-0005-0000-0000-000022480000}"/>
    <cellStyle name="Percent 25 3 2" xfId="18389" xr:uid="{00000000-0005-0000-0000-000023480000}"/>
    <cellStyle name="Percent 25 3 2 2" xfId="18390" xr:uid="{00000000-0005-0000-0000-000024480000}"/>
    <cellStyle name="Percent 25 3 2 2 2" xfId="18391" xr:uid="{00000000-0005-0000-0000-000025480000}"/>
    <cellStyle name="Percent 25 3 2 2 2 2" xfId="18392" xr:uid="{00000000-0005-0000-0000-000026480000}"/>
    <cellStyle name="Percent 25 3 2 2 2 2 2" xfId="18393" xr:uid="{00000000-0005-0000-0000-000027480000}"/>
    <cellStyle name="Percent 25 3 2 2 2 2 3" xfId="18394" xr:uid="{00000000-0005-0000-0000-000028480000}"/>
    <cellStyle name="Percent 25 3 2 2 2 3" xfId="18395" xr:uid="{00000000-0005-0000-0000-000029480000}"/>
    <cellStyle name="Percent 25 3 2 2 2 4" xfId="18396" xr:uid="{00000000-0005-0000-0000-00002A480000}"/>
    <cellStyle name="Percent 25 3 2 2 3" xfId="18397" xr:uid="{00000000-0005-0000-0000-00002B480000}"/>
    <cellStyle name="Percent 25 3 2 2 3 2" xfId="18398" xr:uid="{00000000-0005-0000-0000-00002C480000}"/>
    <cellStyle name="Percent 25 3 2 2 3 3" xfId="18399" xr:uid="{00000000-0005-0000-0000-00002D480000}"/>
    <cellStyle name="Percent 25 3 2 2 4" xfId="18400" xr:uid="{00000000-0005-0000-0000-00002E480000}"/>
    <cellStyle name="Percent 25 3 2 2 5" xfId="18401" xr:uid="{00000000-0005-0000-0000-00002F480000}"/>
    <cellStyle name="Percent 25 3 2 3" xfId="18402" xr:uid="{00000000-0005-0000-0000-000030480000}"/>
    <cellStyle name="Percent 25 3 2 3 2" xfId="18403" xr:uid="{00000000-0005-0000-0000-000031480000}"/>
    <cellStyle name="Percent 25 3 2 3 2 2" xfId="18404" xr:uid="{00000000-0005-0000-0000-000032480000}"/>
    <cellStyle name="Percent 25 3 2 3 2 3" xfId="18405" xr:uid="{00000000-0005-0000-0000-000033480000}"/>
    <cellStyle name="Percent 25 3 2 3 3" xfId="18406" xr:uid="{00000000-0005-0000-0000-000034480000}"/>
    <cellStyle name="Percent 25 3 2 3 4" xfId="18407" xr:uid="{00000000-0005-0000-0000-000035480000}"/>
    <cellStyle name="Percent 25 3 2 4" xfId="18408" xr:uid="{00000000-0005-0000-0000-000036480000}"/>
    <cellStyle name="Percent 25 3 2 4 2" xfId="18409" xr:uid="{00000000-0005-0000-0000-000037480000}"/>
    <cellStyle name="Percent 25 3 2 4 3" xfId="18410" xr:uid="{00000000-0005-0000-0000-000038480000}"/>
    <cellStyle name="Percent 25 3 2 5" xfId="18411" xr:uid="{00000000-0005-0000-0000-000039480000}"/>
    <cellStyle name="Percent 25 3 2 6" xfId="18412" xr:uid="{00000000-0005-0000-0000-00003A480000}"/>
    <cellStyle name="Percent 25 3 3" xfId="18413" xr:uid="{00000000-0005-0000-0000-00003B480000}"/>
    <cellStyle name="Percent 25 3 3 2" xfId="18414" xr:uid="{00000000-0005-0000-0000-00003C480000}"/>
    <cellStyle name="Percent 25 3 3 2 2" xfId="18415" xr:uid="{00000000-0005-0000-0000-00003D480000}"/>
    <cellStyle name="Percent 25 3 3 2 2 2" xfId="18416" xr:uid="{00000000-0005-0000-0000-00003E480000}"/>
    <cellStyle name="Percent 25 3 3 2 2 3" xfId="18417" xr:uid="{00000000-0005-0000-0000-00003F480000}"/>
    <cellStyle name="Percent 25 3 3 2 3" xfId="18418" xr:uid="{00000000-0005-0000-0000-000040480000}"/>
    <cellStyle name="Percent 25 3 3 2 4" xfId="18419" xr:uid="{00000000-0005-0000-0000-000041480000}"/>
    <cellStyle name="Percent 25 3 3 3" xfId="18420" xr:uid="{00000000-0005-0000-0000-000042480000}"/>
    <cellStyle name="Percent 25 3 3 3 2" xfId="18421" xr:uid="{00000000-0005-0000-0000-000043480000}"/>
    <cellStyle name="Percent 25 3 3 3 3" xfId="18422" xr:uid="{00000000-0005-0000-0000-000044480000}"/>
    <cellStyle name="Percent 25 3 3 4" xfId="18423" xr:uid="{00000000-0005-0000-0000-000045480000}"/>
    <cellStyle name="Percent 25 3 3 5" xfId="18424" xr:uid="{00000000-0005-0000-0000-000046480000}"/>
    <cellStyle name="Percent 25 3 4" xfId="18425" xr:uid="{00000000-0005-0000-0000-000047480000}"/>
    <cellStyle name="Percent 25 3 4 2" xfId="18426" xr:uid="{00000000-0005-0000-0000-000048480000}"/>
    <cellStyle name="Percent 25 3 4 2 2" xfId="18427" xr:uid="{00000000-0005-0000-0000-000049480000}"/>
    <cellStyle name="Percent 25 3 4 2 3" xfId="18428" xr:uid="{00000000-0005-0000-0000-00004A480000}"/>
    <cellStyle name="Percent 25 3 4 3" xfId="18429" xr:uid="{00000000-0005-0000-0000-00004B480000}"/>
    <cellStyle name="Percent 25 3 4 4" xfId="18430" xr:uid="{00000000-0005-0000-0000-00004C480000}"/>
    <cellStyle name="Percent 25 3 5" xfId="18431" xr:uid="{00000000-0005-0000-0000-00004D480000}"/>
    <cellStyle name="Percent 25 3 5 2" xfId="18432" xr:uid="{00000000-0005-0000-0000-00004E480000}"/>
    <cellStyle name="Percent 25 3 5 3" xfId="18433" xr:uid="{00000000-0005-0000-0000-00004F480000}"/>
    <cellStyle name="Percent 25 3 6" xfId="18434" xr:uid="{00000000-0005-0000-0000-000050480000}"/>
    <cellStyle name="Percent 25 3 7" xfId="18435" xr:uid="{00000000-0005-0000-0000-000051480000}"/>
    <cellStyle name="Percent 25 4" xfId="18436" xr:uid="{00000000-0005-0000-0000-000052480000}"/>
    <cellStyle name="Percent 25 4 2" xfId="18437" xr:uid="{00000000-0005-0000-0000-000053480000}"/>
    <cellStyle name="Percent 25 4 2 2" xfId="18438" xr:uid="{00000000-0005-0000-0000-000054480000}"/>
    <cellStyle name="Percent 25 4 2 2 2" xfId="18439" xr:uid="{00000000-0005-0000-0000-000055480000}"/>
    <cellStyle name="Percent 25 4 2 2 2 2" xfId="18440" xr:uid="{00000000-0005-0000-0000-000056480000}"/>
    <cellStyle name="Percent 25 4 2 2 2 2 2" xfId="18441" xr:uid="{00000000-0005-0000-0000-000057480000}"/>
    <cellStyle name="Percent 25 4 2 2 2 2 3" xfId="18442" xr:uid="{00000000-0005-0000-0000-000058480000}"/>
    <cellStyle name="Percent 25 4 2 2 2 3" xfId="18443" xr:uid="{00000000-0005-0000-0000-000059480000}"/>
    <cellStyle name="Percent 25 4 2 2 2 4" xfId="18444" xr:uid="{00000000-0005-0000-0000-00005A480000}"/>
    <cellStyle name="Percent 25 4 2 2 3" xfId="18445" xr:uid="{00000000-0005-0000-0000-00005B480000}"/>
    <cellStyle name="Percent 25 4 2 2 3 2" xfId="18446" xr:uid="{00000000-0005-0000-0000-00005C480000}"/>
    <cellStyle name="Percent 25 4 2 2 3 3" xfId="18447" xr:uid="{00000000-0005-0000-0000-00005D480000}"/>
    <cellStyle name="Percent 25 4 2 2 4" xfId="18448" xr:uid="{00000000-0005-0000-0000-00005E480000}"/>
    <cellStyle name="Percent 25 4 2 2 5" xfId="18449" xr:uid="{00000000-0005-0000-0000-00005F480000}"/>
    <cellStyle name="Percent 25 4 2 3" xfId="18450" xr:uid="{00000000-0005-0000-0000-000060480000}"/>
    <cellStyle name="Percent 25 4 2 3 2" xfId="18451" xr:uid="{00000000-0005-0000-0000-000061480000}"/>
    <cellStyle name="Percent 25 4 2 3 2 2" xfId="18452" xr:uid="{00000000-0005-0000-0000-000062480000}"/>
    <cellStyle name="Percent 25 4 2 3 2 3" xfId="18453" xr:uid="{00000000-0005-0000-0000-000063480000}"/>
    <cellStyle name="Percent 25 4 2 3 3" xfId="18454" xr:uid="{00000000-0005-0000-0000-000064480000}"/>
    <cellStyle name="Percent 25 4 2 3 4" xfId="18455" xr:uid="{00000000-0005-0000-0000-000065480000}"/>
    <cellStyle name="Percent 25 4 2 4" xfId="18456" xr:uid="{00000000-0005-0000-0000-000066480000}"/>
    <cellStyle name="Percent 25 4 2 4 2" xfId="18457" xr:uid="{00000000-0005-0000-0000-000067480000}"/>
    <cellStyle name="Percent 25 4 2 4 3" xfId="18458" xr:uid="{00000000-0005-0000-0000-000068480000}"/>
    <cellStyle name="Percent 25 4 2 5" xfId="18459" xr:uid="{00000000-0005-0000-0000-000069480000}"/>
    <cellStyle name="Percent 25 4 2 6" xfId="18460" xr:uid="{00000000-0005-0000-0000-00006A480000}"/>
    <cellStyle name="Percent 25 5" xfId="18461" xr:uid="{00000000-0005-0000-0000-00006B480000}"/>
    <cellStyle name="Percent 25 5 2" xfId="18462" xr:uid="{00000000-0005-0000-0000-00006C480000}"/>
    <cellStyle name="Percent 25 5 2 2" xfId="18463" xr:uid="{00000000-0005-0000-0000-00006D480000}"/>
    <cellStyle name="Percent 25 5 2 2 2" xfId="18464" xr:uid="{00000000-0005-0000-0000-00006E480000}"/>
    <cellStyle name="Percent 25 5 2 2 2 2" xfId="18465" xr:uid="{00000000-0005-0000-0000-00006F480000}"/>
    <cellStyle name="Percent 25 5 2 2 2 3" xfId="18466" xr:uid="{00000000-0005-0000-0000-000070480000}"/>
    <cellStyle name="Percent 25 5 2 2 3" xfId="18467" xr:uid="{00000000-0005-0000-0000-000071480000}"/>
    <cellStyle name="Percent 25 5 2 2 4" xfId="18468" xr:uid="{00000000-0005-0000-0000-000072480000}"/>
    <cellStyle name="Percent 25 5 2 3" xfId="18469" xr:uid="{00000000-0005-0000-0000-000073480000}"/>
    <cellStyle name="Percent 25 5 2 3 2" xfId="18470" xr:uid="{00000000-0005-0000-0000-000074480000}"/>
    <cellStyle name="Percent 25 5 2 3 3" xfId="18471" xr:uid="{00000000-0005-0000-0000-000075480000}"/>
    <cellStyle name="Percent 25 5 2 4" xfId="18472" xr:uid="{00000000-0005-0000-0000-000076480000}"/>
    <cellStyle name="Percent 25 5 2 5" xfId="18473" xr:uid="{00000000-0005-0000-0000-000077480000}"/>
    <cellStyle name="Percent 25 5 3" xfId="18474" xr:uid="{00000000-0005-0000-0000-000078480000}"/>
    <cellStyle name="Percent 25 5 3 2" xfId="18475" xr:uid="{00000000-0005-0000-0000-000079480000}"/>
    <cellStyle name="Percent 25 5 3 2 2" xfId="18476" xr:uid="{00000000-0005-0000-0000-00007A480000}"/>
    <cellStyle name="Percent 25 5 3 2 3" xfId="18477" xr:uid="{00000000-0005-0000-0000-00007B480000}"/>
    <cellStyle name="Percent 25 5 3 3" xfId="18478" xr:uid="{00000000-0005-0000-0000-00007C480000}"/>
    <cellStyle name="Percent 25 5 3 4" xfId="18479" xr:uid="{00000000-0005-0000-0000-00007D480000}"/>
    <cellStyle name="Percent 25 5 4" xfId="18480" xr:uid="{00000000-0005-0000-0000-00007E480000}"/>
    <cellStyle name="Percent 25 5 4 2" xfId="18481" xr:uid="{00000000-0005-0000-0000-00007F480000}"/>
    <cellStyle name="Percent 25 5 4 3" xfId="18482" xr:uid="{00000000-0005-0000-0000-000080480000}"/>
    <cellStyle name="Percent 25 5 5" xfId="18483" xr:uid="{00000000-0005-0000-0000-000081480000}"/>
    <cellStyle name="Percent 25 5 6" xfId="18484" xr:uid="{00000000-0005-0000-0000-000082480000}"/>
    <cellStyle name="Percent 26" xfId="18485" xr:uid="{00000000-0005-0000-0000-000083480000}"/>
    <cellStyle name="Percent 26 2" xfId="18486" xr:uid="{00000000-0005-0000-0000-000084480000}"/>
    <cellStyle name="Percent 26 2 2" xfId="18487" xr:uid="{00000000-0005-0000-0000-000085480000}"/>
    <cellStyle name="Percent 26 2 2 2" xfId="18488" xr:uid="{00000000-0005-0000-0000-000086480000}"/>
    <cellStyle name="Percent 26 2 2 2 2" xfId="18489" xr:uid="{00000000-0005-0000-0000-000087480000}"/>
    <cellStyle name="Percent 26 2 2 2 2 2" xfId="18490" xr:uid="{00000000-0005-0000-0000-000088480000}"/>
    <cellStyle name="Percent 26 2 2 2 2 2 2" xfId="18491" xr:uid="{00000000-0005-0000-0000-000089480000}"/>
    <cellStyle name="Percent 26 2 2 2 2 2 3" xfId="18492" xr:uid="{00000000-0005-0000-0000-00008A480000}"/>
    <cellStyle name="Percent 26 2 2 2 2 3" xfId="18493" xr:uid="{00000000-0005-0000-0000-00008B480000}"/>
    <cellStyle name="Percent 26 2 2 2 2 4" xfId="18494" xr:uid="{00000000-0005-0000-0000-00008C480000}"/>
    <cellStyle name="Percent 26 2 2 2 3" xfId="18495" xr:uid="{00000000-0005-0000-0000-00008D480000}"/>
    <cellStyle name="Percent 26 2 2 2 3 2" xfId="18496" xr:uid="{00000000-0005-0000-0000-00008E480000}"/>
    <cellStyle name="Percent 26 2 2 2 3 3" xfId="18497" xr:uid="{00000000-0005-0000-0000-00008F480000}"/>
    <cellStyle name="Percent 26 2 2 2 4" xfId="18498" xr:uid="{00000000-0005-0000-0000-000090480000}"/>
    <cellStyle name="Percent 26 2 2 2 5" xfId="18499" xr:uid="{00000000-0005-0000-0000-000091480000}"/>
    <cellStyle name="Percent 26 2 2 3" xfId="18500" xr:uid="{00000000-0005-0000-0000-000092480000}"/>
    <cellStyle name="Percent 26 2 2 3 2" xfId="18501" xr:uid="{00000000-0005-0000-0000-000093480000}"/>
    <cellStyle name="Percent 26 2 2 3 2 2" xfId="18502" xr:uid="{00000000-0005-0000-0000-000094480000}"/>
    <cellStyle name="Percent 26 2 2 3 2 3" xfId="18503" xr:uid="{00000000-0005-0000-0000-000095480000}"/>
    <cellStyle name="Percent 26 2 2 3 3" xfId="18504" xr:uid="{00000000-0005-0000-0000-000096480000}"/>
    <cellStyle name="Percent 26 2 2 3 4" xfId="18505" xr:uid="{00000000-0005-0000-0000-000097480000}"/>
    <cellStyle name="Percent 26 2 2 4" xfId="18506" xr:uid="{00000000-0005-0000-0000-000098480000}"/>
    <cellStyle name="Percent 26 2 2 4 2" xfId="18507" xr:uid="{00000000-0005-0000-0000-000099480000}"/>
    <cellStyle name="Percent 26 2 2 4 3" xfId="18508" xr:uid="{00000000-0005-0000-0000-00009A480000}"/>
    <cellStyle name="Percent 26 2 2 5" xfId="18509" xr:uid="{00000000-0005-0000-0000-00009B480000}"/>
    <cellStyle name="Percent 26 2 2 6" xfId="18510" xr:uid="{00000000-0005-0000-0000-00009C480000}"/>
    <cellStyle name="Percent 26 2 3" xfId="18511" xr:uid="{00000000-0005-0000-0000-00009D480000}"/>
    <cellStyle name="Percent 26 2 3 2" xfId="18512" xr:uid="{00000000-0005-0000-0000-00009E480000}"/>
    <cellStyle name="Percent 26 2 3 2 2" xfId="18513" xr:uid="{00000000-0005-0000-0000-00009F480000}"/>
    <cellStyle name="Percent 26 2 3 2 2 2" xfId="18514" xr:uid="{00000000-0005-0000-0000-0000A0480000}"/>
    <cellStyle name="Percent 26 2 3 2 2 3" xfId="18515" xr:uid="{00000000-0005-0000-0000-0000A1480000}"/>
    <cellStyle name="Percent 26 2 3 2 3" xfId="18516" xr:uid="{00000000-0005-0000-0000-0000A2480000}"/>
    <cellStyle name="Percent 26 2 3 2 4" xfId="18517" xr:uid="{00000000-0005-0000-0000-0000A3480000}"/>
    <cellStyle name="Percent 26 2 3 3" xfId="18518" xr:uid="{00000000-0005-0000-0000-0000A4480000}"/>
    <cellStyle name="Percent 26 2 3 3 2" xfId="18519" xr:uid="{00000000-0005-0000-0000-0000A5480000}"/>
    <cellStyle name="Percent 26 2 3 3 3" xfId="18520" xr:uid="{00000000-0005-0000-0000-0000A6480000}"/>
    <cellStyle name="Percent 26 2 3 4" xfId="18521" xr:uid="{00000000-0005-0000-0000-0000A7480000}"/>
    <cellStyle name="Percent 26 2 3 5" xfId="18522" xr:uid="{00000000-0005-0000-0000-0000A8480000}"/>
    <cellStyle name="Percent 26 2 4" xfId="18523" xr:uid="{00000000-0005-0000-0000-0000A9480000}"/>
    <cellStyle name="Percent 26 2 4 2" xfId="18524" xr:uid="{00000000-0005-0000-0000-0000AA480000}"/>
    <cellStyle name="Percent 26 2 4 2 2" xfId="18525" xr:uid="{00000000-0005-0000-0000-0000AB480000}"/>
    <cellStyle name="Percent 26 2 4 2 3" xfId="18526" xr:uid="{00000000-0005-0000-0000-0000AC480000}"/>
    <cellStyle name="Percent 26 2 4 3" xfId="18527" xr:uid="{00000000-0005-0000-0000-0000AD480000}"/>
    <cellStyle name="Percent 26 2 4 4" xfId="18528" xr:uid="{00000000-0005-0000-0000-0000AE480000}"/>
    <cellStyle name="Percent 26 2 5" xfId="18529" xr:uid="{00000000-0005-0000-0000-0000AF480000}"/>
    <cellStyle name="Percent 26 2 5 2" xfId="18530" xr:uid="{00000000-0005-0000-0000-0000B0480000}"/>
    <cellStyle name="Percent 26 2 5 3" xfId="18531" xr:uid="{00000000-0005-0000-0000-0000B1480000}"/>
    <cellStyle name="Percent 26 2 6" xfId="18532" xr:uid="{00000000-0005-0000-0000-0000B2480000}"/>
    <cellStyle name="Percent 26 2 7" xfId="18533" xr:uid="{00000000-0005-0000-0000-0000B3480000}"/>
    <cellStyle name="Percent 26 3" xfId="18534" xr:uid="{00000000-0005-0000-0000-0000B4480000}"/>
    <cellStyle name="Percent 26 3 2" xfId="18535" xr:uid="{00000000-0005-0000-0000-0000B5480000}"/>
    <cellStyle name="Percent 26 3 2 2" xfId="18536" xr:uid="{00000000-0005-0000-0000-0000B6480000}"/>
    <cellStyle name="Percent 26 3 2 2 2" xfId="18537" xr:uid="{00000000-0005-0000-0000-0000B7480000}"/>
    <cellStyle name="Percent 26 3 2 2 2 2" xfId="18538" xr:uid="{00000000-0005-0000-0000-0000B8480000}"/>
    <cellStyle name="Percent 26 3 2 2 2 2 2" xfId="18539" xr:uid="{00000000-0005-0000-0000-0000B9480000}"/>
    <cellStyle name="Percent 26 3 2 2 2 2 3" xfId="18540" xr:uid="{00000000-0005-0000-0000-0000BA480000}"/>
    <cellStyle name="Percent 26 3 2 2 2 3" xfId="18541" xr:uid="{00000000-0005-0000-0000-0000BB480000}"/>
    <cellStyle name="Percent 26 3 2 2 2 4" xfId="18542" xr:uid="{00000000-0005-0000-0000-0000BC480000}"/>
    <cellStyle name="Percent 26 3 2 2 3" xfId="18543" xr:uid="{00000000-0005-0000-0000-0000BD480000}"/>
    <cellStyle name="Percent 26 3 2 2 3 2" xfId="18544" xr:uid="{00000000-0005-0000-0000-0000BE480000}"/>
    <cellStyle name="Percent 26 3 2 2 3 3" xfId="18545" xr:uid="{00000000-0005-0000-0000-0000BF480000}"/>
    <cellStyle name="Percent 26 3 2 2 4" xfId="18546" xr:uid="{00000000-0005-0000-0000-0000C0480000}"/>
    <cellStyle name="Percent 26 3 2 2 5" xfId="18547" xr:uid="{00000000-0005-0000-0000-0000C1480000}"/>
    <cellStyle name="Percent 26 3 2 3" xfId="18548" xr:uid="{00000000-0005-0000-0000-0000C2480000}"/>
    <cellStyle name="Percent 26 3 2 3 2" xfId="18549" xr:uid="{00000000-0005-0000-0000-0000C3480000}"/>
    <cellStyle name="Percent 26 3 2 3 2 2" xfId="18550" xr:uid="{00000000-0005-0000-0000-0000C4480000}"/>
    <cellStyle name="Percent 26 3 2 3 2 3" xfId="18551" xr:uid="{00000000-0005-0000-0000-0000C5480000}"/>
    <cellStyle name="Percent 26 3 2 3 3" xfId="18552" xr:uid="{00000000-0005-0000-0000-0000C6480000}"/>
    <cellStyle name="Percent 26 3 2 3 4" xfId="18553" xr:uid="{00000000-0005-0000-0000-0000C7480000}"/>
    <cellStyle name="Percent 26 3 2 4" xfId="18554" xr:uid="{00000000-0005-0000-0000-0000C8480000}"/>
    <cellStyle name="Percent 26 3 2 4 2" xfId="18555" xr:uid="{00000000-0005-0000-0000-0000C9480000}"/>
    <cellStyle name="Percent 26 3 2 4 3" xfId="18556" xr:uid="{00000000-0005-0000-0000-0000CA480000}"/>
    <cellStyle name="Percent 26 3 2 5" xfId="18557" xr:uid="{00000000-0005-0000-0000-0000CB480000}"/>
    <cellStyle name="Percent 26 3 2 6" xfId="18558" xr:uid="{00000000-0005-0000-0000-0000CC480000}"/>
    <cellStyle name="Percent 26 3 3" xfId="18559" xr:uid="{00000000-0005-0000-0000-0000CD480000}"/>
    <cellStyle name="Percent 26 3 3 2" xfId="18560" xr:uid="{00000000-0005-0000-0000-0000CE480000}"/>
    <cellStyle name="Percent 26 3 3 2 2" xfId="18561" xr:uid="{00000000-0005-0000-0000-0000CF480000}"/>
    <cellStyle name="Percent 26 3 3 2 2 2" xfId="18562" xr:uid="{00000000-0005-0000-0000-0000D0480000}"/>
    <cellStyle name="Percent 26 3 3 2 2 3" xfId="18563" xr:uid="{00000000-0005-0000-0000-0000D1480000}"/>
    <cellStyle name="Percent 26 3 3 2 3" xfId="18564" xr:uid="{00000000-0005-0000-0000-0000D2480000}"/>
    <cellStyle name="Percent 26 3 3 2 4" xfId="18565" xr:uid="{00000000-0005-0000-0000-0000D3480000}"/>
    <cellStyle name="Percent 26 3 3 3" xfId="18566" xr:uid="{00000000-0005-0000-0000-0000D4480000}"/>
    <cellStyle name="Percent 26 3 3 3 2" xfId="18567" xr:uid="{00000000-0005-0000-0000-0000D5480000}"/>
    <cellStyle name="Percent 26 3 3 3 3" xfId="18568" xr:uid="{00000000-0005-0000-0000-0000D6480000}"/>
    <cellStyle name="Percent 26 3 3 4" xfId="18569" xr:uid="{00000000-0005-0000-0000-0000D7480000}"/>
    <cellStyle name="Percent 26 3 3 5" xfId="18570" xr:uid="{00000000-0005-0000-0000-0000D8480000}"/>
    <cellStyle name="Percent 26 3 4" xfId="18571" xr:uid="{00000000-0005-0000-0000-0000D9480000}"/>
    <cellStyle name="Percent 26 3 4 2" xfId="18572" xr:uid="{00000000-0005-0000-0000-0000DA480000}"/>
    <cellStyle name="Percent 26 3 4 2 2" xfId="18573" xr:uid="{00000000-0005-0000-0000-0000DB480000}"/>
    <cellStyle name="Percent 26 3 4 2 3" xfId="18574" xr:uid="{00000000-0005-0000-0000-0000DC480000}"/>
    <cellStyle name="Percent 26 3 4 3" xfId="18575" xr:uid="{00000000-0005-0000-0000-0000DD480000}"/>
    <cellStyle name="Percent 26 3 4 4" xfId="18576" xr:uid="{00000000-0005-0000-0000-0000DE480000}"/>
    <cellStyle name="Percent 26 3 5" xfId="18577" xr:uid="{00000000-0005-0000-0000-0000DF480000}"/>
    <cellStyle name="Percent 26 3 5 2" xfId="18578" xr:uid="{00000000-0005-0000-0000-0000E0480000}"/>
    <cellStyle name="Percent 26 3 5 3" xfId="18579" xr:uid="{00000000-0005-0000-0000-0000E1480000}"/>
    <cellStyle name="Percent 26 3 6" xfId="18580" xr:uid="{00000000-0005-0000-0000-0000E2480000}"/>
    <cellStyle name="Percent 26 3 7" xfId="18581" xr:uid="{00000000-0005-0000-0000-0000E3480000}"/>
    <cellStyle name="Percent 26 4" xfId="18582" xr:uid="{00000000-0005-0000-0000-0000E4480000}"/>
    <cellStyle name="Percent 26 4 2" xfId="18583" xr:uid="{00000000-0005-0000-0000-0000E5480000}"/>
    <cellStyle name="Percent 26 4 2 2" xfId="18584" xr:uid="{00000000-0005-0000-0000-0000E6480000}"/>
    <cellStyle name="Percent 26 4 2 2 2" xfId="18585" xr:uid="{00000000-0005-0000-0000-0000E7480000}"/>
    <cellStyle name="Percent 26 4 2 2 2 2" xfId="18586" xr:uid="{00000000-0005-0000-0000-0000E8480000}"/>
    <cellStyle name="Percent 26 4 2 2 2 2 2" xfId="18587" xr:uid="{00000000-0005-0000-0000-0000E9480000}"/>
    <cellStyle name="Percent 26 4 2 2 2 2 3" xfId="18588" xr:uid="{00000000-0005-0000-0000-0000EA480000}"/>
    <cellStyle name="Percent 26 4 2 2 2 3" xfId="18589" xr:uid="{00000000-0005-0000-0000-0000EB480000}"/>
    <cellStyle name="Percent 26 4 2 2 2 4" xfId="18590" xr:uid="{00000000-0005-0000-0000-0000EC480000}"/>
    <cellStyle name="Percent 26 4 2 2 3" xfId="18591" xr:uid="{00000000-0005-0000-0000-0000ED480000}"/>
    <cellStyle name="Percent 26 4 2 2 3 2" xfId="18592" xr:uid="{00000000-0005-0000-0000-0000EE480000}"/>
    <cellStyle name="Percent 26 4 2 2 3 3" xfId="18593" xr:uid="{00000000-0005-0000-0000-0000EF480000}"/>
    <cellStyle name="Percent 26 4 2 2 4" xfId="18594" xr:uid="{00000000-0005-0000-0000-0000F0480000}"/>
    <cellStyle name="Percent 26 4 2 2 5" xfId="18595" xr:uid="{00000000-0005-0000-0000-0000F1480000}"/>
    <cellStyle name="Percent 26 4 2 3" xfId="18596" xr:uid="{00000000-0005-0000-0000-0000F2480000}"/>
    <cellStyle name="Percent 26 4 2 3 2" xfId="18597" xr:uid="{00000000-0005-0000-0000-0000F3480000}"/>
    <cellStyle name="Percent 26 4 2 3 2 2" xfId="18598" xr:uid="{00000000-0005-0000-0000-0000F4480000}"/>
    <cellStyle name="Percent 26 4 2 3 2 3" xfId="18599" xr:uid="{00000000-0005-0000-0000-0000F5480000}"/>
    <cellStyle name="Percent 26 4 2 3 3" xfId="18600" xr:uid="{00000000-0005-0000-0000-0000F6480000}"/>
    <cellStyle name="Percent 26 4 2 3 4" xfId="18601" xr:uid="{00000000-0005-0000-0000-0000F7480000}"/>
    <cellStyle name="Percent 26 4 2 4" xfId="18602" xr:uid="{00000000-0005-0000-0000-0000F8480000}"/>
    <cellStyle name="Percent 26 4 2 4 2" xfId="18603" xr:uid="{00000000-0005-0000-0000-0000F9480000}"/>
    <cellStyle name="Percent 26 4 2 4 3" xfId="18604" xr:uid="{00000000-0005-0000-0000-0000FA480000}"/>
    <cellStyle name="Percent 26 4 2 5" xfId="18605" xr:uid="{00000000-0005-0000-0000-0000FB480000}"/>
    <cellStyle name="Percent 26 4 2 6" xfId="18606" xr:uid="{00000000-0005-0000-0000-0000FC480000}"/>
    <cellStyle name="Percent 26 5" xfId="18607" xr:uid="{00000000-0005-0000-0000-0000FD480000}"/>
    <cellStyle name="Percent 26 5 2" xfId="18608" xr:uid="{00000000-0005-0000-0000-0000FE480000}"/>
    <cellStyle name="Percent 26 5 2 2" xfId="18609" xr:uid="{00000000-0005-0000-0000-0000FF480000}"/>
    <cellStyle name="Percent 26 5 2 2 2" xfId="18610" xr:uid="{00000000-0005-0000-0000-000000490000}"/>
    <cellStyle name="Percent 26 5 2 2 2 2" xfId="18611" xr:uid="{00000000-0005-0000-0000-000001490000}"/>
    <cellStyle name="Percent 26 5 2 2 2 3" xfId="18612" xr:uid="{00000000-0005-0000-0000-000002490000}"/>
    <cellStyle name="Percent 26 5 2 2 3" xfId="18613" xr:uid="{00000000-0005-0000-0000-000003490000}"/>
    <cellStyle name="Percent 26 5 2 2 4" xfId="18614" xr:uid="{00000000-0005-0000-0000-000004490000}"/>
    <cellStyle name="Percent 26 5 2 3" xfId="18615" xr:uid="{00000000-0005-0000-0000-000005490000}"/>
    <cellStyle name="Percent 26 5 2 3 2" xfId="18616" xr:uid="{00000000-0005-0000-0000-000006490000}"/>
    <cellStyle name="Percent 26 5 2 3 3" xfId="18617" xr:uid="{00000000-0005-0000-0000-000007490000}"/>
    <cellStyle name="Percent 26 5 2 4" xfId="18618" xr:uid="{00000000-0005-0000-0000-000008490000}"/>
    <cellStyle name="Percent 26 5 2 5" xfId="18619" xr:uid="{00000000-0005-0000-0000-000009490000}"/>
    <cellStyle name="Percent 26 5 3" xfId="18620" xr:uid="{00000000-0005-0000-0000-00000A490000}"/>
    <cellStyle name="Percent 26 5 3 2" xfId="18621" xr:uid="{00000000-0005-0000-0000-00000B490000}"/>
    <cellStyle name="Percent 26 5 3 2 2" xfId="18622" xr:uid="{00000000-0005-0000-0000-00000C490000}"/>
    <cellStyle name="Percent 26 5 3 2 3" xfId="18623" xr:uid="{00000000-0005-0000-0000-00000D490000}"/>
    <cellStyle name="Percent 26 5 3 3" xfId="18624" xr:uid="{00000000-0005-0000-0000-00000E490000}"/>
    <cellStyle name="Percent 26 5 3 4" xfId="18625" xr:uid="{00000000-0005-0000-0000-00000F490000}"/>
    <cellStyle name="Percent 26 5 4" xfId="18626" xr:uid="{00000000-0005-0000-0000-000010490000}"/>
    <cellStyle name="Percent 26 5 4 2" xfId="18627" xr:uid="{00000000-0005-0000-0000-000011490000}"/>
    <cellStyle name="Percent 26 5 4 3" xfId="18628" xr:uid="{00000000-0005-0000-0000-000012490000}"/>
    <cellStyle name="Percent 26 5 5" xfId="18629" xr:uid="{00000000-0005-0000-0000-000013490000}"/>
    <cellStyle name="Percent 26 5 6" xfId="18630" xr:uid="{00000000-0005-0000-0000-000014490000}"/>
    <cellStyle name="Percent 27" xfId="18631" xr:uid="{00000000-0005-0000-0000-000015490000}"/>
    <cellStyle name="Percent 27 2" xfId="18632" xr:uid="{00000000-0005-0000-0000-000016490000}"/>
    <cellStyle name="Percent 27 2 2" xfId="18633" xr:uid="{00000000-0005-0000-0000-000017490000}"/>
    <cellStyle name="Percent 27 2 2 2" xfId="18634" xr:uid="{00000000-0005-0000-0000-000018490000}"/>
    <cellStyle name="Percent 27 2 2 2 2" xfId="18635" xr:uid="{00000000-0005-0000-0000-000019490000}"/>
    <cellStyle name="Percent 27 2 2 2 2 2" xfId="18636" xr:uid="{00000000-0005-0000-0000-00001A490000}"/>
    <cellStyle name="Percent 27 2 2 2 2 2 2" xfId="18637" xr:uid="{00000000-0005-0000-0000-00001B490000}"/>
    <cellStyle name="Percent 27 2 2 2 2 2 3" xfId="18638" xr:uid="{00000000-0005-0000-0000-00001C490000}"/>
    <cellStyle name="Percent 27 2 2 2 2 3" xfId="18639" xr:uid="{00000000-0005-0000-0000-00001D490000}"/>
    <cellStyle name="Percent 27 2 2 2 2 4" xfId="18640" xr:uid="{00000000-0005-0000-0000-00001E490000}"/>
    <cellStyle name="Percent 27 2 2 2 3" xfId="18641" xr:uid="{00000000-0005-0000-0000-00001F490000}"/>
    <cellStyle name="Percent 27 2 2 2 3 2" xfId="18642" xr:uid="{00000000-0005-0000-0000-000020490000}"/>
    <cellStyle name="Percent 27 2 2 2 3 3" xfId="18643" xr:uid="{00000000-0005-0000-0000-000021490000}"/>
    <cellStyle name="Percent 27 2 2 2 4" xfId="18644" xr:uid="{00000000-0005-0000-0000-000022490000}"/>
    <cellStyle name="Percent 27 2 2 2 5" xfId="18645" xr:uid="{00000000-0005-0000-0000-000023490000}"/>
    <cellStyle name="Percent 27 2 2 3" xfId="18646" xr:uid="{00000000-0005-0000-0000-000024490000}"/>
    <cellStyle name="Percent 27 2 2 3 2" xfId="18647" xr:uid="{00000000-0005-0000-0000-000025490000}"/>
    <cellStyle name="Percent 27 2 2 3 2 2" xfId="18648" xr:uid="{00000000-0005-0000-0000-000026490000}"/>
    <cellStyle name="Percent 27 2 2 3 2 3" xfId="18649" xr:uid="{00000000-0005-0000-0000-000027490000}"/>
    <cellStyle name="Percent 27 2 2 3 3" xfId="18650" xr:uid="{00000000-0005-0000-0000-000028490000}"/>
    <cellStyle name="Percent 27 2 2 3 4" xfId="18651" xr:uid="{00000000-0005-0000-0000-000029490000}"/>
    <cellStyle name="Percent 27 2 2 4" xfId="18652" xr:uid="{00000000-0005-0000-0000-00002A490000}"/>
    <cellStyle name="Percent 27 2 2 4 2" xfId="18653" xr:uid="{00000000-0005-0000-0000-00002B490000}"/>
    <cellStyle name="Percent 27 2 2 4 3" xfId="18654" xr:uid="{00000000-0005-0000-0000-00002C490000}"/>
    <cellStyle name="Percent 27 2 2 5" xfId="18655" xr:uid="{00000000-0005-0000-0000-00002D490000}"/>
    <cellStyle name="Percent 27 2 2 6" xfId="18656" xr:uid="{00000000-0005-0000-0000-00002E490000}"/>
    <cellStyle name="Percent 27 2 3" xfId="18657" xr:uid="{00000000-0005-0000-0000-00002F490000}"/>
    <cellStyle name="Percent 27 2 3 2" xfId="18658" xr:uid="{00000000-0005-0000-0000-000030490000}"/>
    <cellStyle name="Percent 27 2 3 2 2" xfId="18659" xr:uid="{00000000-0005-0000-0000-000031490000}"/>
    <cellStyle name="Percent 27 2 3 2 2 2" xfId="18660" xr:uid="{00000000-0005-0000-0000-000032490000}"/>
    <cellStyle name="Percent 27 2 3 2 2 3" xfId="18661" xr:uid="{00000000-0005-0000-0000-000033490000}"/>
    <cellStyle name="Percent 27 2 3 2 3" xfId="18662" xr:uid="{00000000-0005-0000-0000-000034490000}"/>
    <cellStyle name="Percent 27 2 3 2 4" xfId="18663" xr:uid="{00000000-0005-0000-0000-000035490000}"/>
    <cellStyle name="Percent 27 2 3 3" xfId="18664" xr:uid="{00000000-0005-0000-0000-000036490000}"/>
    <cellStyle name="Percent 27 2 3 3 2" xfId="18665" xr:uid="{00000000-0005-0000-0000-000037490000}"/>
    <cellStyle name="Percent 27 2 3 3 3" xfId="18666" xr:uid="{00000000-0005-0000-0000-000038490000}"/>
    <cellStyle name="Percent 27 2 3 4" xfId="18667" xr:uid="{00000000-0005-0000-0000-000039490000}"/>
    <cellStyle name="Percent 27 2 3 5" xfId="18668" xr:uid="{00000000-0005-0000-0000-00003A490000}"/>
    <cellStyle name="Percent 27 2 4" xfId="18669" xr:uid="{00000000-0005-0000-0000-00003B490000}"/>
    <cellStyle name="Percent 27 2 4 2" xfId="18670" xr:uid="{00000000-0005-0000-0000-00003C490000}"/>
    <cellStyle name="Percent 27 2 4 2 2" xfId="18671" xr:uid="{00000000-0005-0000-0000-00003D490000}"/>
    <cellStyle name="Percent 27 2 4 2 3" xfId="18672" xr:uid="{00000000-0005-0000-0000-00003E490000}"/>
    <cellStyle name="Percent 27 2 4 3" xfId="18673" xr:uid="{00000000-0005-0000-0000-00003F490000}"/>
    <cellStyle name="Percent 27 2 4 4" xfId="18674" xr:uid="{00000000-0005-0000-0000-000040490000}"/>
    <cellStyle name="Percent 27 2 5" xfId="18675" xr:uid="{00000000-0005-0000-0000-000041490000}"/>
    <cellStyle name="Percent 27 2 5 2" xfId="18676" xr:uid="{00000000-0005-0000-0000-000042490000}"/>
    <cellStyle name="Percent 27 2 5 3" xfId="18677" xr:uid="{00000000-0005-0000-0000-000043490000}"/>
    <cellStyle name="Percent 27 2 6" xfId="18678" xr:uid="{00000000-0005-0000-0000-000044490000}"/>
    <cellStyle name="Percent 27 2 7" xfId="18679" xr:uid="{00000000-0005-0000-0000-000045490000}"/>
    <cellStyle name="Percent 27 3" xfId="18680" xr:uid="{00000000-0005-0000-0000-000046490000}"/>
    <cellStyle name="Percent 27 3 2" xfId="18681" xr:uid="{00000000-0005-0000-0000-000047490000}"/>
    <cellStyle name="Percent 27 3 2 2" xfId="18682" xr:uid="{00000000-0005-0000-0000-000048490000}"/>
    <cellStyle name="Percent 27 3 2 2 2" xfId="18683" xr:uid="{00000000-0005-0000-0000-000049490000}"/>
    <cellStyle name="Percent 27 3 2 2 2 2" xfId="18684" xr:uid="{00000000-0005-0000-0000-00004A490000}"/>
    <cellStyle name="Percent 27 3 2 2 2 2 2" xfId="18685" xr:uid="{00000000-0005-0000-0000-00004B490000}"/>
    <cellStyle name="Percent 27 3 2 2 2 2 3" xfId="18686" xr:uid="{00000000-0005-0000-0000-00004C490000}"/>
    <cellStyle name="Percent 27 3 2 2 2 3" xfId="18687" xr:uid="{00000000-0005-0000-0000-00004D490000}"/>
    <cellStyle name="Percent 27 3 2 2 2 4" xfId="18688" xr:uid="{00000000-0005-0000-0000-00004E490000}"/>
    <cellStyle name="Percent 27 3 2 2 3" xfId="18689" xr:uid="{00000000-0005-0000-0000-00004F490000}"/>
    <cellStyle name="Percent 27 3 2 2 3 2" xfId="18690" xr:uid="{00000000-0005-0000-0000-000050490000}"/>
    <cellStyle name="Percent 27 3 2 2 3 3" xfId="18691" xr:uid="{00000000-0005-0000-0000-000051490000}"/>
    <cellStyle name="Percent 27 3 2 2 4" xfId="18692" xr:uid="{00000000-0005-0000-0000-000052490000}"/>
    <cellStyle name="Percent 27 3 2 2 5" xfId="18693" xr:uid="{00000000-0005-0000-0000-000053490000}"/>
    <cellStyle name="Percent 27 3 2 3" xfId="18694" xr:uid="{00000000-0005-0000-0000-000054490000}"/>
    <cellStyle name="Percent 27 3 2 3 2" xfId="18695" xr:uid="{00000000-0005-0000-0000-000055490000}"/>
    <cellStyle name="Percent 27 3 2 3 2 2" xfId="18696" xr:uid="{00000000-0005-0000-0000-000056490000}"/>
    <cellStyle name="Percent 27 3 2 3 2 3" xfId="18697" xr:uid="{00000000-0005-0000-0000-000057490000}"/>
    <cellStyle name="Percent 27 3 2 3 3" xfId="18698" xr:uid="{00000000-0005-0000-0000-000058490000}"/>
    <cellStyle name="Percent 27 3 2 3 4" xfId="18699" xr:uid="{00000000-0005-0000-0000-000059490000}"/>
    <cellStyle name="Percent 27 3 2 4" xfId="18700" xr:uid="{00000000-0005-0000-0000-00005A490000}"/>
    <cellStyle name="Percent 27 3 2 4 2" xfId="18701" xr:uid="{00000000-0005-0000-0000-00005B490000}"/>
    <cellStyle name="Percent 27 3 2 4 3" xfId="18702" xr:uid="{00000000-0005-0000-0000-00005C490000}"/>
    <cellStyle name="Percent 27 3 2 5" xfId="18703" xr:uid="{00000000-0005-0000-0000-00005D490000}"/>
    <cellStyle name="Percent 27 3 2 6" xfId="18704" xr:uid="{00000000-0005-0000-0000-00005E490000}"/>
    <cellStyle name="Percent 27 3 3" xfId="18705" xr:uid="{00000000-0005-0000-0000-00005F490000}"/>
    <cellStyle name="Percent 27 3 3 2" xfId="18706" xr:uid="{00000000-0005-0000-0000-000060490000}"/>
    <cellStyle name="Percent 27 3 3 2 2" xfId="18707" xr:uid="{00000000-0005-0000-0000-000061490000}"/>
    <cellStyle name="Percent 27 3 3 2 2 2" xfId="18708" xr:uid="{00000000-0005-0000-0000-000062490000}"/>
    <cellStyle name="Percent 27 3 3 2 2 3" xfId="18709" xr:uid="{00000000-0005-0000-0000-000063490000}"/>
    <cellStyle name="Percent 27 3 3 2 3" xfId="18710" xr:uid="{00000000-0005-0000-0000-000064490000}"/>
    <cellStyle name="Percent 27 3 3 2 4" xfId="18711" xr:uid="{00000000-0005-0000-0000-000065490000}"/>
    <cellStyle name="Percent 27 3 3 3" xfId="18712" xr:uid="{00000000-0005-0000-0000-000066490000}"/>
    <cellStyle name="Percent 27 3 3 3 2" xfId="18713" xr:uid="{00000000-0005-0000-0000-000067490000}"/>
    <cellStyle name="Percent 27 3 3 3 3" xfId="18714" xr:uid="{00000000-0005-0000-0000-000068490000}"/>
    <cellStyle name="Percent 27 3 3 4" xfId="18715" xr:uid="{00000000-0005-0000-0000-000069490000}"/>
    <cellStyle name="Percent 27 3 3 5" xfId="18716" xr:uid="{00000000-0005-0000-0000-00006A490000}"/>
    <cellStyle name="Percent 27 3 4" xfId="18717" xr:uid="{00000000-0005-0000-0000-00006B490000}"/>
    <cellStyle name="Percent 27 3 4 2" xfId="18718" xr:uid="{00000000-0005-0000-0000-00006C490000}"/>
    <cellStyle name="Percent 27 3 4 2 2" xfId="18719" xr:uid="{00000000-0005-0000-0000-00006D490000}"/>
    <cellStyle name="Percent 27 3 4 2 3" xfId="18720" xr:uid="{00000000-0005-0000-0000-00006E490000}"/>
    <cellStyle name="Percent 27 3 4 3" xfId="18721" xr:uid="{00000000-0005-0000-0000-00006F490000}"/>
    <cellStyle name="Percent 27 3 4 4" xfId="18722" xr:uid="{00000000-0005-0000-0000-000070490000}"/>
    <cellStyle name="Percent 27 3 5" xfId="18723" xr:uid="{00000000-0005-0000-0000-000071490000}"/>
    <cellStyle name="Percent 27 3 5 2" xfId="18724" xr:uid="{00000000-0005-0000-0000-000072490000}"/>
    <cellStyle name="Percent 27 3 5 3" xfId="18725" xr:uid="{00000000-0005-0000-0000-000073490000}"/>
    <cellStyle name="Percent 27 3 6" xfId="18726" xr:uid="{00000000-0005-0000-0000-000074490000}"/>
    <cellStyle name="Percent 27 3 7" xfId="18727" xr:uid="{00000000-0005-0000-0000-000075490000}"/>
    <cellStyle name="Percent 27 4" xfId="18728" xr:uid="{00000000-0005-0000-0000-000076490000}"/>
    <cellStyle name="Percent 27 4 2" xfId="18729" xr:uid="{00000000-0005-0000-0000-000077490000}"/>
    <cellStyle name="Percent 27 4 2 2" xfId="18730" xr:uid="{00000000-0005-0000-0000-000078490000}"/>
    <cellStyle name="Percent 27 4 2 2 2" xfId="18731" xr:uid="{00000000-0005-0000-0000-000079490000}"/>
    <cellStyle name="Percent 27 4 2 2 2 2" xfId="18732" xr:uid="{00000000-0005-0000-0000-00007A490000}"/>
    <cellStyle name="Percent 27 4 2 2 2 2 2" xfId="18733" xr:uid="{00000000-0005-0000-0000-00007B490000}"/>
    <cellStyle name="Percent 27 4 2 2 2 2 3" xfId="18734" xr:uid="{00000000-0005-0000-0000-00007C490000}"/>
    <cellStyle name="Percent 27 4 2 2 2 3" xfId="18735" xr:uid="{00000000-0005-0000-0000-00007D490000}"/>
    <cellStyle name="Percent 27 4 2 2 2 4" xfId="18736" xr:uid="{00000000-0005-0000-0000-00007E490000}"/>
    <cellStyle name="Percent 27 4 2 2 3" xfId="18737" xr:uid="{00000000-0005-0000-0000-00007F490000}"/>
    <cellStyle name="Percent 27 4 2 2 3 2" xfId="18738" xr:uid="{00000000-0005-0000-0000-000080490000}"/>
    <cellStyle name="Percent 27 4 2 2 3 3" xfId="18739" xr:uid="{00000000-0005-0000-0000-000081490000}"/>
    <cellStyle name="Percent 27 4 2 2 4" xfId="18740" xr:uid="{00000000-0005-0000-0000-000082490000}"/>
    <cellStyle name="Percent 27 4 2 2 5" xfId="18741" xr:uid="{00000000-0005-0000-0000-000083490000}"/>
    <cellStyle name="Percent 27 4 2 3" xfId="18742" xr:uid="{00000000-0005-0000-0000-000084490000}"/>
    <cellStyle name="Percent 27 4 2 3 2" xfId="18743" xr:uid="{00000000-0005-0000-0000-000085490000}"/>
    <cellStyle name="Percent 27 4 2 3 2 2" xfId="18744" xr:uid="{00000000-0005-0000-0000-000086490000}"/>
    <cellStyle name="Percent 27 4 2 3 2 3" xfId="18745" xr:uid="{00000000-0005-0000-0000-000087490000}"/>
    <cellStyle name="Percent 27 4 2 3 3" xfId="18746" xr:uid="{00000000-0005-0000-0000-000088490000}"/>
    <cellStyle name="Percent 27 4 2 3 4" xfId="18747" xr:uid="{00000000-0005-0000-0000-000089490000}"/>
    <cellStyle name="Percent 27 4 2 4" xfId="18748" xr:uid="{00000000-0005-0000-0000-00008A490000}"/>
    <cellStyle name="Percent 27 4 2 4 2" xfId="18749" xr:uid="{00000000-0005-0000-0000-00008B490000}"/>
    <cellStyle name="Percent 27 4 2 4 3" xfId="18750" xr:uid="{00000000-0005-0000-0000-00008C490000}"/>
    <cellStyle name="Percent 27 4 2 5" xfId="18751" xr:uid="{00000000-0005-0000-0000-00008D490000}"/>
    <cellStyle name="Percent 27 4 2 6" xfId="18752" xr:uid="{00000000-0005-0000-0000-00008E490000}"/>
    <cellStyle name="Percent 27 5" xfId="18753" xr:uid="{00000000-0005-0000-0000-00008F490000}"/>
    <cellStyle name="Percent 27 5 2" xfId="18754" xr:uid="{00000000-0005-0000-0000-000090490000}"/>
    <cellStyle name="Percent 27 5 2 2" xfId="18755" xr:uid="{00000000-0005-0000-0000-000091490000}"/>
    <cellStyle name="Percent 27 5 2 2 2" xfId="18756" xr:uid="{00000000-0005-0000-0000-000092490000}"/>
    <cellStyle name="Percent 27 5 2 2 2 2" xfId="18757" xr:uid="{00000000-0005-0000-0000-000093490000}"/>
    <cellStyle name="Percent 27 5 2 2 2 3" xfId="18758" xr:uid="{00000000-0005-0000-0000-000094490000}"/>
    <cellStyle name="Percent 27 5 2 2 3" xfId="18759" xr:uid="{00000000-0005-0000-0000-000095490000}"/>
    <cellStyle name="Percent 27 5 2 2 4" xfId="18760" xr:uid="{00000000-0005-0000-0000-000096490000}"/>
    <cellStyle name="Percent 27 5 2 3" xfId="18761" xr:uid="{00000000-0005-0000-0000-000097490000}"/>
    <cellStyle name="Percent 27 5 2 3 2" xfId="18762" xr:uid="{00000000-0005-0000-0000-000098490000}"/>
    <cellStyle name="Percent 27 5 2 3 3" xfId="18763" xr:uid="{00000000-0005-0000-0000-000099490000}"/>
    <cellStyle name="Percent 27 5 2 4" xfId="18764" xr:uid="{00000000-0005-0000-0000-00009A490000}"/>
    <cellStyle name="Percent 27 5 2 5" xfId="18765" xr:uid="{00000000-0005-0000-0000-00009B490000}"/>
    <cellStyle name="Percent 27 5 3" xfId="18766" xr:uid="{00000000-0005-0000-0000-00009C490000}"/>
    <cellStyle name="Percent 27 5 3 2" xfId="18767" xr:uid="{00000000-0005-0000-0000-00009D490000}"/>
    <cellStyle name="Percent 27 5 3 2 2" xfId="18768" xr:uid="{00000000-0005-0000-0000-00009E490000}"/>
    <cellStyle name="Percent 27 5 3 2 3" xfId="18769" xr:uid="{00000000-0005-0000-0000-00009F490000}"/>
    <cellStyle name="Percent 27 5 3 3" xfId="18770" xr:uid="{00000000-0005-0000-0000-0000A0490000}"/>
    <cellStyle name="Percent 27 5 3 4" xfId="18771" xr:uid="{00000000-0005-0000-0000-0000A1490000}"/>
    <cellStyle name="Percent 27 5 4" xfId="18772" xr:uid="{00000000-0005-0000-0000-0000A2490000}"/>
    <cellStyle name="Percent 27 5 4 2" xfId="18773" xr:uid="{00000000-0005-0000-0000-0000A3490000}"/>
    <cellStyle name="Percent 27 5 4 3" xfId="18774" xr:uid="{00000000-0005-0000-0000-0000A4490000}"/>
    <cellStyle name="Percent 27 5 5" xfId="18775" xr:uid="{00000000-0005-0000-0000-0000A5490000}"/>
    <cellStyle name="Percent 27 5 6" xfId="18776" xr:uid="{00000000-0005-0000-0000-0000A6490000}"/>
    <cellStyle name="Percent 28" xfId="18777" xr:uid="{00000000-0005-0000-0000-0000A7490000}"/>
    <cellStyle name="Percent 28 2" xfId="18778" xr:uid="{00000000-0005-0000-0000-0000A8490000}"/>
    <cellStyle name="Percent 28 2 2" xfId="18779" xr:uid="{00000000-0005-0000-0000-0000A9490000}"/>
    <cellStyle name="Percent 28 2 2 2" xfId="18780" xr:uid="{00000000-0005-0000-0000-0000AA490000}"/>
    <cellStyle name="Percent 28 2 2 2 2" xfId="18781" xr:uid="{00000000-0005-0000-0000-0000AB490000}"/>
    <cellStyle name="Percent 28 2 2 2 2 2" xfId="18782" xr:uid="{00000000-0005-0000-0000-0000AC490000}"/>
    <cellStyle name="Percent 28 2 2 2 2 2 2" xfId="18783" xr:uid="{00000000-0005-0000-0000-0000AD490000}"/>
    <cellStyle name="Percent 28 2 2 2 2 2 3" xfId="18784" xr:uid="{00000000-0005-0000-0000-0000AE490000}"/>
    <cellStyle name="Percent 28 2 2 2 2 3" xfId="18785" xr:uid="{00000000-0005-0000-0000-0000AF490000}"/>
    <cellStyle name="Percent 28 2 2 2 2 4" xfId="18786" xr:uid="{00000000-0005-0000-0000-0000B0490000}"/>
    <cellStyle name="Percent 28 2 2 2 3" xfId="18787" xr:uid="{00000000-0005-0000-0000-0000B1490000}"/>
    <cellStyle name="Percent 28 2 2 2 3 2" xfId="18788" xr:uid="{00000000-0005-0000-0000-0000B2490000}"/>
    <cellStyle name="Percent 28 2 2 2 3 3" xfId="18789" xr:uid="{00000000-0005-0000-0000-0000B3490000}"/>
    <cellStyle name="Percent 28 2 2 2 4" xfId="18790" xr:uid="{00000000-0005-0000-0000-0000B4490000}"/>
    <cellStyle name="Percent 28 2 2 2 5" xfId="18791" xr:uid="{00000000-0005-0000-0000-0000B5490000}"/>
    <cellStyle name="Percent 28 2 2 3" xfId="18792" xr:uid="{00000000-0005-0000-0000-0000B6490000}"/>
    <cellStyle name="Percent 28 2 2 3 2" xfId="18793" xr:uid="{00000000-0005-0000-0000-0000B7490000}"/>
    <cellStyle name="Percent 28 2 2 3 2 2" xfId="18794" xr:uid="{00000000-0005-0000-0000-0000B8490000}"/>
    <cellStyle name="Percent 28 2 2 3 2 3" xfId="18795" xr:uid="{00000000-0005-0000-0000-0000B9490000}"/>
    <cellStyle name="Percent 28 2 2 3 3" xfId="18796" xr:uid="{00000000-0005-0000-0000-0000BA490000}"/>
    <cellStyle name="Percent 28 2 2 3 4" xfId="18797" xr:uid="{00000000-0005-0000-0000-0000BB490000}"/>
    <cellStyle name="Percent 28 2 2 4" xfId="18798" xr:uid="{00000000-0005-0000-0000-0000BC490000}"/>
    <cellStyle name="Percent 28 2 2 4 2" xfId="18799" xr:uid="{00000000-0005-0000-0000-0000BD490000}"/>
    <cellStyle name="Percent 28 2 2 4 3" xfId="18800" xr:uid="{00000000-0005-0000-0000-0000BE490000}"/>
    <cellStyle name="Percent 28 2 2 5" xfId="18801" xr:uid="{00000000-0005-0000-0000-0000BF490000}"/>
    <cellStyle name="Percent 28 2 2 6" xfId="18802" xr:uid="{00000000-0005-0000-0000-0000C0490000}"/>
    <cellStyle name="Percent 28 2 3" xfId="18803" xr:uid="{00000000-0005-0000-0000-0000C1490000}"/>
    <cellStyle name="Percent 28 2 3 2" xfId="18804" xr:uid="{00000000-0005-0000-0000-0000C2490000}"/>
    <cellStyle name="Percent 28 2 3 2 2" xfId="18805" xr:uid="{00000000-0005-0000-0000-0000C3490000}"/>
    <cellStyle name="Percent 28 2 3 2 2 2" xfId="18806" xr:uid="{00000000-0005-0000-0000-0000C4490000}"/>
    <cellStyle name="Percent 28 2 3 2 2 3" xfId="18807" xr:uid="{00000000-0005-0000-0000-0000C5490000}"/>
    <cellStyle name="Percent 28 2 3 2 3" xfId="18808" xr:uid="{00000000-0005-0000-0000-0000C6490000}"/>
    <cellStyle name="Percent 28 2 3 2 4" xfId="18809" xr:uid="{00000000-0005-0000-0000-0000C7490000}"/>
    <cellStyle name="Percent 28 2 3 3" xfId="18810" xr:uid="{00000000-0005-0000-0000-0000C8490000}"/>
    <cellStyle name="Percent 28 2 3 3 2" xfId="18811" xr:uid="{00000000-0005-0000-0000-0000C9490000}"/>
    <cellStyle name="Percent 28 2 3 3 3" xfId="18812" xr:uid="{00000000-0005-0000-0000-0000CA490000}"/>
    <cellStyle name="Percent 28 2 3 4" xfId="18813" xr:uid="{00000000-0005-0000-0000-0000CB490000}"/>
    <cellStyle name="Percent 28 2 3 5" xfId="18814" xr:uid="{00000000-0005-0000-0000-0000CC490000}"/>
    <cellStyle name="Percent 28 2 4" xfId="18815" xr:uid="{00000000-0005-0000-0000-0000CD490000}"/>
    <cellStyle name="Percent 28 2 4 2" xfId="18816" xr:uid="{00000000-0005-0000-0000-0000CE490000}"/>
    <cellStyle name="Percent 28 2 4 2 2" xfId="18817" xr:uid="{00000000-0005-0000-0000-0000CF490000}"/>
    <cellStyle name="Percent 28 2 4 2 3" xfId="18818" xr:uid="{00000000-0005-0000-0000-0000D0490000}"/>
    <cellStyle name="Percent 28 2 4 3" xfId="18819" xr:uid="{00000000-0005-0000-0000-0000D1490000}"/>
    <cellStyle name="Percent 28 2 4 4" xfId="18820" xr:uid="{00000000-0005-0000-0000-0000D2490000}"/>
    <cellStyle name="Percent 28 2 5" xfId="18821" xr:uid="{00000000-0005-0000-0000-0000D3490000}"/>
    <cellStyle name="Percent 28 2 5 2" xfId="18822" xr:uid="{00000000-0005-0000-0000-0000D4490000}"/>
    <cellStyle name="Percent 28 2 5 3" xfId="18823" xr:uid="{00000000-0005-0000-0000-0000D5490000}"/>
    <cellStyle name="Percent 28 2 6" xfId="18824" xr:uid="{00000000-0005-0000-0000-0000D6490000}"/>
    <cellStyle name="Percent 28 2 7" xfId="18825" xr:uid="{00000000-0005-0000-0000-0000D7490000}"/>
    <cellStyle name="Percent 28 3" xfId="18826" xr:uid="{00000000-0005-0000-0000-0000D8490000}"/>
    <cellStyle name="Percent 28 3 2" xfId="18827" xr:uid="{00000000-0005-0000-0000-0000D9490000}"/>
    <cellStyle name="Percent 28 3 2 2" xfId="18828" xr:uid="{00000000-0005-0000-0000-0000DA490000}"/>
    <cellStyle name="Percent 28 3 2 2 2" xfId="18829" xr:uid="{00000000-0005-0000-0000-0000DB490000}"/>
    <cellStyle name="Percent 28 3 2 2 2 2" xfId="18830" xr:uid="{00000000-0005-0000-0000-0000DC490000}"/>
    <cellStyle name="Percent 28 3 2 2 2 2 2" xfId="18831" xr:uid="{00000000-0005-0000-0000-0000DD490000}"/>
    <cellStyle name="Percent 28 3 2 2 2 2 3" xfId="18832" xr:uid="{00000000-0005-0000-0000-0000DE490000}"/>
    <cellStyle name="Percent 28 3 2 2 2 3" xfId="18833" xr:uid="{00000000-0005-0000-0000-0000DF490000}"/>
    <cellStyle name="Percent 28 3 2 2 2 4" xfId="18834" xr:uid="{00000000-0005-0000-0000-0000E0490000}"/>
    <cellStyle name="Percent 28 3 2 2 3" xfId="18835" xr:uid="{00000000-0005-0000-0000-0000E1490000}"/>
    <cellStyle name="Percent 28 3 2 2 3 2" xfId="18836" xr:uid="{00000000-0005-0000-0000-0000E2490000}"/>
    <cellStyle name="Percent 28 3 2 2 3 3" xfId="18837" xr:uid="{00000000-0005-0000-0000-0000E3490000}"/>
    <cellStyle name="Percent 28 3 2 2 4" xfId="18838" xr:uid="{00000000-0005-0000-0000-0000E4490000}"/>
    <cellStyle name="Percent 28 3 2 2 5" xfId="18839" xr:uid="{00000000-0005-0000-0000-0000E5490000}"/>
    <cellStyle name="Percent 28 3 2 3" xfId="18840" xr:uid="{00000000-0005-0000-0000-0000E6490000}"/>
    <cellStyle name="Percent 28 3 2 3 2" xfId="18841" xr:uid="{00000000-0005-0000-0000-0000E7490000}"/>
    <cellStyle name="Percent 28 3 2 3 2 2" xfId="18842" xr:uid="{00000000-0005-0000-0000-0000E8490000}"/>
    <cellStyle name="Percent 28 3 2 3 2 3" xfId="18843" xr:uid="{00000000-0005-0000-0000-0000E9490000}"/>
    <cellStyle name="Percent 28 3 2 3 3" xfId="18844" xr:uid="{00000000-0005-0000-0000-0000EA490000}"/>
    <cellStyle name="Percent 28 3 2 3 4" xfId="18845" xr:uid="{00000000-0005-0000-0000-0000EB490000}"/>
    <cellStyle name="Percent 28 3 2 4" xfId="18846" xr:uid="{00000000-0005-0000-0000-0000EC490000}"/>
    <cellStyle name="Percent 28 3 2 4 2" xfId="18847" xr:uid="{00000000-0005-0000-0000-0000ED490000}"/>
    <cellStyle name="Percent 28 3 2 4 3" xfId="18848" xr:uid="{00000000-0005-0000-0000-0000EE490000}"/>
    <cellStyle name="Percent 28 3 2 5" xfId="18849" xr:uid="{00000000-0005-0000-0000-0000EF490000}"/>
    <cellStyle name="Percent 28 3 2 6" xfId="18850" xr:uid="{00000000-0005-0000-0000-0000F0490000}"/>
    <cellStyle name="Percent 28 3 3" xfId="18851" xr:uid="{00000000-0005-0000-0000-0000F1490000}"/>
    <cellStyle name="Percent 28 3 3 2" xfId="18852" xr:uid="{00000000-0005-0000-0000-0000F2490000}"/>
    <cellStyle name="Percent 28 3 3 2 2" xfId="18853" xr:uid="{00000000-0005-0000-0000-0000F3490000}"/>
    <cellStyle name="Percent 28 3 3 2 2 2" xfId="18854" xr:uid="{00000000-0005-0000-0000-0000F4490000}"/>
    <cellStyle name="Percent 28 3 3 2 2 3" xfId="18855" xr:uid="{00000000-0005-0000-0000-0000F5490000}"/>
    <cellStyle name="Percent 28 3 3 2 3" xfId="18856" xr:uid="{00000000-0005-0000-0000-0000F6490000}"/>
    <cellStyle name="Percent 28 3 3 2 4" xfId="18857" xr:uid="{00000000-0005-0000-0000-0000F7490000}"/>
    <cellStyle name="Percent 28 3 3 3" xfId="18858" xr:uid="{00000000-0005-0000-0000-0000F8490000}"/>
    <cellStyle name="Percent 28 3 3 3 2" xfId="18859" xr:uid="{00000000-0005-0000-0000-0000F9490000}"/>
    <cellStyle name="Percent 28 3 3 3 3" xfId="18860" xr:uid="{00000000-0005-0000-0000-0000FA490000}"/>
    <cellStyle name="Percent 28 3 3 4" xfId="18861" xr:uid="{00000000-0005-0000-0000-0000FB490000}"/>
    <cellStyle name="Percent 28 3 3 5" xfId="18862" xr:uid="{00000000-0005-0000-0000-0000FC490000}"/>
    <cellStyle name="Percent 28 3 4" xfId="18863" xr:uid="{00000000-0005-0000-0000-0000FD490000}"/>
    <cellStyle name="Percent 28 3 4 2" xfId="18864" xr:uid="{00000000-0005-0000-0000-0000FE490000}"/>
    <cellStyle name="Percent 28 3 4 2 2" xfId="18865" xr:uid="{00000000-0005-0000-0000-0000FF490000}"/>
    <cellStyle name="Percent 28 3 4 2 3" xfId="18866" xr:uid="{00000000-0005-0000-0000-0000004A0000}"/>
    <cellStyle name="Percent 28 3 4 3" xfId="18867" xr:uid="{00000000-0005-0000-0000-0000014A0000}"/>
    <cellStyle name="Percent 28 3 4 4" xfId="18868" xr:uid="{00000000-0005-0000-0000-0000024A0000}"/>
    <cellStyle name="Percent 28 3 5" xfId="18869" xr:uid="{00000000-0005-0000-0000-0000034A0000}"/>
    <cellStyle name="Percent 28 3 5 2" xfId="18870" xr:uid="{00000000-0005-0000-0000-0000044A0000}"/>
    <cellStyle name="Percent 28 3 5 3" xfId="18871" xr:uid="{00000000-0005-0000-0000-0000054A0000}"/>
    <cellStyle name="Percent 28 3 6" xfId="18872" xr:uid="{00000000-0005-0000-0000-0000064A0000}"/>
    <cellStyle name="Percent 28 3 7" xfId="18873" xr:uid="{00000000-0005-0000-0000-0000074A0000}"/>
    <cellStyle name="Percent 28 4" xfId="18874" xr:uid="{00000000-0005-0000-0000-0000084A0000}"/>
    <cellStyle name="Percent 28 4 2" xfId="18875" xr:uid="{00000000-0005-0000-0000-0000094A0000}"/>
    <cellStyle name="Percent 28 4 2 2" xfId="18876" xr:uid="{00000000-0005-0000-0000-00000A4A0000}"/>
    <cellStyle name="Percent 28 4 2 2 2" xfId="18877" xr:uid="{00000000-0005-0000-0000-00000B4A0000}"/>
    <cellStyle name="Percent 28 4 2 2 2 2" xfId="18878" xr:uid="{00000000-0005-0000-0000-00000C4A0000}"/>
    <cellStyle name="Percent 28 4 2 2 2 2 2" xfId="18879" xr:uid="{00000000-0005-0000-0000-00000D4A0000}"/>
    <cellStyle name="Percent 28 4 2 2 2 2 3" xfId="18880" xr:uid="{00000000-0005-0000-0000-00000E4A0000}"/>
    <cellStyle name="Percent 28 4 2 2 2 3" xfId="18881" xr:uid="{00000000-0005-0000-0000-00000F4A0000}"/>
    <cellStyle name="Percent 28 4 2 2 2 4" xfId="18882" xr:uid="{00000000-0005-0000-0000-0000104A0000}"/>
    <cellStyle name="Percent 28 4 2 2 3" xfId="18883" xr:uid="{00000000-0005-0000-0000-0000114A0000}"/>
    <cellStyle name="Percent 28 4 2 2 3 2" xfId="18884" xr:uid="{00000000-0005-0000-0000-0000124A0000}"/>
    <cellStyle name="Percent 28 4 2 2 3 3" xfId="18885" xr:uid="{00000000-0005-0000-0000-0000134A0000}"/>
    <cellStyle name="Percent 28 4 2 2 4" xfId="18886" xr:uid="{00000000-0005-0000-0000-0000144A0000}"/>
    <cellStyle name="Percent 28 4 2 2 5" xfId="18887" xr:uid="{00000000-0005-0000-0000-0000154A0000}"/>
    <cellStyle name="Percent 28 4 2 3" xfId="18888" xr:uid="{00000000-0005-0000-0000-0000164A0000}"/>
    <cellStyle name="Percent 28 4 2 3 2" xfId="18889" xr:uid="{00000000-0005-0000-0000-0000174A0000}"/>
    <cellStyle name="Percent 28 4 2 3 2 2" xfId="18890" xr:uid="{00000000-0005-0000-0000-0000184A0000}"/>
    <cellStyle name="Percent 28 4 2 3 2 3" xfId="18891" xr:uid="{00000000-0005-0000-0000-0000194A0000}"/>
    <cellStyle name="Percent 28 4 2 3 3" xfId="18892" xr:uid="{00000000-0005-0000-0000-00001A4A0000}"/>
    <cellStyle name="Percent 28 4 2 3 4" xfId="18893" xr:uid="{00000000-0005-0000-0000-00001B4A0000}"/>
    <cellStyle name="Percent 28 4 2 4" xfId="18894" xr:uid="{00000000-0005-0000-0000-00001C4A0000}"/>
    <cellStyle name="Percent 28 4 2 4 2" xfId="18895" xr:uid="{00000000-0005-0000-0000-00001D4A0000}"/>
    <cellStyle name="Percent 28 4 2 4 3" xfId="18896" xr:uid="{00000000-0005-0000-0000-00001E4A0000}"/>
    <cellStyle name="Percent 28 4 2 5" xfId="18897" xr:uid="{00000000-0005-0000-0000-00001F4A0000}"/>
    <cellStyle name="Percent 28 4 2 6" xfId="18898" xr:uid="{00000000-0005-0000-0000-0000204A0000}"/>
    <cellStyle name="Percent 28 5" xfId="18899" xr:uid="{00000000-0005-0000-0000-0000214A0000}"/>
    <cellStyle name="Percent 28 5 2" xfId="18900" xr:uid="{00000000-0005-0000-0000-0000224A0000}"/>
    <cellStyle name="Percent 28 5 2 2" xfId="18901" xr:uid="{00000000-0005-0000-0000-0000234A0000}"/>
    <cellStyle name="Percent 28 5 2 2 2" xfId="18902" xr:uid="{00000000-0005-0000-0000-0000244A0000}"/>
    <cellStyle name="Percent 28 5 2 2 2 2" xfId="18903" xr:uid="{00000000-0005-0000-0000-0000254A0000}"/>
    <cellStyle name="Percent 28 5 2 2 2 3" xfId="18904" xr:uid="{00000000-0005-0000-0000-0000264A0000}"/>
    <cellStyle name="Percent 28 5 2 2 3" xfId="18905" xr:uid="{00000000-0005-0000-0000-0000274A0000}"/>
    <cellStyle name="Percent 28 5 2 2 4" xfId="18906" xr:uid="{00000000-0005-0000-0000-0000284A0000}"/>
    <cellStyle name="Percent 28 5 2 3" xfId="18907" xr:uid="{00000000-0005-0000-0000-0000294A0000}"/>
    <cellStyle name="Percent 28 5 2 3 2" xfId="18908" xr:uid="{00000000-0005-0000-0000-00002A4A0000}"/>
    <cellStyle name="Percent 28 5 2 3 3" xfId="18909" xr:uid="{00000000-0005-0000-0000-00002B4A0000}"/>
    <cellStyle name="Percent 28 5 2 4" xfId="18910" xr:uid="{00000000-0005-0000-0000-00002C4A0000}"/>
    <cellStyle name="Percent 28 5 2 5" xfId="18911" xr:uid="{00000000-0005-0000-0000-00002D4A0000}"/>
    <cellStyle name="Percent 28 5 3" xfId="18912" xr:uid="{00000000-0005-0000-0000-00002E4A0000}"/>
    <cellStyle name="Percent 28 5 3 2" xfId="18913" xr:uid="{00000000-0005-0000-0000-00002F4A0000}"/>
    <cellStyle name="Percent 28 5 3 2 2" xfId="18914" xr:uid="{00000000-0005-0000-0000-0000304A0000}"/>
    <cellStyle name="Percent 28 5 3 2 3" xfId="18915" xr:uid="{00000000-0005-0000-0000-0000314A0000}"/>
    <cellStyle name="Percent 28 5 3 3" xfId="18916" xr:uid="{00000000-0005-0000-0000-0000324A0000}"/>
    <cellStyle name="Percent 28 5 3 4" xfId="18917" xr:uid="{00000000-0005-0000-0000-0000334A0000}"/>
    <cellStyle name="Percent 28 5 4" xfId="18918" xr:uid="{00000000-0005-0000-0000-0000344A0000}"/>
    <cellStyle name="Percent 28 5 4 2" xfId="18919" xr:uid="{00000000-0005-0000-0000-0000354A0000}"/>
    <cellStyle name="Percent 28 5 4 3" xfId="18920" xr:uid="{00000000-0005-0000-0000-0000364A0000}"/>
    <cellStyle name="Percent 28 5 5" xfId="18921" xr:uid="{00000000-0005-0000-0000-0000374A0000}"/>
    <cellStyle name="Percent 28 5 6" xfId="18922" xr:uid="{00000000-0005-0000-0000-0000384A0000}"/>
    <cellStyle name="Percent 29" xfId="18923" xr:uid="{00000000-0005-0000-0000-0000394A0000}"/>
    <cellStyle name="Percent 29 2" xfId="18924" xr:uid="{00000000-0005-0000-0000-00003A4A0000}"/>
    <cellStyle name="Percent 29 2 2" xfId="18925" xr:uid="{00000000-0005-0000-0000-00003B4A0000}"/>
    <cellStyle name="Percent 29 2 2 2" xfId="18926" xr:uid="{00000000-0005-0000-0000-00003C4A0000}"/>
    <cellStyle name="Percent 29 2 2 2 2" xfId="18927" xr:uid="{00000000-0005-0000-0000-00003D4A0000}"/>
    <cellStyle name="Percent 29 2 2 2 2 2" xfId="18928" xr:uid="{00000000-0005-0000-0000-00003E4A0000}"/>
    <cellStyle name="Percent 29 2 2 2 2 2 2" xfId="18929" xr:uid="{00000000-0005-0000-0000-00003F4A0000}"/>
    <cellStyle name="Percent 29 2 2 2 2 2 3" xfId="18930" xr:uid="{00000000-0005-0000-0000-0000404A0000}"/>
    <cellStyle name="Percent 29 2 2 2 2 3" xfId="18931" xr:uid="{00000000-0005-0000-0000-0000414A0000}"/>
    <cellStyle name="Percent 29 2 2 2 2 4" xfId="18932" xr:uid="{00000000-0005-0000-0000-0000424A0000}"/>
    <cellStyle name="Percent 29 2 2 2 3" xfId="18933" xr:uid="{00000000-0005-0000-0000-0000434A0000}"/>
    <cellStyle name="Percent 29 2 2 2 3 2" xfId="18934" xr:uid="{00000000-0005-0000-0000-0000444A0000}"/>
    <cellStyle name="Percent 29 2 2 2 3 3" xfId="18935" xr:uid="{00000000-0005-0000-0000-0000454A0000}"/>
    <cellStyle name="Percent 29 2 2 2 4" xfId="18936" xr:uid="{00000000-0005-0000-0000-0000464A0000}"/>
    <cellStyle name="Percent 29 2 2 2 5" xfId="18937" xr:uid="{00000000-0005-0000-0000-0000474A0000}"/>
    <cellStyle name="Percent 29 2 2 3" xfId="18938" xr:uid="{00000000-0005-0000-0000-0000484A0000}"/>
    <cellStyle name="Percent 29 2 2 3 2" xfId="18939" xr:uid="{00000000-0005-0000-0000-0000494A0000}"/>
    <cellStyle name="Percent 29 2 2 3 2 2" xfId="18940" xr:uid="{00000000-0005-0000-0000-00004A4A0000}"/>
    <cellStyle name="Percent 29 2 2 3 2 3" xfId="18941" xr:uid="{00000000-0005-0000-0000-00004B4A0000}"/>
    <cellStyle name="Percent 29 2 2 3 3" xfId="18942" xr:uid="{00000000-0005-0000-0000-00004C4A0000}"/>
    <cellStyle name="Percent 29 2 2 3 4" xfId="18943" xr:uid="{00000000-0005-0000-0000-00004D4A0000}"/>
    <cellStyle name="Percent 29 2 2 4" xfId="18944" xr:uid="{00000000-0005-0000-0000-00004E4A0000}"/>
    <cellStyle name="Percent 29 2 2 4 2" xfId="18945" xr:uid="{00000000-0005-0000-0000-00004F4A0000}"/>
    <cellStyle name="Percent 29 2 2 4 3" xfId="18946" xr:uid="{00000000-0005-0000-0000-0000504A0000}"/>
    <cellStyle name="Percent 29 2 2 5" xfId="18947" xr:uid="{00000000-0005-0000-0000-0000514A0000}"/>
    <cellStyle name="Percent 29 2 2 6" xfId="18948" xr:uid="{00000000-0005-0000-0000-0000524A0000}"/>
    <cellStyle name="Percent 29 2 3" xfId="18949" xr:uid="{00000000-0005-0000-0000-0000534A0000}"/>
    <cellStyle name="Percent 29 2 3 2" xfId="18950" xr:uid="{00000000-0005-0000-0000-0000544A0000}"/>
    <cellStyle name="Percent 29 2 3 2 2" xfId="18951" xr:uid="{00000000-0005-0000-0000-0000554A0000}"/>
    <cellStyle name="Percent 29 2 3 2 2 2" xfId="18952" xr:uid="{00000000-0005-0000-0000-0000564A0000}"/>
    <cellStyle name="Percent 29 2 3 2 2 3" xfId="18953" xr:uid="{00000000-0005-0000-0000-0000574A0000}"/>
    <cellStyle name="Percent 29 2 3 2 3" xfId="18954" xr:uid="{00000000-0005-0000-0000-0000584A0000}"/>
    <cellStyle name="Percent 29 2 3 2 4" xfId="18955" xr:uid="{00000000-0005-0000-0000-0000594A0000}"/>
    <cellStyle name="Percent 29 2 3 3" xfId="18956" xr:uid="{00000000-0005-0000-0000-00005A4A0000}"/>
    <cellStyle name="Percent 29 2 3 3 2" xfId="18957" xr:uid="{00000000-0005-0000-0000-00005B4A0000}"/>
    <cellStyle name="Percent 29 2 3 3 3" xfId="18958" xr:uid="{00000000-0005-0000-0000-00005C4A0000}"/>
    <cellStyle name="Percent 29 2 3 4" xfId="18959" xr:uid="{00000000-0005-0000-0000-00005D4A0000}"/>
    <cellStyle name="Percent 29 2 3 5" xfId="18960" xr:uid="{00000000-0005-0000-0000-00005E4A0000}"/>
    <cellStyle name="Percent 29 2 4" xfId="18961" xr:uid="{00000000-0005-0000-0000-00005F4A0000}"/>
    <cellStyle name="Percent 29 2 4 2" xfId="18962" xr:uid="{00000000-0005-0000-0000-0000604A0000}"/>
    <cellStyle name="Percent 29 2 4 2 2" xfId="18963" xr:uid="{00000000-0005-0000-0000-0000614A0000}"/>
    <cellStyle name="Percent 29 2 4 2 3" xfId="18964" xr:uid="{00000000-0005-0000-0000-0000624A0000}"/>
    <cellStyle name="Percent 29 2 4 3" xfId="18965" xr:uid="{00000000-0005-0000-0000-0000634A0000}"/>
    <cellStyle name="Percent 29 2 4 4" xfId="18966" xr:uid="{00000000-0005-0000-0000-0000644A0000}"/>
    <cellStyle name="Percent 29 2 5" xfId="18967" xr:uid="{00000000-0005-0000-0000-0000654A0000}"/>
    <cellStyle name="Percent 29 2 5 2" xfId="18968" xr:uid="{00000000-0005-0000-0000-0000664A0000}"/>
    <cellStyle name="Percent 29 2 5 3" xfId="18969" xr:uid="{00000000-0005-0000-0000-0000674A0000}"/>
    <cellStyle name="Percent 29 2 6" xfId="18970" xr:uid="{00000000-0005-0000-0000-0000684A0000}"/>
    <cellStyle name="Percent 29 2 7" xfId="18971" xr:uid="{00000000-0005-0000-0000-0000694A0000}"/>
    <cellStyle name="Percent 29 3" xfId="18972" xr:uid="{00000000-0005-0000-0000-00006A4A0000}"/>
    <cellStyle name="Percent 29 3 2" xfId="18973" xr:uid="{00000000-0005-0000-0000-00006B4A0000}"/>
    <cellStyle name="Percent 29 3 2 2" xfId="18974" xr:uid="{00000000-0005-0000-0000-00006C4A0000}"/>
    <cellStyle name="Percent 29 3 2 2 2" xfId="18975" xr:uid="{00000000-0005-0000-0000-00006D4A0000}"/>
    <cellStyle name="Percent 29 3 2 2 2 2" xfId="18976" xr:uid="{00000000-0005-0000-0000-00006E4A0000}"/>
    <cellStyle name="Percent 29 3 2 2 2 2 2" xfId="18977" xr:uid="{00000000-0005-0000-0000-00006F4A0000}"/>
    <cellStyle name="Percent 29 3 2 2 2 2 3" xfId="18978" xr:uid="{00000000-0005-0000-0000-0000704A0000}"/>
    <cellStyle name="Percent 29 3 2 2 2 3" xfId="18979" xr:uid="{00000000-0005-0000-0000-0000714A0000}"/>
    <cellStyle name="Percent 29 3 2 2 2 4" xfId="18980" xr:uid="{00000000-0005-0000-0000-0000724A0000}"/>
    <cellStyle name="Percent 29 3 2 2 3" xfId="18981" xr:uid="{00000000-0005-0000-0000-0000734A0000}"/>
    <cellStyle name="Percent 29 3 2 2 3 2" xfId="18982" xr:uid="{00000000-0005-0000-0000-0000744A0000}"/>
    <cellStyle name="Percent 29 3 2 2 3 3" xfId="18983" xr:uid="{00000000-0005-0000-0000-0000754A0000}"/>
    <cellStyle name="Percent 29 3 2 2 4" xfId="18984" xr:uid="{00000000-0005-0000-0000-0000764A0000}"/>
    <cellStyle name="Percent 29 3 2 2 5" xfId="18985" xr:uid="{00000000-0005-0000-0000-0000774A0000}"/>
    <cellStyle name="Percent 29 3 2 3" xfId="18986" xr:uid="{00000000-0005-0000-0000-0000784A0000}"/>
    <cellStyle name="Percent 29 3 2 3 2" xfId="18987" xr:uid="{00000000-0005-0000-0000-0000794A0000}"/>
    <cellStyle name="Percent 29 3 2 3 2 2" xfId="18988" xr:uid="{00000000-0005-0000-0000-00007A4A0000}"/>
    <cellStyle name="Percent 29 3 2 3 2 3" xfId="18989" xr:uid="{00000000-0005-0000-0000-00007B4A0000}"/>
    <cellStyle name="Percent 29 3 2 3 3" xfId="18990" xr:uid="{00000000-0005-0000-0000-00007C4A0000}"/>
    <cellStyle name="Percent 29 3 2 3 4" xfId="18991" xr:uid="{00000000-0005-0000-0000-00007D4A0000}"/>
    <cellStyle name="Percent 29 3 2 4" xfId="18992" xr:uid="{00000000-0005-0000-0000-00007E4A0000}"/>
    <cellStyle name="Percent 29 3 2 4 2" xfId="18993" xr:uid="{00000000-0005-0000-0000-00007F4A0000}"/>
    <cellStyle name="Percent 29 3 2 4 3" xfId="18994" xr:uid="{00000000-0005-0000-0000-0000804A0000}"/>
    <cellStyle name="Percent 29 3 2 5" xfId="18995" xr:uid="{00000000-0005-0000-0000-0000814A0000}"/>
    <cellStyle name="Percent 29 3 2 6" xfId="18996" xr:uid="{00000000-0005-0000-0000-0000824A0000}"/>
    <cellStyle name="Percent 29 3 3" xfId="18997" xr:uid="{00000000-0005-0000-0000-0000834A0000}"/>
    <cellStyle name="Percent 29 3 3 2" xfId="18998" xr:uid="{00000000-0005-0000-0000-0000844A0000}"/>
    <cellStyle name="Percent 29 3 3 2 2" xfId="18999" xr:uid="{00000000-0005-0000-0000-0000854A0000}"/>
    <cellStyle name="Percent 29 3 3 2 2 2" xfId="19000" xr:uid="{00000000-0005-0000-0000-0000864A0000}"/>
    <cellStyle name="Percent 29 3 3 2 2 3" xfId="19001" xr:uid="{00000000-0005-0000-0000-0000874A0000}"/>
    <cellStyle name="Percent 29 3 3 2 3" xfId="19002" xr:uid="{00000000-0005-0000-0000-0000884A0000}"/>
    <cellStyle name="Percent 29 3 3 2 4" xfId="19003" xr:uid="{00000000-0005-0000-0000-0000894A0000}"/>
    <cellStyle name="Percent 29 3 3 3" xfId="19004" xr:uid="{00000000-0005-0000-0000-00008A4A0000}"/>
    <cellStyle name="Percent 29 3 3 3 2" xfId="19005" xr:uid="{00000000-0005-0000-0000-00008B4A0000}"/>
    <cellStyle name="Percent 29 3 3 3 3" xfId="19006" xr:uid="{00000000-0005-0000-0000-00008C4A0000}"/>
    <cellStyle name="Percent 29 3 3 4" xfId="19007" xr:uid="{00000000-0005-0000-0000-00008D4A0000}"/>
    <cellStyle name="Percent 29 3 3 5" xfId="19008" xr:uid="{00000000-0005-0000-0000-00008E4A0000}"/>
    <cellStyle name="Percent 29 3 4" xfId="19009" xr:uid="{00000000-0005-0000-0000-00008F4A0000}"/>
    <cellStyle name="Percent 29 3 4 2" xfId="19010" xr:uid="{00000000-0005-0000-0000-0000904A0000}"/>
    <cellStyle name="Percent 29 3 4 2 2" xfId="19011" xr:uid="{00000000-0005-0000-0000-0000914A0000}"/>
    <cellStyle name="Percent 29 3 4 2 3" xfId="19012" xr:uid="{00000000-0005-0000-0000-0000924A0000}"/>
    <cellStyle name="Percent 29 3 4 3" xfId="19013" xr:uid="{00000000-0005-0000-0000-0000934A0000}"/>
    <cellStyle name="Percent 29 3 4 4" xfId="19014" xr:uid="{00000000-0005-0000-0000-0000944A0000}"/>
    <cellStyle name="Percent 29 3 5" xfId="19015" xr:uid="{00000000-0005-0000-0000-0000954A0000}"/>
    <cellStyle name="Percent 29 3 5 2" xfId="19016" xr:uid="{00000000-0005-0000-0000-0000964A0000}"/>
    <cellStyle name="Percent 29 3 5 3" xfId="19017" xr:uid="{00000000-0005-0000-0000-0000974A0000}"/>
    <cellStyle name="Percent 29 3 6" xfId="19018" xr:uid="{00000000-0005-0000-0000-0000984A0000}"/>
    <cellStyle name="Percent 29 3 7" xfId="19019" xr:uid="{00000000-0005-0000-0000-0000994A0000}"/>
    <cellStyle name="Percent 29 4" xfId="19020" xr:uid="{00000000-0005-0000-0000-00009A4A0000}"/>
    <cellStyle name="Percent 29 4 2" xfId="19021" xr:uid="{00000000-0005-0000-0000-00009B4A0000}"/>
    <cellStyle name="Percent 29 4 2 2" xfId="19022" xr:uid="{00000000-0005-0000-0000-00009C4A0000}"/>
    <cellStyle name="Percent 29 4 2 2 2" xfId="19023" xr:uid="{00000000-0005-0000-0000-00009D4A0000}"/>
    <cellStyle name="Percent 29 4 2 2 2 2" xfId="19024" xr:uid="{00000000-0005-0000-0000-00009E4A0000}"/>
    <cellStyle name="Percent 29 4 2 2 2 2 2" xfId="19025" xr:uid="{00000000-0005-0000-0000-00009F4A0000}"/>
    <cellStyle name="Percent 29 4 2 2 2 2 3" xfId="19026" xr:uid="{00000000-0005-0000-0000-0000A04A0000}"/>
    <cellStyle name="Percent 29 4 2 2 2 3" xfId="19027" xr:uid="{00000000-0005-0000-0000-0000A14A0000}"/>
    <cellStyle name="Percent 29 4 2 2 2 4" xfId="19028" xr:uid="{00000000-0005-0000-0000-0000A24A0000}"/>
    <cellStyle name="Percent 29 4 2 2 3" xfId="19029" xr:uid="{00000000-0005-0000-0000-0000A34A0000}"/>
    <cellStyle name="Percent 29 4 2 2 3 2" xfId="19030" xr:uid="{00000000-0005-0000-0000-0000A44A0000}"/>
    <cellStyle name="Percent 29 4 2 2 3 3" xfId="19031" xr:uid="{00000000-0005-0000-0000-0000A54A0000}"/>
    <cellStyle name="Percent 29 4 2 2 4" xfId="19032" xr:uid="{00000000-0005-0000-0000-0000A64A0000}"/>
    <cellStyle name="Percent 29 4 2 2 5" xfId="19033" xr:uid="{00000000-0005-0000-0000-0000A74A0000}"/>
    <cellStyle name="Percent 29 4 2 3" xfId="19034" xr:uid="{00000000-0005-0000-0000-0000A84A0000}"/>
    <cellStyle name="Percent 29 4 2 3 2" xfId="19035" xr:uid="{00000000-0005-0000-0000-0000A94A0000}"/>
    <cellStyle name="Percent 29 4 2 3 2 2" xfId="19036" xr:uid="{00000000-0005-0000-0000-0000AA4A0000}"/>
    <cellStyle name="Percent 29 4 2 3 2 3" xfId="19037" xr:uid="{00000000-0005-0000-0000-0000AB4A0000}"/>
    <cellStyle name="Percent 29 4 2 3 3" xfId="19038" xr:uid="{00000000-0005-0000-0000-0000AC4A0000}"/>
    <cellStyle name="Percent 29 4 2 3 4" xfId="19039" xr:uid="{00000000-0005-0000-0000-0000AD4A0000}"/>
    <cellStyle name="Percent 29 4 2 4" xfId="19040" xr:uid="{00000000-0005-0000-0000-0000AE4A0000}"/>
    <cellStyle name="Percent 29 4 2 4 2" xfId="19041" xr:uid="{00000000-0005-0000-0000-0000AF4A0000}"/>
    <cellStyle name="Percent 29 4 2 4 3" xfId="19042" xr:uid="{00000000-0005-0000-0000-0000B04A0000}"/>
    <cellStyle name="Percent 29 4 2 5" xfId="19043" xr:uid="{00000000-0005-0000-0000-0000B14A0000}"/>
    <cellStyle name="Percent 29 4 2 6" xfId="19044" xr:uid="{00000000-0005-0000-0000-0000B24A0000}"/>
    <cellStyle name="Percent 29 5" xfId="19045" xr:uid="{00000000-0005-0000-0000-0000B34A0000}"/>
    <cellStyle name="Percent 29 5 2" xfId="19046" xr:uid="{00000000-0005-0000-0000-0000B44A0000}"/>
    <cellStyle name="Percent 29 5 2 2" xfId="19047" xr:uid="{00000000-0005-0000-0000-0000B54A0000}"/>
    <cellStyle name="Percent 29 5 2 2 2" xfId="19048" xr:uid="{00000000-0005-0000-0000-0000B64A0000}"/>
    <cellStyle name="Percent 29 5 2 2 2 2" xfId="19049" xr:uid="{00000000-0005-0000-0000-0000B74A0000}"/>
    <cellStyle name="Percent 29 5 2 2 2 3" xfId="19050" xr:uid="{00000000-0005-0000-0000-0000B84A0000}"/>
    <cellStyle name="Percent 29 5 2 2 3" xfId="19051" xr:uid="{00000000-0005-0000-0000-0000B94A0000}"/>
    <cellStyle name="Percent 29 5 2 2 4" xfId="19052" xr:uid="{00000000-0005-0000-0000-0000BA4A0000}"/>
    <cellStyle name="Percent 29 5 2 3" xfId="19053" xr:uid="{00000000-0005-0000-0000-0000BB4A0000}"/>
    <cellStyle name="Percent 29 5 2 3 2" xfId="19054" xr:uid="{00000000-0005-0000-0000-0000BC4A0000}"/>
    <cellStyle name="Percent 29 5 2 3 3" xfId="19055" xr:uid="{00000000-0005-0000-0000-0000BD4A0000}"/>
    <cellStyle name="Percent 29 5 2 4" xfId="19056" xr:uid="{00000000-0005-0000-0000-0000BE4A0000}"/>
    <cellStyle name="Percent 29 5 2 5" xfId="19057" xr:uid="{00000000-0005-0000-0000-0000BF4A0000}"/>
    <cellStyle name="Percent 29 5 3" xfId="19058" xr:uid="{00000000-0005-0000-0000-0000C04A0000}"/>
    <cellStyle name="Percent 29 5 3 2" xfId="19059" xr:uid="{00000000-0005-0000-0000-0000C14A0000}"/>
    <cellStyle name="Percent 29 5 3 2 2" xfId="19060" xr:uid="{00000000-0005-0000-0000-0000C24A0000}"/>
    <cellStyle name="Percent 29 5 3 2 3" xfId="19061" xr:uid="{00000000-0005-0000-0000-0000C34A0000}"/>
    <cellStyle name="Percent 29 5 3 3" xfId="19062" xr:uid="{00000000-0005-0000-0000-0000C44A0000}"/>
    <cellStyle name="Percent 29 5 3 4" xfId="19063" xr:uid="{00000000-0005-0000-0000-0000C54A0000}"/>
    <cellStyle name="Percent 29 5 4" xfId="19064" xr:uid="{00000000-0005-0000-0000-0000C64A0000}"/>
    <cellStyle name="Percent 29 5 4 2" xfId="19065" xr:uid="{00000000-0005-0000-0000-0000C74A0000}"/>
    <cellStyle name="Percent 29 5 4 3" xfId="19066" xr:uid="{00000000-0005-0000-0000-0000C84A0000}"/>
    <cellStyle name="Percent 29 5 5" xfId="19067" xr:uid="{00000000-0005-0000-0000-0000C94A0000}"/>
    <cellStyle name="Percent 29 5 6" xfId="19068" xr:uid="{00000000-0005-0000-0000-0000CA4A0000}"/>
    <cellStyle name="Percent 3" xfId="38" xr:uid="{00000000-0005-0000-0000-0000CB4A0000}"/>
    <cellStyle name="Percent 3 10" xfId="19069" xr:uid="{00000000-0005-0000-0000-0000CC4A0000}"/>
    <cellStyle name="Percent 3 10 2" xfId="19070" xr:uid="{00000000-0005-0000-0000-0000CD4A0000}"/>
    <cellStyle name="Percent 3 10 2 2" xfId="19071" xr:uid="{00000000-0005-0000-0000-0000CE4A0000}"/>
    <cellStyle name="Percent 3 10 2 2 2" xfId="19072" xr:uid="{00000000-0005-0000-0000-0000CF4A0000}"/>
    <cellStyle name="Percent 3 10 2 2 2 2" xfId="19073" xr:uid="{00000000-0005-0000-0000-0000D04A0000}"/>
    <cellStyle name="Percent 3 10 2 2 2 3" xfId="19074" xr:uid="{00000000-0005-0000-0000-0000D14A0000}"/>
    <cellStyle name="Percent 3 10 2 2 3" xfId="19075" xr:uid="{00000000-0005-0000-0000-0000D24A0000}"/>
    <cellStyle name="Percent 3 10 2 2 4" xfId="19076" xr:uid="{00000000-0005-0000-0000-0000D34A0000}"/>
    <cellStyle name="Percent 3 10 2 3" xfId="19077" xr:uid="{00000000-0005-0000-0000-0000D44A0000}"/>
    <cellStyle name="Percent 3 10 2 3 2" xfId="19078" xr:uid="{00000000-0005-0000-0000-0000D54A0000}"/>
    <cellStyle name="Percent 3 10 2 3 3" xfId="19079" xr:uid="{00000000-0005-0000-0000-0000D64A0000}"/>
    <cellStyle name="Percent 3 10 2 4" xfId="19080" xr:uid="{00000000-0005-0000-0000-0000D74A0000}"/>
    <cellStyle name="Percent 3 10 2 5" xfId="19081" xr:uid="{00000000-0005-0000-0000-0000D84A0000}"/>
    <cellStyle name="Percent 3 10 3" xfId="19082" xr:uid="{00000000-0005-0000-0000-0000D94A0000}"/>
    <cellStyle name="Percent 3 10 3 2" xfId="19083" xr:uid="{00000000-0005-0000-0000-0000DA4A0000}"/>
    <cellStyle name="Percent 3 10 3 2 2" xfId="19084" xr:uid="{00000000-0005-0000-0000-0000DB4A0000}"/>
    <cellStyle name="Percent 3 10 3 2 3" xfId="19085" xr:uid="{00000000-0005-0000-0000-0000DC4A0000}"/>
    <cellStyle name="Percent 3 10 3 3" xfId="19086" xr:uid="{00000000-0005-0000-0000-0000DD4A0000}"/>
    <cellStyle name="Percent 3 10 3 4" xfId="19087" xr:uid="{00000000-0005-0000-0000-0000DE4A0000}"/>
    <cellStyle name="Percent 3 10 4" xfId="19088" xr:uid="{00000000-0005-0000-0000-0000DF4A0000}"/>
    <cellStyle name="Percent 3 10 4 2" xfId="19089" xr:uid="{00000000-0005-0000-0000-0000E04A0000}"/>
    <cellStyle name="Percent 3 10 4 3" xfId="19090" xr:uid="{00000000-0005-0000-0000-0000E14A0000}"/>
    <cellStyle name="Percent 3 10 5" xfId="19091" xr:uid="{00000000-0005-0000-0000-0000E24A0000}"/>
    <cellStyle name="Percent 3 10 6" xfId="19092" xr:uid="{00000000-0005-0000-0000-0000E34A0000}"/>
    <cellStyle name="Percent 3 11" xfId="19093" xr:uid="{00000000-0005-0000-0000-0000E44A0000}"/>
    <cellStyle name="Percent 3 11 2" xfId="19094" xr:uid="{00000000-0005-0000-0000-0000E54A0000}"/>
    <cellStyle name="Percent 3 11 2 2" xfId="19095" xr:uid="{00000000-0005-0000-0000-0000E64A0000}"/>
    <cellStyle name="Percent 3 11 2 2 2" xfId="19096" xr:uid="{00000000-0005-0000-0000-0000E74A0000}"/>
    <cellStyle name="Percent 3 11 2 2 2 2" xfId="19097" xr:uid="{00000000-0005-0000-0000-0000E84A0000}"/>
    <cellStyle name="Percent 3 11 2 2 2 3" xfId="19098" xr:uid="{00000000-0005-0000-0000-0000E94A0000}"/>
    <cellStyle name="Percent 3 11 2 2 3" xfId="19099" xr:uid="{00000000-0005-0000-0000-0000EA4A0000}"/>
    <cellStyle name="Percent 3 11 2 2 4" xfId="19100" xr:uid="{00000000-0005-0000-0000-0000EB4A0000}"/>
    <cellStyle name="Percent 3 11 2 3" xfId="19101" xr:uid="{00000000-0005-0000-0000-0000EC4A0000}"/>
    <cellStyle name="Percent 3 11 2 3 2" xfId="19102" xr:uid="{00000000-0005-0000-0000-0000ED4A0000}"/>
    <cellStyle name="Percent 3 11 2 3 3" xfId="19103" xr:uid="{00000000-0005-0000-0000-0000EE4A0000}"/>
    <cellStyle name="Percent 3 11 2 4" xfId="19104" xr:uid="{00000000-0005-0000-0000-0000EF4A0000}"/>
    <cellStyle name="Percent 3 11 2 5" xfId="19105" xr:uid="{00000000-0005-0000-0000-0000F04A0000}"/>
    <cellStyle name="Percent 3 11 3" xfId="19106" xr:uid="{00000000-0005-0000-0000-0000F14A0000}"/>
    <cellStyle name="Percent 3 11 3 2" xfId="19107" xr:uid="{00000000-0005-0000-0000-0000F24A0000}"/>
    <cellStyle name="Percent 3 11 3 2 2" xfId="19108" xr:uid="{00000000-0005-0000-0000-0000F34A0000}"/>
    <cellStyle name="Percent 3 11 3 2 3" xfId="19109" xr:uid="{00000000-0005-0000-0000-0000F44A0000}"/>
    <cellStyle name="Percent 3 11 3 3" xfId="19110" xr:uid="{00000000-0005-0000-0000-0000F54A0000}"/>
    <cellStyle name="Percent 3 11 3 4" xfId="19111" xr:uid="{00000000-0005-0000-0000-0000F64A0000}"/>
    <cellStyle name="Percent 3 11 4" xfId="19112" xr:uid="{00000000-0005-0000-0000-0000F74A0000}"/>
    <cellStyle name="Percent 3 11 4 2" xfId="19113" xr:uid="{00000000-0005-0000-0000-0000F84A0000}"/>
    <cellStyle name="Percent 3 11 4 3" xfId="19114" xr:uid="{00000000-0005-0000-0000-0000F94A0000}"/>
    <cellStyle name="Percent 3 11 5" xfId="19115" xr:uid="{00000000-0005-0000-0000-0000FA4A0000}"/>
    <cellStyle name="Percent 3 11 6" xfId="19116" xr:uid="{00000000-0005-0000-0000-0000FB4A0000}"/>
    <cellStyle name="Percent 3 12" xfId="19117" xr:uid="{00000000-0005-0000-0000-0000FC4A0000}"/>
    <cellStyle name="Percent 3 12 2" xfId="19118" xr:uid="{00000000-0005-0000-0000-0000FD4A0000}"/>
    <cellStyle name="Percent 3 12 2 2" xfId="19119" xr:uid="{00000000-0005-0000-0000-0000FE4A0000}"/>
    <cellStyle name="Percent 3 12 2 2 2" xfId="19120" xr:uid="{00000000-0005-0000-0000-0000FF4A0000}"/>
    <cellStyle name="Percent 3 12 2 2 2 2" xfId="19121" xr:uid="{00000000-0005-0000-0000-0000004B0000}"/>
    <cellStyle name="Percent 3 12 2 2 2 3" xfId="19122" xr:uid="{00000000-0005-0000-0000-0000014B0000}"/>
    <cellStyle name="Percent 3 12 2 2 3" xfId="19123" xr:uid="{00000000-0005-0000-0000-0000024B0000}"/>
    <cellStyle name="Percent 3 12 2 2 4" xfId="19124" xr:uid="{00000000-0005-0000-0000-0000034B0000}"/>
    <cellStyle name="Percent 3 12 2 3" xfId="19125" xr:uid="{00000000-0005-0000-0000-0000044B0000}"/>
    <cellStyle name="Percent 3 12 2 3 2" xfId="19126" xr:uid="{00000000-0005-0000-0000-0000054B0000}"/>
    <cellStyle name="Percent 3 12 2 3 3" xfId="19127" xr:uid="{00000000-0005-0000-0000-0000064B0000}"/>
    <cellStyle name="Percent 3 12 2 4" xfId="19128" xr:uid="{00000000-0005-0000-0000-0000074B0000}"/>
    <cellStyle name="Percent 3 12 2 5" xfId="19129" xr:uid="{00000000-0005-0000-0000-0000084B0000}"/>
    <cellStyle name="Percent 3 12 3" xfId="19130" xr:uid="{00000000-0005-0000-0000-0000094B0000}"/>
    <cellStyle name="Percent 3 12 3 2" xfId="19131" xr:uid="{00000000-0005-0000-0000-00000A4B0000}"/>
    <cellStyle name="Percent 3 12 3 2 2" xfId="19132" xr:uid="{00000000-0005-0000-0000-00000B4B0000}"/>
    <cellStyle name="Percent 3 12 3 2 3" xfId="19133" xr:uid="{00000000-0005-0000-0000-00000C4B0000}"/>
    <cellStyle name="Percent 3 12 3 3" xfId="19134" xr:uid="{00000000-0005-0000-0000-00000D4B0000}"/>
    <cellStyle name="Percent 3 12 3 4" xfId="19135" xr:uid="{00000000-0005-0000-0000-00000E4B0000}"/>
    <cellStyle name="Percent 3 12 4" xfId="19136" xr:uid="{00000000-0005-0000-0000-00000F4B0000}"/>
    <cellStyle name="Percent 3 12 4 2" xfId="19137" xr:uid="{00000000-0005-0000-0000-0000104B0000}"/>
    <cellStyle name="Percent 3 12 4 3" xfId="19138" xr:uid="{00000000-0005-0000-0000-0000114B0000}"/>
    <cellStyle name="Percent 3 12 5" xfId="19139" xr:uid="{00000000-0005-0000-0000-0000124B0000}"/>
    <cellStyle name="Percent 3 12 6" xfId="19140" xr:uid="{00000000-0005-0000-0000-0000134B0000}"/>
    <cellStyle name="Percent 3 13" xfId="19141" xr:uid="{00000000-0005-0000-0000-0000144B0000}"/>
    <cellStyle name="Percent 3 13 2" xfId="19142" xr:uid="{00000000-0005-0000-0000-0000154B0000}"/>
    <cellStyle name="Percent 3 13 2 2" xfId="19143" xr:uid="{00000000-0005-0000-0000-0000164B0000}"/>
    <cellStyle name="Percent 3 13 2 2 2" xfId="19144" xr:uid="{00000000-0005-0000-0000-0000174B0000}"/>
    <cellStyle name="Percent 3 13 2 2 2 2" xfId="19145" xr:uid="{00000000-0005-0000-0000-0000184B0000}"/>
    <cellStyle name="Percent 3 13 2 2 2 3" xfId="19146" xr:uid="{00000000-0005-0000-0000-0000194B0000}"/>
    <cellStyle name="Percent 3 13 2 2 3" xfId="19147" xr:uid="{00000000-0005-0000-0000-00001A4B0000}"/>
    <cellStyle name="Percent 3 13 2 2 4" xfId="19148" xr:uid="{00000000-0005-0000-0000-00001B4B0000}"/>
    <cellStyle name="Percent 3 13 2 3" xfId="19149" xr:uid="{00000000-0005-0000-0000-00001C4B0000}"/>
    <cellStyle name="Percent 3 13 2 3 2" xfId="19150" xr:uid="{00000000-0005-0000-0000-00001D4B0000}"/>
    <cellStyle name="Percent 3 13 2 3 3" xfId="19151" xr:uid="{00000000-0005-0000-0000-00001E4B0000}"/>
    <cellStyle name="Percent 3 13 2 4" xfId="19152" xr:uid="{00000000-0005-0000-0000-00001F4B0000}"/>
    <cellStyle name="Percent 3 13 2 5" xfId="19153" xr:uid="{00000000-0005-0000-0000-0000204B0000}"/>
    <cellStyle name="Percent 3 13 3" xfId="19154" xr:uid="{00000000-0005-0000-0000-0000214B0000}"/>
    <cellStyle name="Percent 3 13 3 2" xfId="19155" xr:uid="{00000000-0005-0000-0000-0000224B0000}"/>
    <cellStyle name="Percent 3 13 3 2 2" xfId="19156" xr:uid="{00000000-0005-0000-0000-0000234B0000}"/>
    <cellStyle name="Percent 3 13 3 2 3" xfId="19157" xr:uid="{00000000-0005-0000-0000-0000244B0000}"/>
    <cellStyle name="Percent 3 13 3 3" xfId="19158" xr:uid="{00000000-0005-0000-0000-0000254B0000}"/>
    <cellStyle name="Percent 3 13 3 4" xfId="19159" xr:uid="{00000000-0005-0000-0000-0000264B0000}"/>
    <cellStyle name="Percent 3 13 4" xfId="19160" xr:uid="{00000000-0005-0000-0000-0000274B0000}"/>
    <cellStyle name="Percent 3 13 4 2" xfId="19161" xr:uid="{00000000-0005-0000-0000-0000284B0000}"/>
    <cellStyle name="Percent 3 13 4 3" xfId="19162" xr:uid="{00000000-0005-0000-0000-0000294B0000}"/>
    <cellStyle name="Percent 3 13 5" xfId="19163" xr:uid="{00000000-0005-0000-0000-00002A4B0000}"/>
    <cellStyle name="Percent 3 13 6" xfId="19164" xr:uid="{00000000-0005-0000-0000-00002B4B0000}"/>
    <cellStyle name="Percent 3 14" xfId="19165" xr:uid="{00000000-0005-0000-0000-00002C4B0000}"/>
    <cellStyle name="Percent 3 14 2" xfId="19166" xr:uid="{00000000-0005-0000-0000-00002D4B0000}"/>
    <cellStyle name="Percent 3 14 2 2" xfId="19167" xr:uid="{00000000-0005-0000-0000-00002E4B0000}"/>
    <cellStyle name="Percent 3 14 2 2 2" xfId="19168" xr:uid="{00000000-0005-0000-0000-00002F4B0000}"/>
    <cellStyle name="Percent 3 14 2 2 2 2" xfId="19169" xr:uid="{00000000-0005-0000-0000-0000304B0000}"/>
    <cellStyle name="Percent 3 14 2 2 2 3" xfId="19170" xr:uid="{00000000-0005-0000-0000-0000314B0000}"/>
    <cellStyle name="Percent 3 14 2 2 3" xfId="19171" xr:uid="{00000000-0005-0000-0000-0000324B0000}"/>
    <cellStyle name="Percent 3 14 2 2 4" xfId="19172" xr:uid="{00000000-0005-0000-0000-0000334B0000}"/>
    <cellStyle name="Percent 3 14 2 3" xfId="19173" xr:uid="{00000000-0005-0000-0000-0000344B0000}"/>
    <cellStyle name="Percent 3 14 2 3 2" xfId="19174" xr:uid="{00000000-0005-0000-0000-0000354B0000}"/>
    <cellStyle name="Percent 3 14 2 3 3" xfId="19175" xr:uid="{00000000-0005-0000-0000-0000364B0000}"/>
    <cellStyle name="Percent 3 14 2 4" xfId="19176" xr:uid="{00000000-0005-0000-0000-0000374B0000}"/>
    <cellStyle name="Percent 3 14 2 5" xfId="19177" xr:uid="{00000000-0005-0000-0000-0000384B0000}"/>
    <cellStyle name="Percent 3 14 3" xfId="19178" xr:uid="{00000000-0005-0000-0000-0000394B0000}"/>
    <cellStyle name="Percent 3 14 3 2" xfId="19179" xr:uid="{00000000-0005-0000-0000-00003A4B0000}"/>
    <cellStyle name="Percent 3 14 3 2 2" xfId="19180" xr:uid="{00000000-0005-0000-0000-00003B4B0000}"/>
    <cellStyle name="Percent 3 14 3 2 3" xfId="19181" xr:uid="{00000000-0005-0000-0000-00003C4B0000}"/>
    <cellStyle name="Percent 3 14 3 3" xfId="19182" xr:uid="{00000000-0005-0000-0000-00003D4B0000}"/>
    <cellStyle name="Percent 3 14 3 4" xfId="19183" xr:uid="{00000000-0005-0000-0000-00003E4B0000}"/>
    <cellStyle name="Percent 3 14 4" xfId="19184" xr:uid="{00000000-0005-0000-0000-00003F4B0000}"/>
    <cellStyle name="Percent 3 14 4 2" xfId="19185" xr:uid="{00000000-0005-0000-0000-0000404B0000}"/>
    <cellStyle name="Percent 3 14 4 3" xfId="19186" xr:uid="{00000000-0005-0000-0000-0000414B0000}"/>
    <cellStyle name="Percent 3 14 5" xfId="19187" xr:uid="{00000000-0005-0000-0000-0000424B0000}"/>
    <cellStyle name="Percent 3 14 6" xfId="19188" xr:uid="{00000000-0005-0000-0000-0000434B0000}"/>
    <cellStyle name="Percent 3 15" xfId="19189" xr:uid="{00000000-0005-0000-0000-0000444B0000}"/>
    <cellStyle name="Percent 3 15 2" xfId="19190" xr:uid="{00000000-0005-0000-0000-0000454B0000}"/>
    <cellStyle name="Percent 3 15 2 2" xfId="19191" xr:uid="{00000000-0005-0000-0000-0000464B0000}"/>
    <cellStyle name="Percent 3 15 2 2 2" xfId="19192" xr:uid="{00000000-0005-0000-0000-0000474B0000}"/>
    <cellStyle name="Percent 3 15 2 2 2 2" xfId="19193" xr:uid="{00000000-0005-0000-0000-0000484B0000}"/>
    <cellStyle name="Percent 3 15 2 2 2 3" xfId="19194" xr:uid="{00000000-0005-0000-0000-0000494B0000}"/>
    <cellStyle name="Percent 3 15 2 2 3" xfId="19195" xr:uid="{00000000-0005-0000-0000-00004A4B0000}"/>
    <cellStyle name="Percent 3 15 2 2 4" xfId="19196" xr:uid="{00000000-0005-0000-0000-00004B4B0000}"/>
    <cellStyle name="Percent 3 15 2 3" xfId="19197" xr:uid="{00000000-0005-0000-0000-00004C4B0000}"/>
    <cellStyle name="Percent 3 15 2 3 2" xfId="19198" xr:uid="{00000000-0005-0000-0000-00004D4B0000}"/>
    <cellStyle name="Percent 3 15 2 3 3" xfId="19199" xr:uid="{00000000-0005-0000-0000-00004E4B0000}"/>
    <cellStyle name="Percent 3 15 2 4" xfId="19200" xr:uid="{00000000-0005-0000-0000-00004F4B0000}"/>
    <cellStyle name="Percent 3 15 2 5" xfId="19201" xr:uid="{00000000-0005-0000-0000-0000504B0000}"/>
    <cellStyle name="Percent 3 15 3" xfId="19202" xr:uid="{00000000-0005-0000-0000-0000514B0000}"/>
    <cellStyle name="Percent 3 15 3 2" xfId="19203" xr:uid="{00000000-0005-0000-0000-0000524B0000}"/>
    <cellStyle name="Percent 3 15 3 2 2" xfId="19204" xr:uid="{00000000-0005-0000-0000-0000534B0000}"/>
    <cellStyle name="Percent 3 15 3 2 3" xfId="19205" xr:uid="{00000000-0005-0000-0000-0000544B0000}"/>
    <cellStyle name="Percent 3 15 3 3" xfId="19206" xr:uid="{00000000-0005-0000-0000-0000554B0000}"/>
    <cellStyle name="Percent 3 15 3 4" xfId="19207" xr:uid="{00000000-0005-0000-0000-0000564B0000}"/>
    <cellStyle name="Percent 3 15 4" xfId="19208" xr:uid="{00000000-0005-0000-0000-0000574B0000}"/>
    <cellStyle name="Percent 3 15 4 2" xfId="19209" xr:uid="{00000000-0005-0000-0000-0000584B0000}"/>
    <cellStyle name="Percent 3 15 4 3" xfId="19210" xr:uid="{00000000-0005-0000-0000-0000594B0000}"/>
    <cellStyle name="Percent 3 15 5" xfId="19211" xr:uid="{00000000-0005-0000-0000-00005A4B0000}"/>
    <cellStyle name="Percent 3 15 6" xfId="19212" xr:uid="{00000000-0005-0000-0000-00005B4B0000}"/>
    <cellStyle name="Percent 3 16" xfId="19213" xr:uid="{00000000-0005-0000-0000-00005C4B0000}"/>
    <cellStyle name="Percent 3 16 2" xfId="19214" xr:uid="{00000000-0005-0000-0000-00005D4B0000}"/>
    <cellStyle name="Percent 3 16 2 2" xfId="19215" xr:uid="{00000000-0005-0000-0000-00005E4B0000}"/>
    <cellStyle name="Percent 3 16 2 2 2" xfId="19216" xr:uid="{00000000-0005-0000-0000-00005F4B0000}"/>
    <cellStyle name="Percent 3 16 2 2 2 2" xfId="19217" xr:uid="{00000000-0005-0000-0000-0000604B0000}"/>
    <cellStyle name="Percent 3 16 2 2 2 3" xfId="19218" xr:uid="{00000000-0005-0000-0000-0000614B0000}"/>
    <cellStyle name="Percent 3 16 2 2 3" xfId="19219" xr:uid="{00000000-0005-0000-0000-0000624B0000}"/>
    <cellStyle name="Percent 3 16 2 2 4" xfId="19220" xr:uid="{00000000-0005-0000-0000-0000634B0000}"/>
    <cellStyle name="Percent 3 16 2 3" xfId="19221" xr:uid="{00000000-0005-0000-0000-0000644B0000}"/>
    <cellStyle name="Percent 3 16 2 3 2" xfId="19222" xr:uid="{00000000-0005-0000-0000-0000654B0000}"/>
    <cellStyle name="Percent 3 16 2 3 3" xfId="19223" xr:uid="{00000000-0005-0000-0000-0000664B0000}"/>
    <cellStyle name="Percent 3 16 2 4" xfId="19224" xr:uid="{00000000-0005-0000-0000-0000674B0000}"/>
    <cellStyle name="Percent 3 16 2 5" xfId="19225" xr:uid="{00000000-0005-0000-0000-0000684B0000}"/>
    <cellStyle name="Percent 3 16 3" xfId="19226" xr:uid="{00000000-0005-0000-0000-0000694B0000}"/>
    <cellStyle name="Percent 3 16 3 2" xfId="19227" xr:uid="{00000000-0005-0000-0000-00006A4B0000}"/>
    <cellStyle name="Percent 3 16 3 2 2" xfId="19228" xr:uid="{00000000-0005-0000-0000-00006B4B0000}"/>
    <cellStyle name="Percent 3 16 3 2 3" xfId="19229" xr:uid="{00000000-0005-0000-0000-00006C4B0000}"/>
    <cellStyle name="Percent 3 16 3 3" xfId="19230" xr:uid="{00000000-0005-0000-0000-00006D4B0000}"/>
    <cellStyle name="Percent 3 16 3 4" xfId="19231" xr:uid="{00000000-0005-0000-0000-00006E4B0000}"/>
    <cellStyle name="Percent 3 16 4" xfId="19232" xr:uid="{00000000-0005-0000-0000-00006F4B0000}"/>
    <cellStyle name="Percent 3 16 4 2" xfId="19233" xr:uid="{00000000-0005-0000-0000-0000704B0000}"/>
    <cellStyle name="Percent 3 16 4 3" xfId="19234" xr:uid="{00000000-0005-0000-0000-0000714B0000}"/>
    <cellStyle name="Percent 3 16 5" xfId="19235" xr:uid="{00000000-0005-0000-0000-0000724B0000}"/>
    <cellStyle name="Percent 3 16 6" xfId="19236" xr:uid="{00000000-0005-0000-0000-0000734B0000}"/>
    <cellStyle name="Percent 3 17" xfId="19237" xr:uid="{00000000-0005-0000-0000-0000744B0000}"/>
    <cellStyle name="Percent 3 17 2" xfId="19238" xr:uid="{00000000-0005-0000-0000-0000754B0000}"/>
    <cellStyle name="Percent 3 17 2 2" xfId="19239" xr:uid="{00000000-0005-0000-0000-0000764B0000}"/>
    <cellStyle name="Percent 3 17 2 2 2" xfId="19240" xr:uid="{00000000-0005-0000-0000-0000774B0000}"/>
    <cellStyle name="Percent 3 17 2 2 2 2" xfId="19241" xr:uid="{00000000-0005-0000-0000-0000784B0000}"/>
    <cellStyle name="Percent 3 17 2 2 2 3" xfId="19242" xr:uid="{00000000-0005-0000-0000-0000794B0000}"/>
    <cellStyle name="Percent 3 17 2 2 3" xfId="19243" xr:uid="{00000000-0005-0000-0000-00007A4B0000}"/>
    <cellStyle name="Percent 3 17 2 2 4" xfId="19244" xr:uid="{00000000-0005-0000-0000-00007B4B0000}"/>
    <cellStyle name="Percent 3 17 2 3" xfId="19245" xr:uid="{00000000-0005-0000-0000-00007C4B0000}"/>
    <cellStyle name="Percent 3 17 2 3 2" xfId="19246" xr:uid="{00000000-0005-0000-0000-00007D4B0000}"/>
    <cellStyle name="Percent 3 17 2 3 3" xfId="19247" xr:uid="{00000000-0005-0000-0000-00007E4B0000}"/>
    <cellStyle name="Percent 3 17 2 4" xfId="19248" xr:uid="{00000000-0005-0000-0000-00007F4B0000}"/>
    <cellStyle name="Percent 3 17 2 5" xfId="19249" xr:uid="{00000000-0005-0000-0000-0000804B0000}"/>
    <cellStyle name="Percent 3 17 3" xfId="19250" xr:uid="{00000000-0005-0000-0000-0000814B0000}"/>
    <cellStyle name="Percent 3 17 3 2" xfId="19251" xr:uid="{00000000-0005-0000-0000-0000824B0000}"/>
    <cellStyle name="Percent 3 17 3 2 2" xfId="19252" xr:uid="{00000000-0005-0000-0000-0000834B0000}"/>
    <cellStyle name="Percent 3 17 3 2 3" xfId="19253" xr:uid="{00000000-0005-0000-0000-0000844B0000}"/>
    <cellStyle name="Percent 3 17 3 3" xfId="19254" xr:uid="{00000000-0005-0000-0000-0000854B0000}"/>
    <cellStyle name="Percent 3 17 3 4" xfId="19255" xr:uid="{00000000-0005-0000-0000-0000864B0000}"/>
    <cellStyle name="Percent 3 17 4" xfId="19256" xr:uid="{00000000-0005-0000-0000-0000874B0000}"/>
    <cellStyle name="Percent 3 17 4 2" xfId="19257" xr:uid="{00000000-0005-0000-0000-0000884B0000}"/>
    <cellStyle name="Percent 3 17 4 3" xfId="19258" xr:uid="{00000000-0005-0000-0000-0000894B0000}"/>
    <cellStyle name="Percent 3 17 5" xfId="19259" xr:uid="{00000000-0005-0000-0000-00008A4B0000}"/>
    <cellStyle name="Percent 3 17 6" xfId="19260" xr:uid="{00000000-0005-0000-0000-00008B4B0000}"/>
    <cellStyle name="Percent 3 18" xfId="19261" xr:uid="{00000000-0005-0000-0000-00008C4B0000}"/>
    <cellStyle name="Percent 3 18 2" xfId="19262" xr:uid="{00000000-0005-0000-0000-00008D4B0000}"/>
    <cellStyle name="Percent 3 18 2 2" xfId="19263" xr:uid="{00000000-0005-0000-0000-00008E4B0000}"/>
    <cellStyle name="Percent 3 18 2 2 2" xfId="19264" xr:uid="{00000000-0005-0000-0000-00008F4B0000}"/>
    <cellStyle name="Percent 3 18 2 2 2 2" xfId="19265" xr:uid="{00000000-0005-0000-0000-0000904B0000}"/>
    <cellStyle name="Percent 3 18 2 2 2 3" xfId="19266" xr:uid="{00000000-0005-0000-0000-0000914B0000}"/>
    <cellStyle name="Percent 3 18 2 2 3" xfId="19267" xr:uid="{00000000-0005-0000-0000-0000924B0000}"/>
    <cellStyle name="Percent 3 18 2 2 4" xfId="19268" xr:uid="{00000000-0005-0000-0000-0000934B0000}"/>
    <cellStyle name="Percent 3 18 2 3" xfId="19269" xr:uid="{00000000-0005-0000-0000-0000944B0000}"/>
    <cellStyle name="Percent 3 18 2 3 2" xfId="19270" xr:uid="{00000000-0005-0000-0000-0000954B0000}"/>
    <cellStyle name="Percent 3 18 2 3 3" xfId="19271" xr:uid="{00000000-0005-0000-0000-0000964B0000}"/>
    <cellStyle name="Percent 3 18 2 4" xfId="19272" xr:uid="{00000000-0005-0000-0000-0000974B0000}"/>
    <cellStyle name="Percent 3 18 2 5" xfId="19273" xr:uid="{00000000-0005-0000-0000-0000984B0000}"/>
    <cellStyle name="Percent 3 18 3" xfId="19274" xr:uid="{00000000-0005-0000-0000-0000994B0000}"/>
    <cellStyle name="Percent 3 18 3 2" xfId="19275" xr:uid="{00000000-0005-0000-0000-00009A4B0000}"/>
    <cellStyle name="Percent 3 18 3 2 2" xfId="19276" xr:uid="{00000000-0005-0000-0000-00009B4B0000}"/>
    <cellStyle name="Percent 3 18 3 2 3" xfId="19277" xr:uid="{00000000-0005-0000-0000-00009C4B0000}"/>
    <cellStyle name="Percent 3 18 3 3" xfId="19278" xr:uid="{00000000-0005-0000-0000-00009D4B0000}"/>
    <cellStyle name="Percent 3 18 3 4" xfId="19279" xr:uid="{00000000-0005-0000-0000-00009E4B0000}"/>
    <cellStyle name="Percent 3 18 4" xfId="19280" xr:uid="{00000000-0005-0000-0000-00009F4B0000}"/>
    <cellStyle name="Percent 3 18 4 2" xfId="19281" xr:uid="{00000000-0005-0000-0000-0000A04B0000}"/>
    <cellStyle name="Percent 3 18 4 3" xfId="19282" xr:uid="{00000000-0005-0000-0000-0000A14B0000}"/>
    <cellStyle name="Percent 3 18 5" xfId="19283" xr:uid="{00000000-0005-0000-0000-0000A24B0000}"/>
    <cellStyle name="Percent 3 18 6" xfId="19284" xr:uid="{00000000-0005-0000-0000-0000A34B0000}"/>
    <cellStyle name="Percent 3 19" xfId="19285" xr:uid="{00000000-0005-0000-0000-0000A44B0000}"/>
    <cellStyle name="Percent 3 19 2" xfId="19286" xr:uid="{00000000-0005-0000-0000-0000A54B0000}"/>
    <cellStyle name="Percent 3 19 2 2" xfId="19287" xr:uid="{00000000-0005-0000-0000-0000A64B0000}"/>
    <cellStyle name="Percent 3 19 2 2 2" xfId="19288" xr:uid="{00000000-0005-0000-0000-0000A74B0000}"/>
    <cellStyle name="Percent 3 19 2 2 2 2" xfId="19289" xr:uid="{00000000-0005-0000-0000-0000A84B0000}"/>
    <cellStyle name="Percent 3 19 2 2 2 3" xfId="19290" xr:uid="{00000000-0005-0000-0000-0000A94B0000}"/>
    <cellStyle name="Percent 3 19 2 2 3" xfId="19291" xr:uid="{00000000-0005-0000-0000-0000AA4B0000}"/>
    <cellStyle name="Percent 3 19 2 2 4" xfId="19292" xr:uid="{00000000-0005-0000-0000-0000AB4B0000}"/>
    <cellStyle name="Percent 3 19 2 3" xfId="19293" xr:uid="{00000000-0005-0000-0000-0000AC4B0000}"/>
    <cellStyle name="Percent 3 19 2 3 2" xfId="19294" xr:uid="{00000000-0005-0000-0000-0000AD4B0000}"/>
    <cellStyle name="Percent 3 19 2 3 3" xfId="19295" xr:uid="{00000000-0005-0000-0000-0000AE4B0000}"/>
    <cellStyle name="Percent 3 19 2 4" xfId="19296" xr:uid="{00000000-0005-0000-0000-0000AF4B0000}"/>
    <cellStyle name="Percent 3 19 2 5" xfId="19297" xr:uid="{00000000-0005-0000-0000-0000B04B0000}"/>
    <cellStyle name="Percent 3 19 3" xfId="19298" xr:uid="{00000000-0005-0000-0000-0000B14B0000}"/>
    <cellStyle name="Percent 3 19 3 2" xfId="19299" xr:uid="{00000000-0005-0000-0000-0000B24B0000}"/>
    <cellStyle name="Percent 3 19 3 2 2" xfId="19300" xr:uid="{00000000-0005-0000-0000-0000B34B0000}"/>
    <cellStyle name="Percent 3 19 3 2 3" xfId="19301" xr:uid="{00000000-0005-0000-0000-0000B44B0000}"/>
    <cellStyle name="Percent 3 19 3 3" xfId="19302" xr:uid="{00000000-0005-0000-0000-0000B54B0000}"/>
    <cellStyle name="Percent 3 19 3 4" xfId="19303" xr:uid="{00000000-0005-0000-0000-0000B64B0000}"/>
    <cellStyle name="Percent 3 19 4" xfId="19304" xr:uid="{00000000-0005-0000-0000-0000B74B0000}"/>
    <cellStyle name="Percent 3 19 4 2" xfId="19305" xr:uid="{00000000-0005-0000-0000-0000B84B0000}"/>
    <cellStyle name="Percent 3 19 4 3" xfId="19306" xr:uid="{00000000-0005-0000-0000-0000B94B0000}"/>
    <cellStyle name="Percent 3 19 5" xfId="19307" xr:uid="{00000000-0005-0000-0000-0000BA4B0000}"/>
    <cellStyle name="Percent 3 19 6" xfId="19308" xr:uid="{00000000-0005-0000-0000-0000BB4B0000}"/>
    <cellStyle name="Percent 3 2" xfId="39" xr:uid="{00000000-0005-0000-0000-0000BC4B0000}"/>
    <cellStyle name="Percent 3 2 10" xfId="19309" xr:uid="{00000000-0005-0000-0000-0000BD4B0000}"/>
    <cellStyle name="Percent 3 2 10 2" xfId="19310" xr:uid="{00000000-0005-0000-0000-0000BE4B0000}"/>
    <cellStyle name="Percent 3 2 10 2 2" xfId="19311" xr:uid="{00000000-0005-0000-0000-0000BF4B0000}"/>
    <cellStyle name="Percent 3 2 10 2 2 2" xfId="19312" xr:uid="{00000000-0005-0000-0000-0000C04B0000}"/>
    <cellStyle name="Percent 3 2 10 2 2 2 2" xfId="19313" xr:uid="{00000000-0005-0000-0000-0000C14B0000}"/>
    <cellStyle name="Percent 3 2 10 2 2 2 3" xfId="19314" xr:uid="{00000000-0005-0000-0000-0000C24B0000}"/>
    <cellStyle name="Percent 3 2 10 2 2 3" xfId="19315" xr:uid="{00000000-0005-0000-0000-0000C34B0000}"/>
    <cellStyle name="Percent 3 2 10 2 2 4" xfId="19316" xr:uid="{00000000-0005-0000-0000-0000C44B0000}"/>
    <cellStyle name="Percent 3 2 10 2 3" xfId="19317" xr:uid="{00000000-0005-0000-0000-0000C54B0000}"/>
    <cellStyle name="Percent 3 2 10 2 3 2" xfId="19318" xr:uid="{00000000-0005-0000-0000-0000C64B0000}"/>
    <cellStyle name="Percent 3 2 10 2 3 3" xfId="19319" xr:uid="{00000000-0005-0000-0000-0000C74B0000}"/>
    <cellStyle name="Percent 3 2 10 2 4" xfId="19320" xr:uid="{00000000-0005-0000-0000-0000C84B0000}"/>
    <cellStyle name="Percent 3 2 10 2 5" xfId="19321" xr:uid="{00000000-0005-0000-0000-0000C94B0000}"/>
    <cellStyle name="Percent 3 2 10 3" xfId="19322" xr:uid="{00000000-0005-0000-0000-0000CA4B0000}"/>
    <cellStyle name="Percent 3 2 10 3 2" xfId="19323" xr:uid="{00000000-0005-0000-0000-0000CB4B0000}"/>
    <cellStyle name="Percent 3 2 10 3 2 2" xfId="19324" xr:uid="{00000000-0005-0000-0000-0000CC4B0000}"/>
    <cellStyle name="Percent 3 2 10 3 2 3" xfId="19325" xr:uid="{00000000-0005-0000-0000-0000CD4B0000}"/>
    <cellStyle name="Percent 3 2 10 3 3" xfId="19326" xr:uid="{00000000-0005-0000-0000-0000CE4B0000}"/>
    <cellStyle name="Percent 3 2 10 3 4" xfId="19327" xr:uid="{00000000-0005-0000-0000-0000CF4B0000}"/>
    <cellStyle name="Percent 3 2 10 4" xfId="19328" xr:uid="{00000000-0005-0000-0000-0000D04B0000}"/>
    <cellStyle name="Percent 3 2 10 4 2" xfId="19329" xr:uid="{00000000-0005-0000-0000-0000D14B0000}"/>
    <cellStyle name="Percent 3 2 10 4 3" xfId="19330" xr:uid="{00000000-0005-0000-0000-0000D24B0000}"/>
    <cellStyle name="Percent 3 2 10 5" xfId="19331" xr:uid="{00000000-0005-0000-0000-0000D34B0000}"/>
    <cellStyle name="Percent 3 2 10 6" xfId="19332" xr:uid="{00000000-0005-0000-0000-0000D44B0000}"/>
    <cellStyle name="Percent 3 2 11" xfId="19333" xr:uid="{00000000-0005-0000-0000-0000D54B0000}"/>
    <cellStyle name="Percent 3 2 11 2" xfId="19334" xr:uid="{00000000-0005-0000-0000-0000D64B0000}"/>
    <cellStyle name="Percent 3 2 11 2 2" xfId="19335" xr:uid="{00000000-0005-0000-0000-0000D74B0000}"/>
    <cellStyle name="Percent 3 2 11 2 2 2" xfId="19336" xr:uid="{00000000-0005-0000-0000-0000D84B0000}"/>
    <cellStyle name="Percent 3 2 11 2 2 2 2" xfId="19337" xr:uid="{00000000-0005-0000-0000-0000D94B0000}"/>
    <cellStyle name="Percent 3 2 11 2 2 2 3" xfId="19338" xr:uid="{00000000-0005-0000-0000-0000DA4B0000}"/>
    <cellStyle name="Percent 3 2 11 2 2 3" xfId="19339" xr:uid="{00000000-0005-0000-0000-0000DB4B0000}"/>
    <cellStyle name="Percent 3 2 11 2 2 4" xfId="19340" xr:uid="{00000000-0005-0000-0000-0000DC4B0000}"/>
    <cellStyle name="Percent 3 2 11 2 3" xfId="19341" xr:uid="{00000000-0005-0000-0000-0000DD4B0000}"/>
    <cellStyle name="Percent 3 2 11 2 3 2" xfId="19342" xr:uid="{00000000-0005-0000-0000-0000DE4B0000}"/>
    <cellStyle name="Percent 3 2 11 2 3 3" xfId="19343" xr:uid="{00000000-0005-0000-0000-0000DF4B0000}"/>
    <cellStyle name="Percent 3 2 11 2 4" xfId="19344" xr:uid="{00000000-0005-0000-0000-0000E04B0000}"/>
    <cellStyle name="Percent 3 2 11 2 5" xfId="19345" xr:uid="{00000000-0005-0000-0000-0000E14B0000}"/>
    <cellStyle name="Percent 3 2 11 3" xfId="19346" xr:uid="{00000000-0005-0000-0000-0000E24B0000}"/>
    <cellStyle name="Percent 3 2 11 3 2" xfId="19347" xr:uid="{00000000-0005-0000-0000-0000E34B0000}"/>
    <cellStyle name="Percent 3 2 11 3 2 2" xfId="19348" xr:uid="{00000000-0005-0000-0000-0000E44B0000}"/>
    <cellStyle name="Percent 3 2 11 3 2 3" xfId="19349" xr:uid="{00000000-0005-0000-0000-0000E54B0000}"/>
    <cellStyle name="Percent 3 2 11 3 3" xfId="19350" xr:uid="{00000000-0005-0000-0000-0000E64B0000}"/>
    <cellStyle name="Percent 3 2 11 3 4" xfId="19351" xr:uid="{00000000-0005-0000-0000-0000E74B0000}"/>
    <cellStyle name="Percent 3 2 11 4" xfId="19352" xr:uid="{00000000-0005-0000-0000-0000E84B0000}"/>
    <cellStyle name="Percent 3 2 11 4 2" xfId="19353" xr:uid="{00000000-0005-0000-0000-0000E94B0000}"/>
    <cellStyle name="Percent 3 2 11 4 3" xfId="19354" xr:uid="{00000000-0005-0000-0000-0000EA4B0000}"/>
    <cellStyle name="Percent 3 2 11 5" xfId="19355" xr:uid="{00000000-0005-0000-0000-0000EB4B0000}"/>
    <cellStyle name="Percent 3 2 11 6" xfId="19356" xr:uid="{00000000-0005-0000-0000-0000EC4B0000}"/>
    <cellStyle name="Percent 3 2 12" xfId="19357" xr:uid="{00000000-0005-0000-0000-0000ED4B0000}"/>
    <cellStyle name="Percent 3 2 12 2" xfId="19358" xr:uid="{00000000-0005-0000-0000-0000EE4B0000}"/>
    <cellStyle name="Percent 3 2 12 2 2" xfId="19359" xr:uid="{00000000-0005-0000-0000-0000EF4B0000}"/>
    <cellStyle name="Percent 3 2 12 2 2 2" xfId="19360" xr:uid="{00000000-0005-0000-0000-0000F04B0000}"/>
    <cellStyle name="Percent 3 2 12 2 2 2 2" xfId="19361" xr:uid="{00000000-0005-0000-0000-0000F14B0000}"/>
    <cellStyle name="Percent 3 2 12 2 2 2 3" xfId="19362" xr:uid="{00000000-0005-0000-0000-0000F24B0000}"/>
    <cellStyle name="Percent 3 2 12 2 2 3" xfId="19363" xr:uid="{00000000-0005-0000-0000-0000F34B0000}"/>
    <cellStyle name="Percent 3 2 12 2 2 4" xfId="19364" xr:uid="{00000000-0005-0000-0000-0000F44B0000}"/>
    <cellStyle name="Percent 3 2 12 2 3" xfId="19365" xr:uid="{00000000-0005-0000-0000-0000F54B0000}"/>
    <cellStyle name="Percent 3 2 12 2 3 2" xfId="19366" xr:uid="{00000000-0005-0000-0000-0000F64B0000}"/>
    <cellStyle name="Percent 3 2 12 2 3 3" xfId="19367" xr:uid="{00000000-0005-0000-0000-0000F74B0000}"/>
    <cellStyle name="Percent 3 2 12 2 4" xfId="19368" xr:uid="{00000000-0005-0000-0000-0000F84B0000}"/>
    <cellStyle name="Percent 3 2 12 2 5" xfId="19369" xr:uid="{00000000-0005-0000-0000-0000F94B0000}"/>
    <cellStyle name="Percent 3 2 12 3" xfId="19370" xr:uid="{00000000-0005-0000-0000-0000FA4B0000}"/>
    <cellStyle name="Percent 3 2 12 3 2" xfId="19371" xr:uid="{00000000-0005-0000-0000-0000FB4B0000}"/>
    <cellStyle name="Percent 3 2 12 3 2 2" xfId="19372" xr:uid="{00000000-0005-0000-0000-0000FC4B0000}"/>
    <cellStyle name="Percent 3 2 12 3 2 3" xfId="19373" xr:uid="{00000000-0005-0000-0000-0000FD4B0000}"/>
    <cellStyle name="Percent 3 2 12 3 3" xfId="19374" xr:uid="{00000000-0005-0000-0000-0000FE4B0000}"/>
    <cellStyle name="Percent 3 2 12 3 4" xfId="19375" xr:uid="{00000000-0005-0000-0000-0000FF4B0000}"/>
    <cellStyle name="Percent 3 2 12 4" xfId="19376" xr:uid="{00000000-0005-0000-0000-0000004C0000}"/>
    <cellStyle name="Percent 3 2 12 4 2" xfId="19377" xr:uid="{00000000-0005-0000-0000-0000014C0000}"/>
    <cellStyle name="Percent 3 2 12 4 3" xfId="19378" xr:uid="{00000000-0005-0000-0000-0000024C0000}"/>
    <cellStyle name="Percent 3 2 12 5" xfId="19379" xr:uid="{00000000-0005-0000-0000-0000034C0000}"/>
    <cellStyle name="Percent 3 2 12 6" xfId="19380" xr:uid="{00000000-0005-0000-0000-0000044C0000}"/>
    <cellStyle name="Percent 3 2 13" xfId="19381" xr:uid="{00000000-0005-0000-0000-0000054C0000}"/>
    <cellStyle name="Percent 3 2 13 2" xfId="19382" xr:uid="{00000000-0005-0000-0000-0000064C0000}"/>
    <cellStyle name="Percent 3 2 13 2 2" xfId="19383" xr:uid="{00000000-0005-0000-0000-0000074C0000}"/>
    <cellStyle name="Percent 3 2 13 2 2 2" xfId="19384" xr:uid="{00000000-0005-0000-0000-0000084C0000}"/>
    <cellStyle name="Percent 3 2 13 2 2 2 2" xfId="19385" xr:uid="{00000000-0005-0000-0000-0000094C0000}"/>
    <cellStyle name="Percent 3 2 13 2 2 2 3" xfId="19386" xr:uid="{00000000-0005-0000-0000-00000A4C0000}"/>
    <cellStyle name="Percent 3 2 13 2 2 3" xfId="19387" xr:uid="{00000000-0005-0000-0000-00000B4C0000}"/>
    <cellStyle name="Percent 3 2 13 2 2 4" xfId="19388" xr:uid="{00000000-0005-0000-0000-00000C4C0000}"/>
    <cellStyle name="Percent 3 2 13 2 3" xfId="19389" xr:uid="{00000000-0005-0000-0000-00000D4C0000}"/>
    <cellStyle name="Percent 3 2 13 2 3 2" xfId="19390" xr:uid="{00000000-0005-0000-0000-00000E4C0000}"/>
    <cellStyle name="Percent 3 2 13 2 3 3" xfId="19391" xr:uid="{00000000-0005-0000-0000-00000F4C0000}"/>
    <cellStyle name="Percent 3 2 13 2 4" xfId="19392" xr:uid="{00000000-0005-0000-0000-0000104C0000}"/>
    <cellStyle name="Percent 3 2 13 2 5" xfId="19393" xr:uid="{00000000-0005-0000-0000-0000114C0000}"/>
    <cellStyle name="Percent 3 2 13 3" xfId="19394" xr:uid="{00000000-0005-0000-0000-0000124C0000}"/>
    <cellStyle name="Percent 3 2 13 3 2" xfId="19395" xr:uid="{00000000-0005-0000-0000-0000134C0000}"/>
    <cellStyle name="Percent 3 2 13 3 2 2" xfId="19396" xr:uid="{00000000-0005-0000-0000-0000144C0000}"/>
    <cellStyle name="Percent 3 2 13 3 2 3" xfId="19397" xr:uid="{00000000-0005-0000-0000-0000154C0000}"/>
    <cellStyle name="Percent 3 2 13 3 3" xfId="19398" xr:uid="{00000000-0005-0000-0000-0000164C0000}"/>
    <cellStyle name="Percent 3 2 13 3 4" xfId="19399" xr:uid="{00000000-0005-0000-0000-0000174C0000}"/>
    <cellStyle name="Percent 3 2 13 4" xfId="19400" xr:uid="{00000000-0005-0000-0000-0000184C0000}"/>
    <cellStyle name="Percent 3 2 13 4 2" xfId="19401" xr:uid="{00000000-0005-0000-0000-0000194C0000}"/>
    <cellStyle name="Percent 3 2 13 4 3" xfId="19402" xr:uid="{00000000-0005-0000-0000-00001A4C0000}"/>
    <cellStyle name="Percent 3 2 13 5" xfId="19403" xr:uid="{00000000-0005-0000-0000-00001B4C0000}"/>
    <cellStyle name="Percent 3 2 13 6" xfId="19404" xr:uid="{00000000-0005-0000-0000-00001C4C0000}"/>
    <cellStyle name="Percent 3 2 14" xfId="19405" xr:uid="{00000000-0005-0000-0000-00001D4C0000}"/>
    <cellStyle name="Percent 3 2 14 2" xfId="19406" xr:uid="{00000000-0005-0000-0000-00001E4C0000}"/>
    <cellStyle name="Percent 3 2 14 2 2" xfId="19407" xr:uid="{00000000-0005-0000-0000-00001F4C0000}"/>
    <cellStyle name="Percent 3 2 14 2 2 2" xfId="19408" xr:uid="{00000000-0005-0000-0000-0000204C0000}"/>
    <cellStyle name="Percent 3 2 14 2 2 2 2" xfId="19409" xr:uid="{00000000-0005-0000-0000-0000214C0000}"/>
    <cellStyle name="Percent 3 2 14 2 2 2 3" xfId="19410" xr:uid="{00000000-0005-0000-0000-0000224C0000}"/>
    <cellStyle name="Percent 3 2 14 2 2 3" xfId="19411" xr:uid="{00000000-0005-0000-0000-0000234C0000}"/>
    <cellStyle name="Percent 3 2 14 2 2 4" xfId="19412" xr:uid="{00000000-0005-0000-0000-0000244C0000}"/>
    <cellStyle name="Percent 3 2 14 2 3" xfId="19413" xr:uid="{00000000-0005-0000-0000-0000254C0000}"/>
    <cellStyle name="Percent 3 2 14 2 3 2" xfId="19414" xr:uid="{00000000-0005-0000-0000-0000264C0000}"/>
    <cellStyle name="Percent 3 2 14 2 3 3" xfId="19415" xr:uid="{00000000-0005-0000-0000-0000274C0000}"/>
    <cellStyle name="Percent 3 2 14 2 4" xfId="19416" xr:uid="{00000000-0005-0000-0000-0000284C0000}"/>
    <cellStyle name="Percent 3 2 14 2 5" xfId="19417" xr:uid="{00000000-0005-0000-0000-0000294C0000}"/>
    <cellStyle name="Percent 3 2 14 3" xfId="19418" xr:uid="{00000000-0005-0000-0000-00002A4C0000}"/>
    <cellStyle name="Percent 3 2 14 3 2" xfId="19419" xr:uid="{00000000-0005-0000-0000-00002B4C0000}"/>
    <cellStyle name="Percent 3 2 14 3 2 2" xfId="19420" xr:uid="{00000000-0005-0000-0000-00002C4C0000}"/>
    <cellStyle name="Percent 3 2 14 3 2 3" xfId="19421" xr:uid="{00000000-0005-0000-0000-00002D4C0000}"/>
    <cellStyle name="Percent 3 2 14 3 3" xfId="19422" xr:uid="{00000000-0005-0000-0000-00002E4C0000}"/>
    <cellStyle name="Percent 3 2 14 3 4" xfId="19423" xr:uid="{00000000-0005-0000-0000-00002F4C0000}"/>
    <cellStyle name="Percent 3 2 14 4" xfId="19424" xr:uid="{00000000-0005-0000-0000-0000304C0000}"/>
    <cellStyle name="Percent 3 2 14 4 2" xfId="19425" xr:uid="{00000000-0005-0000-0000-0000314C0000}"/>
    <cellStyle name="Percent 3 2 14 4 3" xfId="19426" xr:uid="{00000000-0005-0000-0000-0000324C0000}"/>
    <cellStyle name="Percent 3 2 14 5" xfId="19427" xr:uid="{00000000-0005-0000-0000-0000334C0000}"/>
    <cellStyle name="Percent 3 2 14 6" xfId="19428" xr:uid="{00000000-0005-0000-0000-0000344C0000}"/>
    <cellStyle name="Percent 3 2 15" xfId="19429" xr:uid="{00000000-0005-0000-0000-0000354C0000}"/>
    <cellStyle name="Percent 3 2 15 2" xfId="19430" xr:uid="{00000000-0005-0000-0000-0000364C0000}"/>
    <cellStyle name="Percent 3 2 15 2 2" xfId="19431" xr:uid="{00000000-0005-0000-0000-0000374C0000}"/>
    <cellStyle name="Percent 3 2 15 2 2 2" xfId="19432" xr:uid="{00000000-0005-0000-0000-0000384C0000}"/>
    <cellStyle name="Percent 3 2 15 2 2 2 2" xfId="19433" xr:uid="{00000000-0005-0000-0000-0000394C0000}"/>
    <cellStyle name="Percent 3 2 15 2 2 2 3" xfId="19434" xr:uid="{00000000-0005-0000-0000-00003A4C0000}"/>
    <cellStyle name="Percent 3 2 15 2 2 3" xfId="19435" xr:uid="{00000000-0005-0000-0000-00003B4C0000}"/>
    <cellStyle name="Percent 3 2 15 2 2 4" xfId="19436" xr:uid="{00000000-0005-0000-0000-00003C4C0000}"/>
    <cellStyle name="Percent 3 2 15 2 3" xfId="19437" xr:uid="{00000000-0005-0000-0000-00003D4C0000}"/>
    <cellStyle name="Percent 3 2 15 2 3 2" xfId="19438" xr:uid="{00000000-0005-0000-0000-00003E4C0000}"/>
    <cellStyle name="Percent 3 2 15 2 3 3" xfId="19439" xr:uid="{00000000-0005-0000-0000-00003F4C0000}"/>
    <cellStyle name="Percent 3 2 15 2 4" xfId="19440" xr:uid="{00000000-0005-0000-0000-0000404C0000}"/>
    <cellStyle name="Percent 3 2 15 2 5" xfId="19441" xr:uid="{00000000-0005-0000-0000-0000414C0000}"/>
    <cellStyle name="Percent 3 2 15 3" xfId="19442" xr:uid="{00000000-0005-0000-0000-0000424C0000}"/>
    <cellStyle name="Percent 3 2 15 3 2" xfId="19443" xr:uid="{00000000-0005-0000-0000-0000434C0000}"/>
    <cellStyle name="Percent 3 2 15 3 2 2" xfId="19444" xr:uid="{00000000-0005-0000-0000-0000444C0000}"/>
    <cellStyle name="Percent 3 2 15 3 2 3" xfId="19445" xr:uid="{00000000-0005-0000-0000-0000454C0000}"/>
    <cellStyle name="Percent 3 2 15 3 3" xfId="19446" xr:uid="{00000000-0005-0000-0000-0000464C0000}"/>
    <cellStyle name="Percent 3 2 15 3 4" xfId="19447" xr:uid="{00000000-0005-0000-0000-0000474C0000}"/>
    <cellStyle name="Percent 3 2 15 4" xfId="19448" xr:uid="{00000000-0005-0000-0000-0000484C0000}"/>
    <cellStyle name="Percent 3 2 15 4 2" xfId="19449" xr:uid="{00000000-0005-0000-0000-0000494C0000}"/>
    <cellStyle name="Percent 3 2 15 4 3" xfId="19450" xr:uid="{00000000-0005-0000-0000-00004A4C0000}"/>
    <cellStyle name="Percent 3 2 15 5" xfId="19451" xr:uid="{00000000-0005-0000-0000-00004B4C0000}"/>
    <cellStyle name="Percent 3 2 15 6" xfId="19452" xr:uid="{00000000-0005-0000-0000-00004C4C0000}"/>
    <cellStyle name="Percent 3 2 16" xfId="19453" xr:uid="{00000000-0005-0000-0000-00004D4C0000}"/>
    <cellStyle name="Percent 3 2 16 2" xfId="19454" xr:uid="{00000000-0005-0000-0000-00004E4C0000}"/>
    <cellStyle name="Percent 3 2 16 2 2" xfId="19455" xr:uid="{00000000-0005-0000-0000-00004F4C0000}"/>
    <cellStyle name="Percent 3 2 16 2 2 2" xfId="19456" xr:uid="{00000000-0005-0000-0000-0000504C0000}"/>
    <cellStyle name="Percent 3 2 16 2 2 2 2" xfId="19457" xr:uid="{00000000-0005-0000-0000-0000514C0000}"/>
    <cellStyle name="Percent 3 2 16 2 2 2 3" xfId="19458" xr:uid="{00000000-0005-0000-0000-0000524C0000}"/>
    <cellStyle name="Percent 3 2 16 2 2 3" xfId="19459" xr:uid="{00000000-0005-0000-0000-0000534C0000}"/>
    <cellStyle name="Percent 3 2 16 2 2 4" xfId="19460" xr:uid="{00000000-0005-0000-0000-0000544C0000}"/>
    <cellStyle name="Percent 3 2 16 2 3" xfId="19461" xr:uid="{00000000-0005-0000-0000-0000554C0000}"/>
    <cellStyle name="Percent 3 2 16 2 3 2" xfId="19462" xr:uid="{00000000-0005-0000-0000-0000564C0000}"/>
    <cellStyle name="Percent 3 2 16 2 3 3" xfId="19463" xr:uid="{00000000-0005-0000-0000-0000574C0000}"/>
    <cellStyle name="Percent 3 2 16 2 4" xfId="19464" xr:uid="{00000000-0005-0000-0000-0000584C0000}"/>
    <cellStyle name="Percent 3 2 16 2 5" xfId="19465" xr:uid="{00000000-0005-0000-0000-0000594C0000}"/>
    <cellStyle name="Percent 3 2 16 3" xfId="19466" xr:uid="{00000000-0005-0000-0000-00005A4C0000}"/>
    <cellStyle name="Percent 3 2 16 3 2" xfId="19467" xr:uid="{00000000-0005-0000-0000-00005B4C0000}"/>
    <cellStyle name="Percent 3 2 16 3 2 2" xfId="19468" xr:uid="{00000000-0005-0000-0000-00005C4C0000}"/>
    <cellStyle name="Percent 3 2 16 3 2 3" xfId="19469" xr:uid="{00000000-0005-0000-0000-00005D4C0000}"/>
    <cellStyle name="Percent 3 2 16 3 3" xfId="19470" xr:uid="{00000000-0005-0000-0000-00005E4C0000}"/>
    <cellStyle name="Percent 3 2 16 3 4" xfId="19471" xr:uid="{00000000-0005-0000-0000-00005F4C0000}"/>
    <cellStyle name="Percent 3 2 16 4" xfId="19472" xr:uid="{00000000-0005-0000-0000-0000604C0000}"/>
    <cellStyle name="Percent 3 2 16 4 2" xfId="19473" xr:uid="{00000000-0005-0000-0000-0000614C0000}"/>
    <cellStyle name="Percent 3 2 16 4 3" xfId="19474" xr:uid="{00000000-0005-0000-0000-0000624C0000}"/>
    <cellStyle name="Percent 3 2 16 5" xfId="19475" xr:uid="{00000000-0005-0000-0000-0000634C0000}"/>
    <cellStyle name="Percent 3 2 16 6" xfId="19476" xr:uid="{00000000-0005-0000-0000-0000644C0000}"/>
    <cellStyle name="Percent 3 2 17" xfId="19477" xr:uid="{00000000-0005-0000-0000-0000654C0000}"/>
    <cellStyle name="Percent 3 2 17 2" xfId="19478" xr:uid="{00000000-0005-0000-0000-0000664C0000}"/>
    <cellStyle name="Percent 3 2 17 2 2" xfId="19479" xr:uid="{00000000-0005-0000-0000-0000674C0000}"/>
    <cellStyle name="Percent 3 2 17 2 2 2" xfId="19480" xr:uid="{00000000-0005-0000-0000-0000684C0000}"/>
    <cellStyle name="Percent 3 2 17 2 2 2 2" xfId="19481" xr:uid="{00000000-0005-0000-0000-0000694C0000}"/>
    <cellStyle name="Percent 3 2 17 2 2 2 3" xfId="19482" xr:uid="{00000000-0005-0000-0000-00006A4C0000}"/>
    <cellStyle name="Percent 3 2 17 2 2 3" xfId="19483" xr:uid="{00000000-0005-0000-0000-00006B4C0000}"/>
    <cellStyle name="Percent 3 2 17 2 2 4" xfId="19484" xr:uid="{00000000-0005-0000-0000-00006C4C0000}"/>
    <cellStyle name="Percent 3 2 17 2 3" xfId="19485" xr:uid="{00000000-0005-0000-0000-00006D4C0000}"/>
    <cellStyle name="Percent 3 2 17 2 3 2" xfId="19486" xr:uid="{00000000-0005-0000-0000-00006E4C0000}"/>
    <cellStyle name="Percent 3 2 17 2 3 3" xfId="19487" xr:uid="{00000000-0005-0000-0000-00006F4C0000}"/>
    <cellStyle name="Percent 3 2 17 2 4" xfId="19488" xr:uid="{00000000-0005-0000-0000-0000704C0000}"/>
    <cellStyle name="Percent 3 2 17 2 5" xfId="19489" xr:uid="{00000000-0005-0000-0000-0000714C0000}"/>
    <cellStyle name="Percent 3 2 17 3" xfId="19490" xr:uid="{00000000-0005-0000-0000-0000724C0000}"/>
    <cellStyle name="Percent 3 2 17 3 2" xfId="19491" xr:uid="{00000000-0005-0000-0000-0000734C0000}"/>
    <cellStyle name="Percent 3 2 17 3 2 2" xfId="19492" xr:uid="{00000000-0005-0000-0000-0000744C0000}"/>
    <cellStyle name="Percent 3 2 17 3 2 3" xfId="19493" xr:uid="{00000000-0005-0000-0000-0000754C0000}"/>
    <cellStyle name="Percent 3 2 17 3 3" xfId="19494" xr:uid="{00000000-0005-0000-0000-0000764C0000}"/>
    <cellStyle name="Percent 3 2 17 3 4" xfId="19495" xr:uid="{00000000-0005-0000-0000-0000774C0000}"/>
    <cellStyle name="Percent 3 2 17 4" xfId="19496" xr:uid="{00000000-0005-0000-0000-0000784C0000}"/>
    <cellStyle name="Percent 3 2 17 4 2" xfId="19497" xr:uid="{00000000-0005-0000-0000-0000794C0000}"/>
    <cellStyle name="Percent 3 2 17 4 3" xfId="19498" xr:uid="{00000000-0005-0000-0000-00007A4C0000}"/>
    <cellStyle name="Percent 3 2 17 5" xfId="19499" xr:uid="{00000000-0005-0000-0000-00007B4C0000}"/>
    <cellStyle name="Percent 3 2 17 6" xfId="19500" xr:uid="{00000000-0005-0000-0000-00007C4C0000}"/>
    <cellStyle name="Percent 3 2 18" xfId="19501" xr:uid="{00000000-0005-0000-0000-00007D4C0000}"/>
    <cellStyle name="Percent 3 2 18 2" xfId="19502" xr:uid="{00000000-0005-0000-0000-00007E4C0000}"/>
    <cellStyle name="Percent 3 2 18 2 2" xfId="19503" xr:uid="{00000000-0005-0000-0000-00007F4C0000}"/>
    <cellStyle name="Percent 3 2 18 2 2 2" xfId="19504" xr:uid="{00000000-0005-0000-0000-0000804C0000}"/>
    <cellStyle name="Percent 3 2 18 2 2 2 2" xfId="19505" xr:uid="{00000000-0005-0000-0000-0000814C0000}"/>
    <cellStyle name="Percent 3 2 18 2 2 2 3" xfId="19506" xr:uid="{00000000-0005-0000-0000-0000824C0000}"/>
    <cellStyle name="Percent 3 2 18 2 2 3" xfId="19507" xr:uid="{00000000-0005-0000-0000-0000834C0000}"/>
    <cellStyle name="Percent 3 2 18 2 2 4" xfId="19508" xr:uid="{00000000-0005-0000-0000-0000844C0000}"/>
    <cellStyle name="Percent 3 2 18 2 3" xfId="19509" xr:uid="{00000000-0005-0000-0000-0000854C0000}"/>
    <cellStyle name="Percent 3 2 18 2 3 2" xfId="19510" xr:uid="{00000000-0005-0000-0000-0000864C0000}"/>
    <cellStyle name="Percent 3 2 18 2 3 3" xfId="19511" xr:uid="{00000000-0005-0000-0000-0000874C0000}"/>
    <cellStyle name="Percent 3 2 18 2 4" xfId="19512" xr:uid="{00000000-0005-0000-0000-0000884C0000}"/>
    <cellStyle name="Percent 3 2 18 2 5" xfId="19513" xr:uid="{00000000-0005-0000-0000-0000894C0000}"/>
    <cellStyle name="Percent 3 2 18 3" xfId="19514" xr:uid="{00000000-0005-0000-0000-00008A4C0000}"/>
    <cellStyle name="Percent 3 2 18 3 2" xfId="19515" xr:uid="{00000000-0005-0000-0000-00008B4C0000}"/>
    <cellStyle name="Percent 3 2 18 3 2 2" xfId="19516" xr:uid="{00000000-0005-0000-0000-00008C4C0000}"/>
    <cellStyle name="Percent 3 2 18 3 2 3" xfId="19517" xr:uid="{00000000-0005-0000-0000-00008D4C0000}"/>
    <cellStyle name="Percent 3 2 18 3 3" xfId="19518" xr:uid="{00000000-0005-0000-0000-00008E4C0000}"/>
    <cellStyle name="Percent 3 2 18 3 4" xfId="19519" xr:uid="{00000000-0005-0000-0000-00008F4C0000}"/>
    <cellStyle name="Percent 3 2 18 4" xfId="19520" xr:uid="{00000000-0005-0000-0000-0000904C0000}"/>
    <cellStyle name="Percent 3 2 18 4 2" xfId="19521" xr:uid="{00000000-0005-0000-0000-0000914C0000}"/>
    <cellStyle name="Percent 3 2 18 4 3" xfId="19522" xr:uid="{00000000-0005-0000-0000-0000924C0000}"/>
    <cellStyle name="Percent 3 2 18 5" xfId="19523" xr:uid="{00000000-0005-0000-0000-0000934C0000}"/>
    <cellStyle name="Percent 3 2 18 6" xfId="19524" xr:uid="{00000000-0005-0000-0000-0000944C0000}"/>
    <cellStyle name="Percent 3 2 19" xfId="19525" xr:uid="{00000000-0005-0000-0000-0000954C0000}"/>
    <cellStyle name="Percent 3 2 19 2" xfId="19526" xr:uid="{00000000-0005-0000-0000-0000964C0000}"/>
    <cellStyle name="Percent 3 2 19 2 2" xfId="19527" xr:uid="{00000000-0005-0000-0000-0000974C0000}"/>
    <cellStyle name="Percent 3 2 19 2 2 2" xfId="19528" xr:uid="{00000000-0005-0000-0000-0000984C0000}"/>
    <cellStyle name="Percent 3 2 19 2 2 2 2" xfId="19529" xr:uid="{00000000-0005-0000-0000-0000994C0000}"/>
    <cellStyle name="Percent 3 2 19 2 2 2 3" xfId="19530" xr:uid="{00000000-0005-0000-0000-00009A4C0000}"/>
    <cellStyle name="Percent 3 2 19 2 2 3" xfId="19531" xr:uid="{00000000-0005-0000-0000-00009B4C0000}"/>
    <cellStyle name="Percent 3 2 19 2 2 4" xfId="19532" xr:uid="{00000000-0005-0000-0000-00009C4C0000}"/>
    <cellStyle name="Percent 3 2 19 2 3" xfId="19533" xr:uid="{00000000-0005-0000-0000-00009D4C0000}"/>
    <cellStyle name="Percent 3 2 19 2 3 2" xfId="19534" xr:uid="{00000000-0005-0000-0000-00009E4C0000}"/>
    <cellStyle name="Percent 3 2 19 2 3 3" xfId="19535" xr:uid="{00000000-0005-0000-0000-00009F4C0000}"/>
    <cellStyle name="Percent 3 2 19 2 4" xfId="19536" xr:uid="{00000000-0005-0000-0000-0000A04C0000}"/>
    <cellStyle name="Percent 3 2 19 2 5" xfId="19537" xr:uid="{00000000-0005-0000-0000-0000A14C0000}"/>
    <cellStyle name="Percent 3 2 19 3" xfId="19538" xr:uid="{00000000-0005-0000-0000-0000A24C0000}"/>
    <cellStyle name="Percent 3 2 19 3 2" xfId="19539" xr:uid="{00000000-0005-0000-0000-0000A34C0000}"/>
    <cellStyle name="Percent 3 2 19 3 2 2" xfId="19540" xr:uid="{00000000-0005-0000-0000-0000A44C0000}"/>
    <cellStyle name="Percent 3 2 19 3 2 3" xfId="19541" xr:uid="{00000000-0005-0000-0000-0000A54C0000}"/>
    <cellStyle name="Percent 3 2 19 3 3" xfId="19542" xr:uid="{00000000-0005-0000-0000-0000A64C0000}"/>
    <cellStyle name="Percent 3 2 19 3 4" xfId="19543" xr:uid="{00000000-0005-0000-0000-0000A74C0000}"/>
    <cellStyle name="Percent 3 2 19 4" xfId="19544" xr:uid="{00000000-0005-0000-0000-0000A84C0000}"/>
    <cellStyle name="Percent 3 2 19 4 2" xfId="19545" xr:uid="{00000000-0005-0000-0000-0000A94C0000}"/>
    <cellStyle name="Percent 3 2 19 4 3" xfId="19546" xr:uid="{00000000-0005-0000-0000-0000AA4C0000}"/>
    <cellStyle name="Percent 3 2 19 5" xfId="19547" xr:uid="{00000000-0005-0000-0000-0000AB4C0000}"/>
    <cellStyle name="Percent 3 2 19 6" xfId="19548" xr:uid="{00000000-0005-0000-0000-0000AC4C0000}"/>
    <cellStyle name="Percent 3 2 2" xfId="19549" xr:uid="{00000000-0005-0000-0000-0000AD4C0000}"/>
    <cellStyle name="Percent 3 2 2 2" xfId="19550" xr:uid="{00000000-0005-0000-0000-0000AE4C0000}"/>
    <cellStyle name="Percent 3 2 2 2 2" xfId="19551" xr:uid="{00000000-0005-0000-0000-0000AF4C0000}"/>
    <cellStyle name="Percent 3 2 2 2 2 2" xfId="19552" xr:uid="{00000000-0005-0000-0000-0000B04C0000}"/>
    <cellStyle name="Percent 3 2 2 2 2 2 2" xfId="19553" xr:uid="{00000000-0005-0000-0000-0000B14C0000}"/>
    <cellStyle name="Percent 3 2 2 2 2 2 2 2" xfId="19554" xr:uid="{00000000-0005-0000-0000-0000B24C0000}"/>
    <cellStyle name="Percent 3 2 2 2 2 2 2 3" xfId="19555" xr:uid="{00000000-0005-0000-0000-0000B34C0000}"/>
    <cellStyle name="Percent 3 2 2 2 2 2 3" xfId="19556" xr:uid="{00000000-0005-0000-0000-0000B44C0000}"/>
    <cellStyle name="Percent 3 2 2 2 2 2 4" xfId="19557" xr:uid="{00000000-0005-0000-0000-0000B54C0000}"/>
    <cellStyle name="Percent 3 2 2 2 2 3" xfId="19558" xr:uid="{00000000-0005-0000-0000-0000B64C0000}"/>
    <cellStyle name="Percent 3 2 2 2 2 3 2" xfId="19559" xr:uid="{00000000-0005-0000-0000-0000B74C0000}"/>
    <cellStyle name="Percent 3 2 2 2 2 3 3" xfId="19560" xr:uid="{00000000-0005-0000-0000-0000B84C0000}"/>
    <cellStyle name="Percent 3 2 2 2 2 4" xfId="19561" xr:uid="{00000000-0005-0000-0000-0000B94C0000}"/>
    <cellStyle name="Percent 3 2 2 2 2 5" xfId="19562" xr:uid="{00000000-0005-0000-0000-0000BA4C0000}"/>
    <cellStyle name="Percent 3 2 2 2 3" xfId="19563" xr:uid="{00000000-0005-0000-0000-0000BB4C0000}"/>
    <cellStyle name="Percent 3 2 2 2 3 2" xfId="19564" xr:uid="{00000000-0005-0000-0000-0000BC4C0000}"/>
    <cellStyle name="Percent 3 2 2 2 3 2 2" xfId="19565" xr:uid="{00000000-0005-0000-0000-0000BD4C0000}"/>
    <cellStyle name="Percent 3 2 2 2 3 2 3" xfId="19566" xr:uid="{00000000-0005-0000-0000-0000BE4C0000}"/>
    <cellStyle name="Percent 3 2 2 2 3 3" xfId="19567" xr:uid="{00000000-0005-0000-0000-0000BF4C0000}"/>
    <cellStyle name="Percent 3 2 2 2 3 4" xfId="19568" xr:uid="{00000000-0005-0000-0000-0000C04C0000}"/>
    <cellStyle name="Percent 3 2 2 2 4" xfId="19569" xr:uid="{00000000-0005-0000-0000-0000C14C0000}"/>
    <cellStyle name="Percent 3 2 2 2 4 2" xfId="19570" xr:uid="{00000000-0005-0000-0000-0000C24C0000}"/>
    <cellStyle name="Percent 3 2 2 2 4 3" xfId="19571" xr:uid="{00000000-0005-0000-0000-0000C34C0000}"/>
    <cellStyle name="Percent 3 2 2 2 5" xfId="19572" xr:uid="{00000000-0005-0000-0000-0000C44C0000}"/>
    <cellStyle name="Percent 3 2 2 2 6" xfId="19573" xr:uid="{00000000-0005-0000-0000-0000C54C0000}"/>
    <cellStyle name="Percent 3 2 2 3" xfId="19574" xr:uid="{00000000-0005-0000-0000-0000C64C0000}"/>
    <cellStyle name="Percent 3 2 2 3 2" xfId="19575" xr:uid="{00000000-0005-0000-0000-0000C74C0000}"/>
    <cellStyle name="Percent 3 2 2 3 2 2" xfId="19576" xr:uid="{00000000-0005-0000-0000-0000C84C0000}"/>
    <cellStyle name="Percent 3 2 2 3 2 2 2" xfId="19577" xr:uid="{00000000-0005-0000-0000-0000C94C0000}"/>
    <cellStyle name="Percent 3 2 2 3 2 2 2 2" xfId="19578" xr:uid="{00000000-0005-0000-0000-0000CA4C0000}"/>
    <cellStyle name="Percent 3 2 2 3 2 2 2 3" xfId="19579" xr:uid="{00000000-0005-0000-0000-0000CB4C0000}"/>
    <cellStyle name="Percent 3 2 2 3 2 2 3" xfId="19580" xr:uid="{00000000-0005-0000-0000-0000CC4C0000}"/>
    <cellStyle name="Percent 3 2 2 3 2 2 4" xfId="19581" xr:uid="{00000000-0005-0000-0000-0000CD4C0000}"/>
    <cellStyle name="Percent 3 2 2 3 2 3" xfId="19582" xr:uid="{00000000-0005-0000-0000-0000CE4C0000}"/>
    <cellStyle name="Percent 3 2 2 3 2 3 2" xfId="19583" xr:uid="{00000000-0005-0000-0000-0000CF4C0000}"/>
    <cellStyle name="Percent 3 2 2 3 2 3 3" xfId="19584" xr:uid="{00000000-0005-0000-0000-0000D04C0000}"/>
    <cellStyle name="Percent 3 2 2 3 2 4" xfId="19585" xr:uid="{00000000-0005-0000-0000-0000D14C0000}"/>
    <cellStyle name="Percent 3 2 2 3 2 5" xfId="19586" xr:uid="{00000000-0005-0000-0000-0000D24C0000}"/>
    <cellStyle name="Percent 3 2 2 3 3" xfId="19587" xr:uid="{00000000-0005-0000-0000-0000D34C0000}"/>
    <cellStyle name="Percent 3 2 2 3 3 2" xfId="19588" xr:uid="{00000000-0005-0000-0000-0000D44C0000}"/>
    <cellStyle name="Percent 3 2 2 3 3 2 2" xfId="19589" xr:uid="{00000000-0005-0000-0000-0000D54C0000}"/>
    <cellStyle name="Percent 3 2 2 3 3 2 3" xfId="19590" xr:uid="{00000000-0005-0000-0000-0000D64C0000}"/>
    <cellStyle name="Percent 3 2 2 3 3 3" xfId="19591" xr:uid="{00000000-0005-0000-0000-0000D74C0000}"/>
    <cellStyle name="Percent 3 2 2 3 3 4" xfId="19592" xr:uid="{00000000-0005-0000-0000-0000D84C0000}"/>
    <cellStyle name="Percent 3 2 2 3 4" xfId="19593" xr:uid="{00000000-0005-0000-0000-0000D94C0000}"/>
    <cellStyle name="Percent 3 2 2 3 4 2" xfId="19594" xr:uid="{00000000-0005-0000-0000-0000DA4C0000}"/>
    <cellStyle name="Percent 3 2 2 3 4 3" xfId="19595" xr:uid="{00000000-0005-0000-0000-0000DB4C0000}"/>
    <cellStyle name="Percent 3 2 2 3 5" xfId="19596" xr:uid="{00000000-0005-0000-0000-0000DC4C0000}"/>
    <cellStyle name="Percent 3 2 2 3 6" xfId="19597" xr:uid="{00000000-0005-0000-0000-0000DD4C0000}"/>
    <cellStyle name="Percent 3 2 2 4" xfId="19598" xr:uid="{00000000-0005-0000-0000-0000DE4C0000}"/>
    <cellStyle name="Percent 3 2 2 4 2" xfId="19599" xr:uid="{00000000-0005-0000-0000-0000DF4C0000}"/>
    <cellStyle name="Percent 3 2 2 4 2 2" xfId="19600" xr:uid="{00000000-0005-0000-0000-0000E04C0000}"/>
    <cellStyle name="Percent 3 2 2 4 2 2 2" xfId="19601" xr:uid="{00000000-0005-0000-0000-0000E14C0000}"/>
    <cellStyle name="Percent 3 2 2 4 2 2 2 2" xfId="19602" xr:uid="{00000000-0005-0000-0000-0000E24C0000}"/>
    <cellStyle name="Percent 3 2 2 4 2 2 2 3" xfId="19603" xr:uid="{00000000-0005-0000-0000-0000E34C0000}"/>
    <cellStyle name="Percent 3 2 2 4 2 2 3" xfId="19604" xr:uid="{00000000-0005-0000-0000-0000E44C0000}"/>
    <cellStyle name="Percent 3 2 2 4 2 2 4" xfId="19605" xr:uid="{00000000-0005-0000-0000-0000E54C0000}"/>
    <cellStyle name="Percent 3 2 2 4 2 3" xfId="19606" xr:uid="{00000000-0005-0000-0000-0000E64C0000}"/>
    <cellStyle name="Percent 3 2 2 4 2 3 2" xfId="19607" xr:uid="{00000000-0005-0000-0000-0000E74C0000}"/>
    <cellStyle name="Percent 3 2 2 4 2 3 3" xfId="19608" xr:uid="{00000000-0005-0000-0000-0000E84C0000}"/>
    <cellStyle name="Percent 3 2 2 4 2 4" xfId="19609" xr:uid="{00000000-0005-0000-0000-0000E94C0000}"/>
    <cellStyle name="Percent 3 2 2 4 2 5" xfId="19610" xr:uid="{00000000-0005-0000-0000-0000EA4C0000}"/>
    <cellStyle name="Percent 3 2 2 4 3" xfId="19611" xr:uid="{00000000-0005-0000-0000-0000EB4C0000}"/>
    <cellStyle name="Percent 3 2 2 4 3 2" xfId="19612" xr:uid="{00000000-0005-0000-0000-0000EC4C0000}"/>
    <cellStyle name="Percent 3 2 2 4 3 2 2" xfId="19613" xr:uid="{00000000-0005-0000-0000-0000ED4C0000}"/>
    <cellStyle name="Percent 3 2 2 4 3 2 3" xfId="19614" xr:uid="{00000000-0005-0000-0000-0000EE4C0000}"/>
    <cellStyle name="Percent 3 2 2 4 3 3" xfId="19615" xr:uid="{00000000-0005-0000-0000-0000EF4C0000}"/>
    <cellStyle name="Percent 3 2 2 4 3 4" xfId="19616" xr:uid="{00000000-0005-0000-0000-0000F04C0000}"/>
    <cellStyle name="Percent 3 2 2 4 4" xfId="19617" xr:uid="{00000000-0005-0000-0000-0000F14C0000}"/>
    <cellStyle name="Percent 3 2 2 4 4 2" xfId="19618" xr:uid="{00000000-0005-0000-0000-0000F24C0000}"/>
    <cellStyle name="Percent 3 2 2 4 4 3" xfId="19619" xr:uid="{00000000-0005-0000-0000-0000F34C0000}"/>
    <cellStyle name="Percent 3 2 2 4 5" xfId="19620" xr:uid="{00000000-0005-0000-0000-0000F44C0000}"/>
    <cellStyle name="Percent 3 2 2 4 6" xfId="19621" xr:uid="{00000000-0005-0000-0000-0000F54C0000}"/>
    <cellStyle name="Percent 3 2 2 5" xfId="19622" xr:uid="{00000000-0005-0000-0000-0000F64C0000}"/>
    <cellStyle name="Percent 3 2 2 5 2" xfId="19623" xr:uid="{00000000-0005-0000-0000-0000F74C0000}"/>
    <cellStyle name="Percent 3 2 2 5 2 2" xfId="19624" xr:uid="{00000000-0005-0000-0000-0000F84C0000}"/>
    <cellStyle name="Percent 3 2 2 5 2 2 2" xfId="19625" xr:uid="{00000000-0005-0000-0000-0000F94C0000}"/>
    <cellStyle name="Percent 3 2 2 5 2 2 2 2" xfId="19626" xr:uid="{00000000-0005-0000-0000-0000FA4C0000}"/>
    <cellStyle name="Percent 3 2 2 5 2 2 2 3" xfId="19627" xr:uid="{00000000-0005-0000-0000-0000FB4C0000}"/>
    <cellStyle name="Percent 3 2 2 5 2 2 3" xfId="19628" xr:uid="{00000000-0005-0000-0000-0000FC4C0000}"/>
    <cellStyle name="Percent 3 2 2 5 2 2 4" xfId="19629" xr:uid="{00000000-0005-0000-0000-0000FD4C0000}"/>
    <cellStyle name="Percent 3 2 2 5 2 3" xfId="19630" xr:uid="{00000000-0005-0000-0000-0000FE4C0000}"/>
    <cellStyle name="Percent 3 2 2 5 2 3 2" xfId="19631" xr:uid="{00000000-0005-0000-0000-0000FF4C0000}"/>
    <cellStyle name="Percent 3 2 2 5 2 3 3" xfId="19632" xr:uid="{00000000-0005-0000-0000-0000004D0000}"/>
    <cellStyle name="Percent 3 2 2 5 2 4" xfId="19633" xr:uid="{00000000-0005-0000-0000-0000014D0000}"/>
    <cellStyle name="Percent 3 2 2 5 2 5" xfId="19634" xr:uid="{00000000-0005-0000-0000-0000024D0000}"/>
    <cellStyle name="Percent 3 2 2 5 3" xfId="19635" xr:uid="{00000000-0005-0000-0000-0000034D0000}"/>
    <cellStyle name="Percent 3 2 2 5 3 2" xfId="19636" xr:uid="{00000000-0005-0000-0000-0000044D0000}"/>
    <cellStyle name="Percent 3 2 2 5 3 2 2" xfId="19637" xr:uid="{00000000-0005-0000-0000-0000054D0000}"/>
    <cellStyle name="Percent 3 2 2 5 3 2 3" xfId="19638" xr:uid="{00000000-0005-0000-0000-0000064D0000}"/>
    <cellStyle name="Percent 3 2 2 5 3 3" xfId="19639" xr:uid="{00000000-0005-0000-0000-0000074D0000}"/>
    <cellStyle name="Percent 3 2 2 5 3 4" xfId="19640" xr:uid="{00000000-0005-0000-0000-0000084D0000}"/>
    <cellStyle name="Percent 3 2 2 5 4" xfId="19641" xr:uid="{00000000-0005-0000-0000-0000094D0000}"/>
    <cellStyle name="Percent 3 2 2 5 4 2" xfId="19642" xr:uid="{00000000-0005-0000-0000-00000A4D0000}"/>
    <cellStyle name="Percent 3 2 2 5 4 3" xfId="19643" xr:uid="{00000000-0005-0000-0000-00000B4D0000}"/>
    <cellStyle name="Percent 3 2 2 5 5" xfId="19644" xr:uid="{00000000-0005-0000-0000-00000C4D0000}"/>
    <cellStyle name="Percent 3 2 2 5 6" xfId="19645" xr:uid="{00000000-0005-0000-0000-00000D4D0000}"/>
    <cellStyle name="Percent 3 2 20" xfId="19646" xr:uid="{00000000-0005-0000-0000-00000E4D0000}"/>
    <cellStyle name="Percent 3 2 20 2" xfId="19647" xr:uid="{00000000-0005-0000-0000-00000F4D0000}"/>
    <cellStyle name="Percent 3 2 20 2 2" xfId="19648" xr:uid="{00000000-0005-0000-0000-0000104D0000}"/>
    <cellStyle name="Percent 3 2 20 2 2 2" xfId="19649" xr:uid="{00000000-0005-0000-0000-0000114D0000}"/>
    <cellStyle name="Percent 3 2 20 2 2 2 2" xfId="19650" xr:uid="{00000000-0005-0000-0000-0000124D0000}"/>
    <cellStyle name="Percent 3 2 20 2 2 2 3" xfId="19651" xr:uid="{00000000-0005-0000-0000-0000134D0000}"/>
    <cellStyle name="Percent 3 2 20 2 2 3" xfId="19652" xr:uid="{00000000-0005-0000-0000-0000144D0000}"/>
    <cellStyle name="Percent 3 2 20 2 2 4" xfId="19653" xr:uid="{00000000-0005-0000-0000-0000154D0000}"/>
    <cellStyle name="Percent 3 2 20 2 3" xfId="19654" xr:uid="{00000000-0005-0000-0000-0000164D0000}"/>
    <cellStyle name="Percent 3 2 20 2 3 2" xfId="19655" xr:uid="{00000000-0005-0000-0000-0000174D0000}"/>
    <cellStyle name="Percent 3 2 20 2 3 3" xfId="19656" xr:uid="{00000000-0005-0000-0000-0000184D0000}"/>
    <cellStyle name="Percent 3 2 20 2 4" xfId="19657" xr:uid="{00000000-0005-0000-0000-0000194D0000}"/>
    <cellStyle name="Percent 3 2 20 2 5" xfId="19658" xr:uid="{00000000-0005-0000-0000-00001A4D0000}"/>
    <cellStyle name="Percent 3 2 20 3" xfId="19659" xr:uid="{00000000-0005-0000-0000-00001B4D0000}"/>
    <cellStyle name="Percent 3 2 20 3 2" xfId="19660" xr:uid="{00000000-0005-0000-0000-00001C4D0000}"/>
    <cellStyle name="Percent 3 2 20 3 2 2" xfId="19661" xr:uid="{00000000-0005-0000-0000-00001D4D0000}"/>
    <cellStyle name="Percent 3 2 20 3 2 3" xfId="19662" xr:uid="{00000000-0005-0000-0000-00001E4D0000}"/>
    <cellStyle name="Percent 3 2 20 3 3" xfId="19663" xr:uid="{00000000-0005-0000-0000-00001F4D0000}"/>
    <cellStyle name="Percent 3 2 20 3 4" xfId="19664" xr:uid="{00000000-0005-0000-0000-0000204D0000}"/>
    <cellStyle name="Percent 3 2 20 4" xfId="19665" xr:uid="{00000000-0005-0000-0000-0000214D0000}"/>
    <cellStyle name="Percent 3 2 20 4 2" xfId="19666" xr:uid="{00000000-0005-0000-0000-0000224D0000}"/>
    <cellStyle name="Percent 3 2 20 4 3" xfId="19667" xr:uid="{00000000-0005-0000-0000-0000234D0000}"/>
    <cellStyle name="Percent 3 2 20 5" xfId="19668" xr:uid="{00000000-0005-0000-0000-0000244D0000}"/>
    <cellStyle name="Percent 3 2 20 6" xfId="19669" xr:uid="{00000000-0005-0000-0000-0000254D0000}"/>
    <cellStyle name="Percent 3 2 21" xfId="19670" xr:uid="{00000000-0005-0000-0000-0000264D0000}"/>
    <cellStyle name="Percent 3 2 21 2" xfId="19671" xr:uid="{00000000-0005-0000-0000-0000274D0000}"/>
    <cellStyle name="Percent 3 2 21 2 2" xfId="19672" xr:uid="{00000000-0005-0000-0000-0000284D0000}"/>
    <cellStyle name="Percent 3 2 21 2 2 2" xfId="19673" xr:uid="{00000000-0005-0000-0000-0000294D0000}"/>
    <cellStyle name="Percent 3 2 21 2 2 2 2" xfId="19674" xr:uid="{00000000-0005-0000-0000-00002A4D0000}"/>
    <cellStyle name="Percent 3 2 21 2 2 2 2 2" xfId="19675" xr:uid="{00000000-0005-0000-0000-00002B4D0000}"/>
    <cellStyle name="Percent 3 2 21 2 2 2 2 3" xfId="19676" xr:uid="{00000000-0005-0000-0000-00002C4D0000}"/>
    <cellStyle name="Percent 3 2 21 2 2 2 3" xfId="19677" xr:uid="{00000000-0005-0000-0000-00002D4D0000}"/>
    <cellStyle name="Percent 3 2 21 2 2 2 4" xfId="19678" xr:uid="{00000000-0005-0000-0000-00002E4D0000}"/>
    <cellStyle name="Percent 3 2 21 2 2 3" xfId="19679" xr:uid="{00000000-0005-0000-0000-00002F4D0000}"/>
    <cellStyle name="Percent 3 2 21 2 2 3 2" xfId="19680" xr:uid="{00000000-0005-0000-0000-0000304D0000}"/>
    <cellStyle name="Percent 3 2 21 2 2 3 3" xfId="19681" xr:uid="{00000000-0005-0000-0000-0000314D0000}"/>
    <cellStyle name="Percent 3 2 21 2 2 4" xfId="19682" xr:uid="{00000000-0005-0000-0000-0000324D0000}"/>
    <cellStyle name="Percent 3 2 21 2 2 5" xfId="19683" xr:uid="{00000000-0005-0000-0000-0000334D0000}"/>
    <cellStyle name="Percent 3 2 21 2 3" xfId="19684" xr:uid="{00000000-0005-0000-0000-0000344D0000}"/>
    <cellStyle name="Percent 3 2 21 2 3 2" xfId="19685" xr:uid="{00000000-0005-0000-0000-0000354D0000}"/>
    <cellStyle name="Percent 3 2 21 2 3 2 2" xfId="19686" xr:uid="{00000000-0005-0000-0000-0000364D0000}"/>
    <cellStyle name="Percent 3 2 21 2 3 2 3" xfId="19687" xr:uid="{00000000-0005-0000-0000-0000374D0000}"/>
    <cellStyle name="Percent 3 2 21 2 3 3" xfId="19688" xr:uid="{00000000-0005-0000-0000-0000384D0000}"/>
    <cellStyle name="Percent 3 2 21 2 3 4" xfId="19689" xr:uid="{00000000-0005-0000-0000-0000394D0000}"/>
    <cellStyle name="Percent 3 2 21 2 4" xfId="19690" xr:uid="{00000000-0005-0000-0000-00003A4D0000}"/>
    <cellStyle name="Percent 3 2 21 2 4 2" xfId="19691" xr:uid="{00000000-0005-0000-0000-00003B4D0000}"/>
    <cellStyle name="Percent 3 2 21 2 4 3" xfId="19692" xr:uid="{00000000-0005-0000-0000-00003C4D0000}"/>
    <cellStyle name="Percent 3 2 21 2 5" xfId="19693" xr:uid="{00000000-0005-0000-0000-00003D4D0000}"/>
    <cellStyle name="Percent 3 2 21 2 6" xfId="19694" xr:uid="{00000000-0005-0000-0000-00003E4D0000}"/>
    <cellStyle name="Percent 3 2 21 3" xfId="19695" xr:uid="{00000000-0005-0000-0000-00003F4D0000}"/>
    <cellStyle name="Percent 3 2 21 4" xfId="19696" xr:uid="{00000000-0005-0000-0000-0000404D0000}"/>
    <cellStyle name="Percent 3 2 22" xfId="19697" xr:uid="{00000000-0005-0000-0000-0000414D0000}"/>
    <cellStyle name="Percent 3 2 23" xfId="19698" xr:uid="{00000000-0005-0000-0000-0000424D0000}"/>
    <cellStyle name="Percent 3 2 23 2" xfId="19699" xr:uid="{00000000-0005-0000-0000-0000434D0000}"/>
    <cellStyle name="Percent 3 2 23 2 2" xfId="19700" xr:uid="{00000000-0005-0000-0000-0000444D0000}"/>
    <cellStyle name="Percent 3 2 23 2 2 2" xfId="19701" xr:uid="{00000000-0005-0000-0000-0000454D0000}"/>
    <cellStyle name="Percent 3 2 23 2 2 3" xfId="19702" xr:uid="{00000000-0005-0000-0000-0000464D0000}"/>
    <cellStyle name="Percent 3 2 23 2 3" xfId="19703" xr:uid="{00000000-0005-0000-0000-0000474D0000}"/>
    <cellStyle name="Percent 3 2 23 2 4" xfId="19704" xr:uid="{00000000-0005-0000-0000-0000484D0000}"/>
    <cellStyle name="Percent 3 2 23 3" xfId="19705" xr:uid="{00000000-0005-0000-0000-0000494D0000}"/>
    <cellStyle name="Percent 3 2 23 3 2" xfId="19706" xr:uid="{00000000-0005-0000-0000-00004A4D0000}"/>
    <cellStyle name="Percent 3 2 23 3 3" xfId="19707" xr:uid="{00000000-0005-0000-0000-00004B4D0000}"/>
    <cellStyle name="Percent 3 2 23 4" xfId="19708" xr:uid="{00000000-0005-0000-0000-00004C4D0000}"/>
    <cellStyle name="Percent 3 2 23 5" xfId="19709" xr:uid="{00000000-0005-0000-0000-00004D4D0000}"/>
    <cellStyle name="Percent 3 2 24" xfId="19710" xr:uid="{00000000-0005-0000-0000-00004E4D0000}"/>
    <cellStyle name="Percent 3 2 24 2" xfId="19711" xr:uid="{00000000-0005-0000-0000-00004F4D0000}"/>
    <cellStyle name="Percent 3 2 24 2 2" xfId="19712" xr:uid="{00000000-0005-0000-0000-0000504D0000}"/>
    <cellStyle name="Percent 3 2 24 2 3" xfId="19713" xr:uid="{00000000-0005-0000-0000-0000514D0000}"/>
    <cellStyle name="Percent 3 2 24 3" xfId="19714" xr:uid="{00000000-0005-0000-0000-0000524D0000}"/>
    <cellStyle name="Percent 3 2 24 4" xfId="19715" xr:uid="{00000000-0005-0000-0000-0000534D0000}"/>
    <cellStyle name="Percent 3 2 25" xfId="19716" xr:uid="{00000000-0005-0000-0000-0000544D0000}"/>
    <cellStyle name="Percent 3 2 25 2" xfId="19717" xr:uid="{00000000-0005-0000-0000-0000554D0000}"/>
    <cellStyle name="Percent 3 2 25 3" xfId="19718" xr:uid="{00000000-0005-0000-0000-0000564D0000}"/>
    <cellStyle name="Percent 3 2 26" xfId="19719" xr:uid="{00000000-0005-0000-0000-0000574D0000}"/>
    <cellStyle name="Percent 3 2 27" xfId="19720" xr:uid="{00000000-0005-0000-0000-0000584D0000}"/>
    <cellStyle name="Percent 3 2 28" xfId="19721" xr:uid="{00000000-0005-0000-0000-0000594D0000}"/>
    <cellStyle name="Percent 3 2 3" xfId="19722" xr:uid="{00000000-0005-0000-0000-00005A4D0000}"/>
    <cellStyle name="Percent 3 2 3 10" xfId="19723" xr:uid="{00000000-0005-0000-0000-00005B4D0000}"/>
    <cellStyle name="Percent 3 2 3 2" xfId="19724" xr:uid="{00000000-0005-0000-0000-00005C4D0000}"/>
    <cellStyle name="Percent 3 2 3 2 2" xfId="19725" xr:uid="{00000000-0005-0000-0000-00005D4D0000}"/>
    <cellStyle name="Percent 3 2 3 2 2 2" xfId="19726" xr:uid="{00000000-0005-0000-0000-00005E4D0000}"/>
    <cellStyle name="Percent 3 2 3 2 2 2 2" xfId="19727" xr:uid="{00000000-0005-0000-0000-00005F4D0000}"/>
    <cellStyle name="Percent 3 2 3 2 2 2 2 2" xfId="19728" xr:uid="{00000000-0005-0000-0000-0000604D0000}"/>
    <cellStyle name="Percent 3 2 3 2 2 2 2 3" xfId="19729" xr:uid="{00000000-0005-0000-0000-0000614D0000}"/>
    <cellStyle name="Percent 3 2 3 2 2 2 3" xfId="19730" xr:uid="{00000000-0005-0000-0000-0000624D0000}"/>
    <cellStyle name="Percent 3 2 3 2 2 2 4" xfId="19731" xr:uid="{00000000-0005-0000-0000-0000634D0000}"/>
    <cellStyle name="Percent 3 2 3 2 2 3" xfId="19732" xr:uid="{00000000-0005-0000-0000-0000644D0000}"/>
    <cellStyle name="Percent 3 2 3 2 2 3 2" xfId="19733" xr:uid="{00000000-0005-0000-0000-0000654D0000}"/>
    <cellStyle name="Percent 3 2 3 2 2 3 3" xfId="19734" xr:uid="{00000000-0005-0000-0000-0000664D0000}"/>
    <cellStyle name="Percent 3 2 3 2 2 4" xfId="19735" xr:uid="{00000000-0005-0000-0000-0000674D0000}"/>
    <cellStyle name="Percent 3 2 3 2 2 5" xfId="19736" xr:uid="{00000000-0005-0000-0000-0000684D0000}"/>
    <cellStyle name="Percent 3 2 3 2 3" xfId="19737" xr:uid="{00000000-0005-0000-0000-0000694D0000}"/>
    <cellStyle name="Percent 3 2 3 2 3 2" xfId="19738" xr:uid="{00000000-0005-0000-0000-00006A4D0000}"/>
    <cellStyle name="Percent 3 2 3 2 3 2 2" xfId="19739" xr:uid="{00000000-0005-0000-0000-00006B4D0000}"/>
    <cellStyle name="Percent 3 2 3 2 3 2 3" xfId="19740" xr:uid="{00000000-0005-0000-0000-00006C4D0000}"/>
    <cellStyle name="Percent 3 2 3 2 3 3" xfId="19741" xr:uid="{00000000-0005-0000-0000-00006D4D0000}"/>
    <cellStyle name="Percent 3 2 3 2 3 4" xfId="19742" xr:uid="{00000000-0005-0000-0000-00006E4D0000}"/>
    <cellStyle name="Percent 3 2 3 2 4" xfId="19743" xr:uid="{00000000-0005-0000-0000-00006F4D0000}"/>
    <cellStyle name="Percent 3 2 3 2 4 2" xfId="19744" xr:uid="{00000000-0005-0000-0000-0000704D0000}"/>
    <cellStyle name="Percent 3 2 3 2 4 3" xfId="19745" xr:uid="{00000000-0005-0000-0000-0000714D0000}"/>
    <cellStyle name="Percent 3 2 3 2 5" xfId="19746" xr:uid="{00000000-0005-0000-0000-0000724D0000}"/>
    <cellStyle name="Percent 3 2 3 2 6" xfId="19747" xr:uid="{00000000-0005-0000-0000-0000734D0000}"/>
    <cellStyle name="Percent 3 2 3 3" xfId="19748" xr:uid="{00000000-0005-0000-0000-0000744D0000}"/>
    <cellStyle name="Percent 3 2 3 3 2" xfId="19749" xr:uid="{00000000-0005-0000-0000-0000754D0000}"/>
    <cellStyle name="Percent 3 2 3 3 2 2" xfId="19750" xr:uid="{00000000-0005-0000-0000-0000764D0000}"/>
    <cellStyle name="Percent 3 2 3 3 2 2 2" xfId="19751" xr:uid="{00000000-0005-0000-0000-0000774D0000}"/>
    <cellStyle name="Percent 3 2 3 3 2 2 2 2" xfId="19752" xr:uid="{00000000-0005-0000-0000-0000784D0000}"/>
    <cellStyle name="Percent 3 2 3 3 2 2 2 3" xfId="19753" xr:uid="{00000000-0005-0000-0000-0000794D0000}"/>
    <cellStyle name="Percent 3 2 3 3 2 2 3" xfId="19754" xr:uid="{00000000-0005-0000-0000-00007A4D0000}"/>
    <cellStyle name="Percent 3 2 3 3 2 2 4" xfId="19755" xr:uid="{00000000-0005-0000-0000-00007B4D0000}"/>
    <cellStyle name="Percent 3 2 3 3 2 3" xfId="19756" xr:uid="{00000000-0005-0000-0000-00007C4D0000}"/>
    <cellStyle name="Percent 3 2 3 3 2 3 2" xfId="19757" xr:uid="{00000000-0005-0000-0000-00007D4D0000}"/>
    <cellStyle name="Percent 3 2 3 3 2 3 3" xfId="19758" xr:uid="{00000000-0005-0000-0000-00007E4D0000}"/>
    <cellStyle name="Percent 3 2 3 3 2 4" xfId="19759" xr:uid="{00000000-0005-0000-0000-00007F4D0000}"/>
    <cellStyle name="Percent 3 2 3 3 2 5" xfId="19760" xr:uid="{00000000-0005-0000-0000-0000804D0000}"/>
    <cellStyle name="Percent 3 2 3 3 3" xfId="19761" xr:uid="{00000000-0005-0000-0000-0000814D0000}"/>
    <cellStyle name="Percent 3 2 3 3 3 2" xfId="19762" xr:uid="{00000000-0005-0000-0000-0000824D0000}"/>
    <cellStyle name="Percent 3 2 3 3 3 2 2" xfId="19763" xr:uid="{00000000-0005-0000-0000-0000834D0000}"/>
    <cellStyle name="Percent 3 2 3 3 3 2 3" xfId="19764" xr:uid="{00000000-0005-0000-0000-0000844D0000}"/>
    <cellStyle name="Percent 3 2 3 3 3 3" xfId="19765" xr:uid="{00000000-0005-0000-0000-0000854D0000}"/>
    <cellStyle name="Percent 3 2 3 3 3 4" xfId="19766" xr:uid="{00000000-0005-0000-0000-0000864D0000}"/>
    <cellStyle name="Percent 3 2 3 3 4" xfId="19767" xr:uid="{00000000-0005-0000-0000-0000874D0000}"/>
    <cellStyle name="Percent 3 2 3 3 4 2" xfId="19768" xr:uid="{00000000-0005-0000-0000-0000884D0000}"/>
    <cellStyle name="Percent 3 2 3 3 4 3" xfId="19769" xr:uid="{00000000-0005-0000-0000-0000894D0000}"/>
    <cellStyle name="Percent 3 2 3 3 5" xfId="19770" xr:uid="{00000000-0005-0000-0000-00008A4D0000}"/>
    <cellStyle name="Percent 3 2 3 3 6" xfId="19771" xr:uid="{00000000-0005-0000-0000-00008B4D0000}"/>
    <cellStyle name="Percent 3 2 3 4" xfId="19772" xr:uid="{00000000-0005-0000-0000-00008C4D0000}"/>
    <cellStyle name="Percent 3 2 3 4 2" xfId="19773" xr:uid="{00000000-0005-0000-0000-00008D4D0000}"/>
    <cellStyle name="Percent 3 2 3 4 2 2" xfId="19774" xr:uid="{00000000-0005-0000-0000-00008E4D0000}"/>
    <cellStyle name="Percent 3 2 3 4 2 2 2" xfId="19775" xr:uid="{00000000-0005-0000-0000-00008F4D0000}"/>
    <cellStyle name="Percent 3 2 3 4 2 2 2 2" xfId="19776" xr:uid="{00000000-0005-0000-0000-0000904D0000}"/>
    <cellStyle name="Percent 3 2 3 4 2 2 2 3" xfId="19777" xr:uid="{00000000-0005-0000-0000-0000914D0000}"/>
    <cellStyle name="Percent 3 2 3 4 2 2 3" xfId="19778" xr:uid="{00000000-0005-0000-0000-0000924D0000}"/>
    <cellStyle name="Percent 3 2 3 4 2 2 4" xfId="19779" xr:uid="{00000000-0005-0000-0000-0000934D0000}"/>
    <cellStyle name="Percent 3 2 3 4 2 3" xfId="19780" xr:uid="{00000000-0005-0000-0000-0000944D0000}"/>
    <cellStyle name="Percent 3 2 3 4 2 3 2" xfId="19781" xr:uid="{00000000-0005-0000-0000-0000954D0000}"/>
    <cellStyle name="Percent 3 2 3 4 2 3 3" xfId="19782" xr:uid="{00000000-0005-0000-0000-0000964D0000}"/>
    <cellStyle name="Percent 3 2 3 4 2 4" xfId="19783" xr:uid="{00000000-0005-0000-0000-0000974D0000}"/>
    <cellStyle name="Percent 3 2 3 4 2 5" xfId="19784" xr:uid="{00000000-0005-0000-0000-0000984D0000}"/>
    <cellStyle name="Percent 3 2 3 4 3" xfId="19785" xr:uid="{00000000-0005-0000-0000-0000994D0000}"/>
    <cellStyle name="Percent 3 2 3 4 3 2" xfId="19786" xr:uid="{00000000-0005-0000-0000-00009A4D0000}"/>
    <cellStyle name="Percent 3 2 3 4 3 2 2" xfId="19787" xr:uid="{00000000-0005-0000-0000-00009B4D0000}"/>
    <cellStyle name="Percent 3 2 3 4 3 2 3" xfId="19788" xr:uid="{00000000-0005-0000-0000-00009C4D0000}"/>
    <cellStyle name="Percent 3 2 3 4 3 3" xfId="19789" xr:uid="{00000000-0005-0000-0000-00009D4D0000}"/>
    <cellStyle name="Percent 3 2 3 4 3 4" xfId="19790" xr:uid="{00000000-0005-0000-0000-00009E4D0000}"/>
    <cellStyle name="Percent 3 2 3 4 4" xfId="19791" xr:uid="{00000000-0005-0000-0000-00009F4D0000}"/>
    <cellStyle name="Percent 3 2 3 4 4 2" xfId="19792" xr:uid="{00000000-0005-0000-0000-0000A04D0000}"/>
    <cellStyle name="Percent 3 2 3 4 4 3" xfId="19793" xr:uid="{00000000-0005-0000-0000-0000A14D0000}"/>
    <cellStyle name="Percent 3 2 3 4 5" xfId="19794" xr:uid="{00000000-0005-0000-0000-0000A24D0000}"/>
    <cellStyle name="Percent 3 2 3 4 6" xfId="19795" xr:uid="{00000000-0005-0000-0000-0000A34D0000}"/>
    <cellStyle name="Percent 3 2 3 5" xfId="19796" xr:uid="{00000000-0005-0000-0000-0000A44D0000}"/>
    <cellStyle name="Percent 3 2 3 5 2" xfId="19797" xr:uid="{00000000-0005-0000-0000-0000A54D0000}"/>
    <cellStyle name="Percent 3 2 3 5 2 2" xfId="19798" xr:uid="{00000000-0005-0000-0000-0000A64D0000}"/>
    <cellStyle name="Percent 3 2 3 5 2 2 2" xfId="19799" xr:uid="{00000000-0005-0000-0000-0000A74D0000}"/>
    <cellStyle name="Percent 3 2 3 5 2 2 2 2" xfId="19800" xr:uid="{00000000-0005-0000-0000-0000A84D0000}"/>
    <cellStyle name="Percent 3 2 3 5 2 2 2 3" xfId="19801" xr:uid="{00000000-0005-0000-0000-0000A94D0000}"/>
    <cellStyle name="Percent 3 2 3 5 2 2 3" xfId="19802" xr:uid="{00000000-0005-0000-0000-0000AA4D0000}"/>
    <cellStyle name="Percent 3 2 3 5 2 2 4" xfId="19803" xr:uid="{00000000-0005-0000-0000-0000AB4D0000}"/>
    <cellStyle name="Percent 3 2 3 5 2 3" xfId="19804" xr:uid="{00000000-0005-0000-0000-0000AC4D0000}"/>
    <cellStyle name="Percent 3 2 3 5 2 3 2" xfId="19805" xr:uid="{00000000-0005-0000-0000-0000AD4D0000}"/>
    <cellStyle name="Percent 3 2 3 5 2 3 3" xfId="19806" xr:uid="{00000000-0005-0000-0000-0000AE4D0000}"/>
    <cellStyle name="Percent 3 2 3 5 2 4" xfId="19807" xr:uid="{00000000-0005-0000-0000-0000AF4D0000}"/>
    <cellStyle name="Percent 3 2 3 5 2 5" xfId="19808" xr:uid="{00000000-0005-0000-0000-0000B04D0000}"/>
    <cellStyle name="Percent 3 2 3 5 3" xfId="19809" xr:uid="{00000000-0005-0000-0000-0000B14D0000}"/>
    <cellStyle name="Percent 3 2 3 5 3 2" xfId="19810" xr:uid="{00000000-0005-0000-0000-0000B24D0000}"/>
    <cellStyle name="Percent 3 2 3 5 3 2 2" xfId="19811" xr:uid="{00000000-0005-0000-0000-0000B34D0000}"/>
    <cellStyle name="Percent 3 2 3 5 3 2 3" xfId="19812" xr:uid="{00000000-0005-0000-0000-0000B44D0000}"/>
    <cellStyle name="Percent 3 2 3 5 3 3" xfId="19813" xr:uid="{00000000-0005-0000-0000-0000B54D0000}"/>
    <cellStyle name="Percent 3 2 3 5 3 4" xfId="19814" xr:uid="{00000000-0005-0000-0000-0000B64D0000}"/>
    <cellStyle name="Percent 3 2 3 5 4" xfId="19815" xr:uid="{00000000-0005-0000-0000-0000B74D0000}"/>
    <cellStyle name="Percent 3 2 3 5 4 2" xfId="19816" xr:uid="{00000000-0005-0000-0000-0000B84D0000}"/>
    <cellStyle name="Percent 3 2 3 5 4 3" xfId="19817" xr:uid="{00000000-0005-0000-0000-0000B94D0000}"/>
    <cellStyle name="Percent 3 2 3 5 5" xfId="19818" xr:uid="{00000000-0005-0000-0000-0000BA4D0000}"/>
    <cellStyle name="Percent 3 2 3 5 6" xfId="19819" xr:uid="{00000000-0005-0000-0000-0000BB4D0000}"/>
    <cellStyle name="Percent 3 2 3 6" xfId="19820" xr:uid="{00000000-0005-0000-0000-0000BC4D0000}"/>
    <cellStyle name="Percent 3 2 3 6 2" xfId="19821" xr:uid="{00000000-0005-0000-0000-0000BD4D0000}"/>
    <cellStyle name="Percent 3 2 3 6 2 2" xfId="19822" xr:uid="{00000000-0005-0000-0000-0000BE4D0000}"/>
    <cellStyle name="Percent 3 2 3 6 2 2 2" xfId="19823" xr:uid="{00000000-0005-0000-0000-0000BF4D0000}"/>
    <cellStyle name="Percent 3 2 3 6 2 2 3" xfId="19824" xr:uid="{00000000-0005-0000-0000-0000C04D0000}"/>
    <cellStyle name="Percent 3 2 3 6 2 3" xfId="19825" xr:uid="{00000000-0005-0000-0000-0000C14D0000}"/>
    <cellStyle name="Percent 3 2 3 6 2 4" xfId="19826" xr:uid="{00000000-0005-0000-0000-0000C24D0000}"/>
    <cellStyle name="Percent 3 2 3 6 3" xfId="19827" xr:uid="{00000000-0005-0000-0000-0000C34D0000}"/>
    <cellStyle name="Percent 3 2 3 6 3 2" xfId="19828" xr:uid="{00000000-0005-0000-0000-0000C44D0000}"/>
    <cellStyle name="Percent 3 2 3 6 3 3" xfId="19829" xr:uid="{00000000-0005-0000-0000-0000C54D0000}"/>
    <cellStyle name="Percent 3 2 3 6 4" xfId="19830" xr:uid="{00000000-0005-0000-0000-0000C64D0000}"/>
    <cellStyle name="Percent 3 2 3 6 5" xfId="19831" xr:uid="{00000000-0005-0000-0000-0000C74D0000}"/>
    <cellStyle name="Percent 3 2 3 7" xfId="19832" xr:uid="{00000000-0005-0000-0000-0000C84D0000}"/>
    <cellStyle name="Percent 3 2 3 7 2" xfId="19833" xr:uid="{00000000-0005-0000-0000-0000C94D0000}"/>
    <cellStyle name="Percent 3 2 3 7 2 2" xfId="19834" xr:uid="{00000000-0005-0000-0000-0000CA4D0000}"/>
    <cellStyle name="Percent 3 2 3 7 2 3" xfId="19835" xr:uid="{00000000-0005-0000-0000-0000CB4D0000}"/>
    <cellStyle name="Percent 3 2 3 7 3" xfId="19836" xr:uid="{00000000-0005-0000-0000-0000CC4D0000}"/>
    <cellStyle name="Percent 3 2 3 7 4" xfId="19837" xr:uid="{00000000-0005-0000-0000-0000CD4D0000}"/>
    <cellStyle name="Percent 3 2 3 8" xfId="19838" xr:uid="{00000000-0005-0000-0000-0000CE4D0000}"/>
    <cellStyle name="Percent 3 2 3 8 2" xfId="19839" xr:uid="{00000000-0005-0000-0000-0000CF4D0000}"/>
    <cellStyle name="Percent 3 2 3 8 3" xfId="19840" xr:uid="{00000000-0005-0000-0000-0000D04D0000}"/>
    <cellStyle name="Percent 3 2 3 9" xfId="19841" xr:uid="{00000000-0005-0000-0000-0000D14D0000}"/>
    <cellStyle name="Percent 3 2 4" xfId="19842" xr:uid="{00000000-0005-0000-0000-0000D24D0000}"/>
    <cellStyle name="Percent 3 2 4 2" xfId="19843" xr:uid="{00000000-0005-0000-0000-0000D34D0000}"/>
    <cellStyle name="Percent 3 2 4 2 2" xfId="19844" xr:uid="{00000000-0005-0000-0000-0000D44D0000}"/>
    <cellStyle name="Percent 3 2 4 2 2 2" xfId="19845" xr:uid="{00000000-0005-0000-0000-0000D54D0000}"/>
    <cellStyle name="Percent 3 2 4 2 2 2 2" xfId="19846" xr:uid="{00000000-0005-0000-0000-0000D64D0000}"/>
    <cellStyle name="Percent 3 2 4 2 2 2 2 2" xfId="19847" xr:uid="{00000000-0005-0000-0000-0000D74D0000}"/>
    <cellStyle name="Percent 3 2 4 2 2 2 2 3" xfId="19848" xr:uid="{00000000-0005-0000-0000-0000D84D0000}"/>
    <cellStyle name="Percent 3 2 4 2 2 2 3" xfId="19849" xr:uid="{00000000-0005-0000-0000-0000D94D0000}"/>
    <cellStyle name="Percent 3 2 4 2 2 2 4" xfId="19850" xr:uid="{00000000-0005-0000-0000-0000DA4D0000}"/>
    <cellStyle name="Percent 3 2 4 2 2 3" xfId="19851" xr:uid="{00000000-0005-0000-0000-0000DB4D0000}"/>
    <cellStyle name="Percent 3 2 4 2 2 3 2" xfId="19852" xr:uid="{00000000-0005-0000-0000-0000DC4D0000}"/>
    <cellStyle name="Percent 3 2 4 2 2 3 3" xfId="19853" xr:uid="{00000000-0005-0000-0000-0000DD4D0000}"/>
    <cellStyle name="Percent 3 2 4 2 2 4" xfId="19854" xr:uid="{00000000-0005-0000-0000-0000DE4D0000}"/>
    <cellStyle name="Percent 3 2 4 2 2 5" xfId="19855" xr:uid="{00000000-0005-0000-0000-0000DF4D0000}"/>
    <cellStyle name="Percent 3 2 4 2 3" xfId="19856" xr:uid="{00000000-0005-0000-0000-0000E04D0000}"/>
    <cellStyle name="Percent 3 2 4 2 3 2" xfId="19857" xr:uid="{00000000-0005-0000-0000-0000E14D0000}"/>
    <cellStyle name="Percent 3 2 4 2 3 2 2" xfId="19858" xr:uid="{00000000-0005-0000-0000-0000E24D0000}"/>
    <cellStyle name="Percent 3 2 4 2 3 2 3" xfId="19859" xr:uid="{00000000-0005-0000-0000-0000E34D0000}"/>
    <cellStyle name="Percent 3 2 4 2 3 3" xfId="19860" xr:uid="{00000000-0005-0000-0000-0000E44D0000}"/>
    <cellStyle name="Percent 3 2 4 2 3 4" xfId="19861" xr:uid="{00000000-0005-0000-0000-0000E54D0000}"/>
    <cellStyle name="Percent 3 2 4 2 4" xfId="19862" xr:uid="{00000000-0005-0000-0000-0000E64D0000}"/>
    <cellStyle name="Percent 3 2 4 2 4 2" xfId="19863" xr:uid="{00000000-0005-0000-0000-0000E74D0000}"/>
    <cellStyle name="Percent 3 2 4 2 4 3" xfId="19864" xr:uid="{00000000-0005-0000-0000-0000E84D0000}"/>
    <cellStyle name="Percent 3 2 4 2 5" xfId="19865" xr:uid="{00000000-0005-0000-0000-0000E94D0000}"/>
    <cellStyle name="Percent 3 2 4 2 6" xfId="19866" xr:uid="{00000000-0005-0000-0000-0000EA4D0000}"/>
    <cellStyle name="Percent 3 2 4 3" xfId="19867" xr:uid="{00000000-0005-0000-0000-0000EB4D0000}"/>
    <cellStyle name="Percent 3 2 4 3 2" xfId="19868" xr:uid="{00000000-0005-0000-0000-0000EC4D0000}"/>
    <cellStyle name="Percent 3 2 4 3 2 2" xfId="19869" xr:uid="{00000000-0005-0000-0000-0000ED4D0000}"/>
    <cellStyle name="Percent 3 2 4 3 2 2 2" xfId="19870" xr:uid="{00000000-0005-0000-0000-0000EE4D0000}"/>
    <cellStyle name="Percent 3 2 4 3 2 2 3" xfId="19871" xr:uid="{00000000-0005-0000-0000-0000EF4D0000}"/>
    <cellStyle name="Percent 3 2 4 3 2 3" xfId="19872" xr:uid="{00000000-0005-0000-0000-0000F04D0000}"/>
    <cellStyle name="Percent 3 2 4 3 2 4" xfId="19873" xr:uid="{00000000-0005-0000-0000-0000F14D0000}"/>
    <cellStyle name="Percent 3 2 4 3 3" xfId="19874" xr:uid="{00000000-0005-0000-0000-0000F24D0000}"/>
    <cellStyle name="Percent 3 2 4 3 3 2" xfId="19875" xr:uid="{00000000-0005-0000-0000-0000F34D0000}"/>
    <cellStyle name="Percent 3 2 4 3 3 3" xfId="19876" xr:uid="{00000000-0005-0000-0000-0000F44D0000}"/>
    <cellStyle name="Percent 3 2 4 3 4" xfId="19877" xr:uid="{00000000-0005-0000-0000-0000F54D0000}"/>
    <cellStyle name="Percent 3 2 4 3 5" xfId="19878" xr:uid="{00000000-0005-0000-0000-0000F64D0000}"/>
    <cellStyle name="Percent 3 2 4 4" xfId="19879" xr:uid="{00000000-0005-0000-0000-0000F74D0000}"/>
    <cellStyle name="Percent 3 2 4 4 2" xfId="19880" xr:uid="{00000000-0005-0000-0000-0000F84D0000}"/>
    <cellStyle name="Percent 3 2 4 4 2 2" xfId="19881" xr:uid="{00000000-0005-0000-0000-0000F94D0000}"/>
    <cellStyle name="Percent 3 2 4 4 2 3" xfId="19882" xr:uid="{00000000-0005-0000-0000-0000FA4D0000}"/>
    <cellStyle name="Percent 3 2 4 4 3" xfId="19883" xr:uid="{00000000-0005-0000-0000-0000FB4D0000}"/>
    <cellStyle name="Percent 3 2 4 4 4" xfId="19884" xr:uid="{00000000-0005-0000-0000-0000FC4D0000}"/>
    <cellStyle name="Percent 3 2 4 5" xfId="19885" xr:uid="{00000000-0005-0000-0000-0000FD4D0000}"/>
    <cellStyle name="Percent 3 2 4 5 2" xfId="19886" xr:uid="{00000000-0005-0000-0000-0000FE4D0000}"/>
    <cellStyle name="Percent 3 2 4 5 3" xfId="19887" xr:uid="{00000000-0005-0000-0000-0000FF4D0000}"/>
    <cellStyle name="Percent 3 2 4 6" xfId="19888" xr:uid="{00000000-0005-0000-0000-0000004E0000}"/>
    <cellStyle name="Percent 3 2 4 7" xfId="19889" xr:uid="{00000000-0005-0000-0000-0000014E0000}"/>
    <cellStyle name="Percent 3 2 5" xfId="19890" xr:uid="{00000000-0005-0000-0000-0000024E0000}"/>
    <cellStyle name="Percent 3 2 5 2" xfId="19891" xr:uid="{00000000-0005-0000-0000-0000034E0000}"/>
    <cellStyle name="Percent 3 2 5 2 2" xfId="19892" xr:uid="{00000000-0005-0000-0000-0000044E0000}"/>
    <cellStyle name="Percent 3 2 5 2 2 2" xfId="19893" xr:uid="{00000000-0005-0000-0000-0000054E0000}"/>
    <cellStyle name="Percent 3 2 5 2 2 2 2" xfId="19894" xr:uid="{00000000-0005-0000-0000-0000064E0000}"/>
    <cellStyle name="Percent 3 2 5 2 2 2 2 2" xfId="19895" xr:uid="{00000000-0005-0000-0000-0000074E0000}"/>
    <cellStyle name="Percent 3 2 5 2 2 2 2 3" xfId="19896" xr:uid="{00000000-0005-0000-0000-0000084E0000}"/>
    <cellStyle name="Percent 3 2 5 2 2 2 3" xfId="19897" xr:uid="{00000000-0005-0000-0000-0000094E0000}"/>
    <cellStyle name="Percent 3 2 5 2 2 2 4" xfId="19898" xr:uid="{00000000-0005-0000-0000-00000A4E0000}"/>
    <cellStyle name="Percent 3 2 5 2 2 3" xfId="19899" xr:uid="{00000000-0005-0000-0000-00000B4E0000}"/>
    <cellStyle name="Percent 3 2 5 2 2 3 2" xfId="19900" xr:uid="{00000000-0005-0000-0000-00000C4E0000}"/>
    <cellStyle name="Percent 3 2 5 2 2 3 3" xfId="19901" xr:uid="{00000000-0005-0000-0000-00000D4E0000}"/>
    <cellStyle name="Percent 3 2 5 2 2 4" xfId="19902" xr:uid="{00000000-0005-0000-0000-00000E4E0000}"/>
    <cellStyle name="Percent 3 2 5 2 2 5" xfId="19903" xr:uid="{00000000-0005-0000-0000-00000F4E0000}"/>
    <cellStyle name="Percent 3 2 5 2 3" xfId="19904" xr:uid="{00000000-0005-0000-0000-0000104E0000}"/>
    <cellStyle name="Percent 3 2 5 2 3 2" xfId="19905" xr:uid="{00000000-0005-0000-0000-0000114E0000}"/>
    <cellStyle name="Percent 3 2 5 2 3 2 2" xfId="19906" xr:uid="{00000000-0005-0000-0000-0000124E0000}"/>
    <cellStyle name="Percent 3 2 5 2 3 2 3" xfId="19907" xr:uid="{00000000-0005-0000-0000-0000134E0000}"/>
    <cellStyle name="Percent 3 2 5 2 3 3" xfId="19908" xr:uid="{00000000-0005-0000-0000-0000144E0000}"/>
    <cellStyle name="Percent 3 2 5 2 3 4" xfId="19909" xr:uid="{00000000-0005-0000-0000-0000154E0000}"/>
    <cellStyle name="Percent 3 2 5 2 4" xfId="19910" xr:uid="{00000000-0005-0000-0000-0000164E0000}"/>
    <cellStyle name="Percent 3 2 5 2 4 2" xfId="19911" xr:uid="{00000000-0005-0000-0000-0000174E0000}"/>
    <cellStyle name="Percent 3 2 5 2 4 3" xfId="19912" xr:uid="{00000000-0005-0000-0000-0000184E0000}"/>
    <cellStyle name="Percent 3 2 5 2 5" xfId="19913" xr:uid="{00000000-0005-0000-0000-0000194E0000}"/>
    <cellStyle name="Percent 3 2 5 2 6" xfId="19914" xr:uid="{00000000-0005-0000-0000-00001A4E0000}"/>
    <cellStyle name="Percent 3 2 5 3" xfId="19915" xr:uid="{00000000-0005-0000-0000-00001B4E0000}"/>
    <cellStyle name="Percent 3 2 5 3 2" xfId="19916" xr:uid="{00000000-0005-0000-0000-00001C4E0000}"/>
    <cellStyle name="Percent 3 2 5 3 2 2" xfId="19917" xr:uid="{00000000-0005-0000-0000-00001D4E0000}"/>
    <cellStyle name="Percent 3 2 5 3 2 2 2" xfId="19918" xr:uid="{00000000-0005-0000-0000-00001E4E0000}"/>
    <cellStyle name="Percent 3 2 5 3 2 2 3" xfId="19919" xr:uid="{00000000-0005-0000-0000-00001F4E0000}"/>
    <cellStyle name="Percent 3 2 5 3 2 3" xfId="19920" xr:uid="{00000000-0005-0000-0000-0000204E0000}"/>
    <cellStyle name="Percent 3 2 5 3 2 4" xfId="19921" xr:uid="{00000000-0005-0000-0000-0000214E0000}"/>
    <cellStyle name="Percent 3 2 5 3 3" xfId="19922" xr:uid="{00000000-0005-0000-0000-0000224E0000}"/>
    <cellStyle name="Percent 3 2 5 3 3 2" xfId="19923" xr:uid="{00000000-0005-0000-0000-0000234E0000}"/>
    <cellStyle name="Percent 3 2 5 3 3 3" xfId="19924" xr:uid="{00000000-0005-0000-0000-0000244E0000}"/>
    <cellStyle name="Percent 3 2 5 3 4" xfId="19925" xr:uid="{00000000-0005-0000-0000-0000254E0000}"/>
    <cellStyle name="Percent 3 2 5 3 5" xfId="19926" xr:uid="{00000000-0005-0000-0000-0000264E0000}"/>
    <cellStyle name="Percent 3 2 5 4" xfId="19927" xr:uid="{00000000-0005-0000-0000-0000274E0000}"/>
    <cellStyle name="Percent 3 2 5 4 2" xfId="19928" xr:uid="{00000000-0005-0000-0000-0000284E0000}"/>
    <cellStyle name="Percent 3 2 5 4 2 2" xfId="19929" xr:uid="{00000000-0005-0000-0000-0000294E0000}"/>
    <cellStyle name="Percent 3 2 5 4 2 3" xfId="19930" xr:uid="{00000000-0005-0000-0000-00002A4E0000}"/>
    <cellStyle name="Percent 3 2 5 4 3" xfId="19931" xr:uid="{00000000-0005-0000-0000-00002B4E0000}"/>
    <cellStyle name="Percent 3 2 5 4 4" xfId="19932" xr:uid="{00000000-0005-0000-0000-00002C4E0000}"/>
    <cellStyle name="Percent 3 2 5 5" xfId="19933" xr:uid="{00000000-0005-0000-0000-00002D4E0000}"/>
    <cellStyle name="Percent 3 2 5 5 2" xfId="19934" xr:uid="{00000000-0005-0000-0000-00002E4E0000}"/>
    <cellStyle name="Percent 3 2 5 5 3" xfId="19935" xr:uid="{00000000-0005-0000-0000-00002F4E0000}"/>
    <cellStyle name="Percent 3 2 5 6" xfId="19936" xr:uid="{00000000-0005-0000-0000-0000304E0000}"/>
    <cellStyle name="Percent 3 2 5 7" xfId="19937" xr:uid="{00000000-0005-0000-0000-0000314E0000}"/>
    <cellStyle name="Percent 3 2 6" xfId="19938" xr:uid="{00000000-0005-0000-0000-0000324E0000}"/>
    <cellStyle name="Percent 3 2 6 2" xfId="19939" xr:uid="{00000000-0005-0000-0000-0000334E0000}"/>
    <cellStyle name="Percent 3 2 6 2 2" xfId="19940" xr:uid="{00000000-0005-0000-0000-0000344E0000}"/>
    <cellStyle name="Percent 3 2 6 2 2 2" xfId="19941" xr:uid="{00000000-0005-0000-0000-0000354E0000}"/>
    <cellStyle name="Percent 3 2 6 2 2 2 2" xfId="19942" xr:uid="{00000000-0005-0000-0000-0000364E0000}"/>
    <cellStyle name="Percent 3 2 6 2 2 2 2 2" xfId="19943" xr:uid="{00000000-0005-0000-0000-0000374E0000}"/>
    <cellStyle name="Percent 3 2 6 2 2 2 2 3" xfId="19944" xr:uid="{00000000-0005-0000-0000-0000384E0000}"/>
    <cellStyle name="Percent 3 2 6 2 2 2 3" xfId="19945" xr:uid="{00000000-0005-0000-0000-0000394E0000}"/>
    <cellStyle name="Percent 3 2 6 2 2 2 4" xfId="19946" xr:uid="{00000000-0005-0000-0000-00003A4E0000}"/>
    <cellStyle name="Percent 3 2 6 2 2 3" xfId="19947" xr:uid="{00000000-0005-0000-0000-00003B4E0000}"/>
    <cellStyle name="Percent 3 2 6 2 2 3 2" xfId="19948" xr:uid="{00000000-0005-0000-0000-00003C4E0000}"/>
    <cellStyle name="Percent 3 2 6 2 2 3 3" xfId="19949" xr:uid="{00000000-0005-0000-0000-00003D4E0000}"/>
    <cellStyle name="Percent 3 2 6 2 2 4" xfId="19950" xr:uid="{00000000-0005-0000-0000-00003E4E0000}"/>
    <cellStyle name="Percent 3 2 6 2 2 5" xfId="19951" xr:uid="{00000000-0005-0000-0000-00003F4E0000}"/>
    <cellStyle name="Percent 3 2 6 2 3" xfId="19952" xr:uid="{00000000-0005-0000-0000-0000404E0000}"/>
    <cellStyle name="Percent 3 2 6 2 3 2" xfId="19953" xr:uid="{00000000-0005-0000-0000-0000414E0000}"/>
    <cellStyle name="Percent 3 2 6 2 3 2 2" xfId="19954" xr:uid="{00000000-0005-0000-0000-0000424E0000}"/>
    <cellStyle name="Percent 3 2 6 2 3 2 3" xfId="19955" xr:uid="{00000000-0005-0000-0000-0000434E0000}"/>
    <cellStyle name="Percent 3 2 6 2 3 3" xfId="19956" xr:uid="{00000000-0005-0000-0000-0000444E0000}"/>
    <cellStyle name="Percent 3 2 6 2 3 4" xfId="19957" xr:uid="{00000000-0005-0000-0000-0000454E0000}"/>
    <cellStyle name="Percent 3 2 6 2 4" xfId="19958" xr:uid="{00000000-0005-0000-0000-0000464E0000}"/>
    <cellStyle name="Percent 3 2 6 2 4 2" xfId="19959" xr:uid="{00000000-0005-0000-0000-0000474E0000}"/>
    <cellStyle name="Percent 3 2 6 2 4 3" xfId="19960" xr:uid="{00000000-0005-0000-0000-0000484E0000}"/>
    <cellStyle name="Percent 3 2 6 2 5" xfId="19961" xr:uid="{00000000-0005-0000-0000-0000494E0000}"/>
    <cellStyle name="Percent 3 2 6 2 6" xfId="19962" xr:uid="{00000000-0005-0000-0000-00004A4E0000}"/>
    <cellStyle name="Percent 3 2 6 3" xfId="19963" xr:uid="{00000000-0005-0000-0000-00004B4E0000}"/>
    <cellStyle name="Percent 3 2 6 3 2" xfId="19964" xr:uid="{00000000-0005-0000-0000-00004C4E0000}"/>
    <cellStyle name="Percent 3 2 6 3 2 2" xfId="19965" xr:uid="{00000000-0005-0000-0000-00004D4E0000}"/>
    <cellStyle name="Percent 3 2 6 3 2 2 2" xfId="19966" xr:uid="{00000000-0005-0000-0000-00004E4E0000}"/>
    <cellStyle name="Percent 3 2 6 3 2 2 3" xfId="19967" xr:uid="{00000000-0005-0000-0000-00004F4E0000}"/>
    <cellStyle name="Percent 3 2 6 3 2 3" xfId="19968" xr:uid="{00000000-0005-0000-0000-0000504E0000}"/>
    <cellStyle name="Percent 3 2 6 3 2 4" xfId="19969" xr:uid="{00000000-0005-0000-0000-0000514E0000}"/>
    <cellStyle name="Percent 3 2 6 3 3" xfId="19970" xr:uid="{00000000-0005-0000-0000-0000524E0000}"/>
    <cellStyle name="Percent 3 2 6 3 3 2" xfId="19971" xr:uid="{00000000-0005-0000-0000-0000534E0000}"/>
    <cellStyle name="Percent 3 2 6 3 3 3" xfId="19972" xr:uid="{00000000-0005-0000-0000-0000544E0000}"/>
    <cellStyle name="Percent 3 2 6 3 4" xfId="19973" xr:uid="{00000000-0005-0000-0000-0000554E0000}"/>
    <cellStyle name="Percent 3 2 6 3 5" xfId="19974" xr:uid="{00000000-0005-0000-0000-0000564E0000}"/>
    <cellStyle name="Percent 3 2 6 4" xfId="19975" xr:uid="{00000000-0005-0000-0000-0000574E0000}"/>
    <cellStyle name="Percent 3 2 6 4 2" xfId="19976" xr:uid="{00000000-0005-0000-0000-0000584E0000}"/>
    <cellStyle name="Percent 3 2 6 4 2 2" xfId="19977" xr:uid="{00000000-0005-0000-0000-0000594E0000}"/>
    <cellStyle name="Percent 3 2 6 4 2 3" xfId="19978" xr:uid="{00000000-0005-0000-0000-00005A4E0000}"/>
    <cellStyle name="Percent 3 2 6 4 3" xfId="19979" xr:uid="{00000000-0005-0000-0000-00005B4E0000}"/>
    <cellStyle name="Percent 3 2 6 4 4" xfId="19980" xr:uid="{00000000-0005-0000-0000-00005C4E0000}"/>
    <cellStyle name="Percent 3 2 6 5" xfId="19981" xr:uid="{00000000-0005-0000-0000-00005D4E0000}"/>
    <cellStyle name="Percent 3 2 6 5 2" xfId="19982" xr:uid="{00000000-0005-0000-0000-00005E4E0000}"/>
    <cellStyle name="Percent 3 2 6 5 3" xfId="19983" xr:uid="{00000000-0005-0000-0000-00005F4E0000}"/>
    <cellStyle name="Percent 3 2 6 6" xfId="19984" xr:uid="{00000000-0005-0000-0000-0000604E0000}"/>
    <cellStyle name="Percent 3 2 6 7" xfId="19985" xr:uid="{00000000-0005-0000-0000-0000614E0000}"/>
    <cellStyle name="Percent 3 2 7" xfId="19986" xr:uid="{00000000-0005-0000-0000-0000624E0000}"/>
    <cellStyle name="Percent 3 2 7 2" xfId="19987" xr:uid="{00000000-0005-0000-0000-0000634E0000}"/>
    <cellStyle name="Percent 3 2 7 2 2" xfId="19988" xr:uid="{00000000-0005-0000-0000-0000644E0000}"/>
    <cellStyle name="Percent 3 2 7 2 2 2" xfId="19989" xr:uid="{00000000-0005-0000-0000-0000654E0000}"/>
    <cellStyle name="Percent 3 2 7 2 2 2 2" xfId="19990" xr:uid="{00000000-0005-0000-0000-0000664E0000}"/>
    <cellStyle name="Percent 3 2 7 2 2 2 3" xfId="19991" xr:uid="{00000000-0005-0000-0000-0000674E0000}"/>
    <cellStyle name="Percent 3 2 7 2 2 3" xfId="19992" xr:uid="{00000000-0005-0000-0000-0000684E0000}"/>
    <cellStyle name="Percent 3 2 7 2 2 4" xfId="19993" xr:uid="{00000000-0005-0000-0000-0000694E0000}"/>
    <cellStyle name="Percent 3 2 7 2 3" xfId="19994" xr:uid="{00000000-0005-0000-0000-00006A4E0000}"/>
    <cellStyle name="Percent 3 2 7 2 3 2" xfId="19995" xr:uid="{00000000-0005-0000-0000-00006B4E0000}"/>
    <cellStyle name="Percent 3 2 7 2 3 3" xfId="19996" xr:uid="{00000000-0005-0000-0000-00006C4E0000}"/>
    <cellStyle name="Percent 3 2 7 2 4" xfId="19997" xr:uid="{00000000-0005-0000-0000-00006D4E0000}"/>
    <cellStyle name="Percent 3 2 7 2 5" xfId="19998" xr:uid="{00000000-0005-0000-0000-00006E4E0000}"/>
    <cellStyle name="Percent 3 2 7 3" xfId="19999" xr:uid="{00000000-0005-0000-0000-00006F4E0000}"/>
    <cellStyle name="Percent 3 2 7 3 2" xfId="20000" xr:uid="{00000000-0005-0000-0000-0000704E0000}"/>
    <cellStyle name="Percent 3 2 7 3 2 2" xfId="20001" xr:uid="{00000000-0005-0000-0000-0000714E0000}"/>
    <cellStyle name="Percent 3 2 7 3 2 3" xfId="20002" xr:uid="{00000000-0005-0000-0000-0000724E0000}"/>
    <cellStyle name="Percent 3 2 7 3 3" xfId="20003" xr:uid="{00000000-0005-0000-0000-0000734E0000}"/>
    <cellStyle name="Percent 3 2 7 3 4" xfId="20004" xr:uid="{00000000-0005-0000-0000-0000744E0000}"/>
    <cellStyle name="Percent 3 2 7 4" xfId="20005" xr:uid="{00000000-0005-0000-0000-0000754E0000}"/>
    <cellStyle name="Percent 3 2 7 4 2" xfId="20006" xr:uid="{00000000-0005-0000-0000-0000764E0000}"/>
    <cellStyle name="Percent 3 2 7 4 3" xfId="20007" xr:uid="{00000000-0005-0000-0000-0000774E0000}"/>
    <cellStyle name="Percent 3 2 7 5" xfId="20008" xr:uid="{00000000-0005-0000-0000-0000784E0000}"/>
    <cellStyle name="Percent 3 2 7 6" xfId="20009" xr:uid="{00000000-0005-0000-0000-0000794E0000}"/>
    <cellStyle name="Percent 3 2 8" xfId="20010" xr:uid="{00000000-0005-0000-0000-00007A4E0000}"/>
    <cellStyle name="Percent 3 2 8 2" xfId="20011" xr:uid="{00000000-0005-0000-0000-00007B4E0000}"/>
    <cellStyle name="Percent 3 2 8 2 2" xfId="20012" xr:uid="{00000000-0005-0000-0000-00007C4E0000}"/>
    <cellStyle name="Percent 3 2 8 2 2 2" xfId="20013" xr:uid="{00000000-0005-0000-0000-00007D4E0000}"/>
    <cellStyle name="Percent 3 2 8 2 2 2 2" xfId="20014" xr:uid="{00000000-0005-0000-0000-00007E4E0000}"/>
    <cellStyle name="Percent 3 2 8 2 2 2 3" xfId="20015" xr:uid="{00000000-0005-0000-0000-00007F4E0000}"/>
    <cellStyle name="Percent 3 2 8 2 2 3" xfId="20016" xr:uid="{00000000-0005-0000-0000-0000804E0000}"/>
    <cellStyle name="Percent 3 2 8 2 2 4" xfId="20017" xr:uid="{00000000-0005-0000-0000-0000814E0000}"/>
    <cellStyle name="Percent 3 2 8 2 3" xfId="20018" xr:uid="{00000000-0005-0000-0000-0000824E0000}"/>
    <cellStyle name="Percent 3 2 8 2 3 2" xfId="20019" xr:uid="{00000000-0005-0000-0000-0000834E0000}"/>
    <cellStyle name="Percent 3 2 8 2 3 3" xfId="20020" xr:uid="{00000000-0005-0000-0000-0000844E0000}"/>
    <cellStyle name="Percent 3 2 8 2 4" xfId="20021" xr:uid="{00000000-0005-0000-0000-0000854E0000}"/>
    <cellStyle name="Percent 3 2 8 2 5" xfId="20022" xr:uid="{00000000-0005-0000-0000-0000864E0000}"/>
    <cellStyle name="Percent 3 2 8 3" xfId="20023" xr:uid="{00000000-0005-0000-0000-0000874E0000}"/>
    <cellStyle name="Percent 3 2 8 3 2" xfId="20024" xr:uid="{00000000-0005-0000-0000-0000884E0000}"/>
    <cellStyle name="Percent 3 2 8 3 2 2" xfId="20025" xr:uid="{00000000-0005-0000-0000-0000894E0000}"/>
    <cellStyle name="Percent 3 2 8 3 2 3" xfId="20026" xr:uid="{00000000-0005-0000-0000-00008A4E0000}"/>
    <cellStyle name="Percent 3 2 8 3 3" xfId="20027" xr:uid="{00000000-0005-0000-0000-00008B4E0000}"/>
    <cellStyle name="Percent 3 2 8 3 4" xfId="20028" xr:uid="{00000000-0005-0000-0000-00008C4E0000}"/>
    <cellStyle name="Percent 3 2 8 4" xfId="20029" xr:uid="{00000000-0005-0000-0000-00008D4E0000}"/>
    <cellStyle name="Percent 3 2 8 4 2" xfId="20030" xr:uid="{00000000-0005-0000-0000-00008E4E0000}"/>
    <cellStyle name="Percent 3 2 8 4 3" xfId="20031" xr:uid="{00000000-0005-0000-0000-00008F4E0000}"/>
    <cellStyle name="Percent 3 2 8 5" xfId="20032" xr:uid="{00000000-0005-0000-0000-0000904E0000}"/>
    <cellStyle name="Percent 3 2 8 6" xfId="20033" xr:uid="{00000000-0005-0000-0000-0000914E0000}"/>
    <cellStyle name="Percent 3 2 9" xfId="20034" xr:uid="{00000000-0005-0000-0000-0000924E0000}"/>
    <cellStyle name="Percent 3 2 9 2" xfId="20035" xr:uid="{00000000-0005-0000-0000-0000934E0000}"/>
    <cellStyle name="Percent 3 2 9 2 2" xfId="20036" xr:uid="{00000000-0005-0000-0000-0000944E0000}"/>
    <cellStyle name="Percent 3 2 9 2 2 2" xfId="20037" xr:uid="{00000000-0005-0000-0000-0000954E0000}"/>
    <cellStyle name="Percent 3 2 9 2 2 2 2" xfId="20038" xr:uid="{00000000-0005-0000-0000-0000964E0000}"/>
    <cellStyle name="Percent 3 2 9 2 2 2 3" xfId="20039" xr:uid="{00000000-0005-0000-0000-0000974E0000}"/>
    <cellStyle name="Percent 3 2 9 2 2 3" xfId="20040" xr:uid="{00000000-0005-0000-0000-0000984E0000}"/>
    <cellStyle name="Percent 3 2 9 2 2 4" xfId="20041" xr:uid="{00000000-0005-0000-0000-0000994E0000}"/>
    <cellStyle name="Percent 3 2 9 2 3" xfId="20042" xr:uid="{00000000-0005-0000-0000-00009A4E0000}"/>
    <cellStyle name="Percent 3 2 9 2 3 2" xfId="20043" xr:uid="{00000000-0005-0000-0000-00009B4E0000}"/>
    <cellStyle name="Percent 3 2 9 2 3 3" xfId="20044" xr:uid="{00000000-0005-0000-0000-00009C4E0000}"/>
    <cellStyle name="Percent 3 2 9 2 4" xfId="20045" xr:uid="{00000000-0005-0000-0000-00009D4E0000}"/>
    <cellStyle name="Percent 3 2 9 2 5" xfId="20046" xr:uid="{00000000-0005-0000-0000-00009E4E0000}"/>
    <cellStyle name="Percent 3 2 9 3" xfId="20047" xr:uid="{00000000-0005-0000-0000-00009F4E0000}"/>
    <cellStyle name="Percent 3 2 9 3 2" xfId="20048" xr:uid="{00000000-0005-0000-0000-0000A04E0000}"/>
    <cellStyle name="Percent 3 2 9 3 2 2" xfId="20049" xr:uid="{00000000-0005-0000-0000-0000A14E0000}"/>
    <cellStyle name="Percent 3 2 9 3 2 3" xfId="20050" xr:uid="{00000000-0005-0000-0000-0000A24E0000}"/>
    <cellStyle name="Percent 3 2 9 3 3" xfId="20051" xr:uid="{00000000-0005-0000-0000-0000A34E0000}"/>
    <cellStyle name="Percent 3 2 9 3 4" xfId="20052" xr:uid="{00000000-0005-0000-0000-0000A44E0000}"/>
    <cellStyle name="Percent 3 2 9 4" xfId="20053" xr:uid="{00000000-0005-0000-0000-0000A54E0000}"/>
    <cellStyle name="Percent 3 2 9 4 2" xfId="20054" xr:uid="{00000000-0005-0000-0000-0000A64E0000}"/>
    <cellStyle name="Percent 3 2 9 4 3" xfId="20055" xr:uid="{00000000-0005-0000-0000-0000A74E0000}"/>
    <cellStyle name="Percent 3 2 9 5" xfId="20056" xr:uid="{00000000-0005-0000-0000-0000A84E0000}"/>
    <cellStyle name="Percent 3 2 9 6" xfId="20057" xr:uid="{00000000-0005-0000-0000-0000A94E0000}"/>
    <cellStyle name="Percent 3 20" xfId="20058" xr:uid="{00000000-0005-0000-0000-0000AA4E0000}"/>
    <cellStyle name="Percent 3 20 2" xfId="20059" xr:uid="{00000000-0005-0000-0000-0000AB4E0000}"/>
    <cellStyle name="Percent 3 20 2 2" xfId="20060" xr:uid="{00000000-0005-0000-0000-0000AC4E0000}"/>
    <cellStyle name="Percent 3 20 2 2 2" xfId="20061" xr:uid="{00000000-0005-0000-0000-0000AD4E0000}"/>
    <cellStyle name="Percent 3 20 2 2 2 2" xfId="20062" xr:uid="{00000000-0005-0000-0000-0000AE4E0000}"/>
    <cellStyle name="Percent 3 20 2 2 2 3" xfId="20063" xr:uid="{00000000-0005-0000-0000-0000AF4E0000}"/>
    <cellStyle name="Percent 3 20 2 2 3" xfId="20064" xr:uid="{00000000-0005-0000-0000-0000B04E0000}"/>
    <cellStyle name="Percent 3 20 2 2 4" xfId="20065" xr:uid="{00000000-0005-0000-0000-0000B14E0000}"/>
    <cellStyle name="Percent 3 20 2 3" xfId="20066" xr:uid="{00000000-0005-0000-0000-0000B24E0000}"/>
    <cellStyle name="Percent 3 20 2 3 2" xfId="20067" xr:uid="{00000000-0005-0000-0000-0000B34E0000}"/>
    <cellStyle name="Percent 3 20 2 3 3" xfId="20068" xr:uid="{00000000-0005-0000-0000-0000B44E0000}"/>
    <cellStyle name="Percent 3 20 2 4" xfId="20069" xr:uid="{00000000-0005-0000-0000-0000B54E0000}"/>
    <cellStyle name="Percent 3 20 2 5" xfId="20070" xr:uid="{00000000-0005-0000-0000-0000B64E0000}"/>
    <cellStyle name="Percent 3 20 3" xfId="20071" xr:uid="{00000000-0005-0000-0000-0000B74E0000}"/>
    <cellStyle name="Percent 3 20 3 2" xfId="20072" xr:uid="{00000000-0005-0000-0000-0000B84E0000}"/>
    <cellStyle name="Percent 3 20 3 2 2" xfId="20073" xr:uid="{00000000-0005-0000-0000-0000B94E0000}"/>
    <cellStyle name="Percent 3 20 3 2 3" xfId="20074" xr:uid="{00000000-0005-0000-0000-0000BA4E0000}"/>
    <cellStyle name="Percent 3 20 3 3" xfId="20075" xr:uid="{00000000-0005-0000-0000-0000BB4E0000}"/>
    <cellStyle name="Percent 3 20 3 4" xfId="20076" xr:uid="{00000000-0005-0000-0000-0000BC4E0000}"/>
    <cellStyle name="Percent 3 20 4" xfId="20077" xr:uid="{00000000-0005-0000-0000-0000BD4E0000}"/>
    <cellStyle name="Percent 3 20 4 2" xfId="20078" xr:uid="{00000000-0005-0000-0000-0000BE4E0000}"/>
    <cellStyle name="Percent 3 20 4 3" xfId="20079" xr:uid="{00000000-0005-0000-0000-0000BF4E0000}"/>
    <cellStyle name="Percent 3 20 5" xfId="20080" xr:uid="{00000000-0005-0000-0000-0000C04E0000}"/>
    <cellStyle name="Percent 3 20 6" xfId="20081" xr:uid="{00000000-0005-0000-0000-0000C14E0000}"/>
    <cellStyle name="Percent 3 21" xfId="20082" xr:uid="{00000000-0005-0000-0000-0000C24E0000}"/>
    <cellStyle name="Percent 3 21 2" xfId="20083" xr:uid="{00000000-0005-0000-0000-0000C34E0000}"/>
    <cellStyle name="Percent 3 21 2 2" xfId="20084" xr:uid="{00000000-0005-0000-0000-0000C44E0000}"/>
    <cellStyle name="Percent 3 21 2 2 2" xfId="20085" xr:uid="{00000000-0005-0000-0000-0000C54E0000}"/>
    <cellStyle name="Percent 3 21 2 2 2 2" xfId="20086" xr:uid="{00000000-0005-0000-0000-0000C64E0000}"/>
    <cellStyle name="Percent 3 21 2 2 2 3" xfId="20087" xr:uid="{00000000-0005-0000-0000-0000C74E0000}"/>
    <cellStyle name="Percent 3 21 2 2 3" xfId="20088" xr:uid="{00000000-0005-0000-0000-0000C84E0000}"/>
    <cellStyle name="Percent 3 21 2 2 4" xfId="20089" xr:uid="{00000000-0005-0000-0000-0000C94E0000}"/>
    <cellStyle name="Percent 3 21 2 3" xfId="20090" xr:uid="{00000000-0005-0000-0000-0000CA4E0000}"/>
    <cellStyle name="Percent 3 21 2 3 2" xfId="20091" xr:uid="{00000000-0005-0000-0000-0000CB4E0000}"/>
    <cellStyle name="Percent 3 21 2 3 3" xfId="20092" xr:uid="{00000000-0005-0000-0000-0000CC4E0000}"/>
    <cellStyle name="Percent 3 21 2 4" xfId="20093" xr:uid="{00000000-0005-0000-0000-0000CD4E0000}"/>
    <cellStyle name="Percent 3 21 2 5" xfId="20094" xr:uid="{00000000-0005-0000-0000-0000CE4E0000}"/>
    <cellStyle name="Percent 3 21 3" xfId="20095" xr:uid="{00000000-0005-0000-0000-0000CF4E0000}"/>
    <cellStyle name="Percent 3 21 3 2" xfId="20096" xr:uid="{00000000-0005-0000-0000-0000D04E0000}"/>
    <cellStyle name="Percent 3 21 3 2 2" xfId="20097" xr:uid="{00000000-0005-0000-0000-0000D14E0000}"/>
    <cellStyle name="Percent 3 21 3 2 3" xfId="20098" xr:uid="{00000000-0005-0000-0000-0000D24E0000}"/>
    <cellStyle name="Percent 3 21 3 3" xfId="20099" xr:uid="{00000000-0005-0000-0000-0000D34E0000}"/>
    <cellStyle name="Percent 3 21 3 4" xfId="20100" xr:uid="{00000000-0005-0000-0000-0000D44E0000}"/>
    <cellStyle name="Percent 3 21 4" xfId="20101" xr:uid="{00000000-0005-0000-0000-0000D54E0000}"/>
    <cellStyle name="Percent 3 21 4 2" xfId="20102" xr:uid="{00000000-0005-0000-0000-0000D64E0000}"/>
    <cellStyle name="Percent 3 21 4 3" xfId="20103" xr:uid="{00000000-0005-0000-0000-0000D74E0000}"/>
    <cellStyle name="Percent 3 21 5" xfId="20104" xr:uid="{00000000-0005-0000-0000-0000D84E0000}"/>
    <cellStyle name="Percent 3 21 6" xfId="20105" xr:uid="{00000000-0005-0000-0000-0000D94E0000}"/>
    <cellStyle name="Percent 3 22" xfId="20106" xr:uid="{00000000-0005-0000-0000-0000DA4E0000}"/>
    <cellStyle name="Percent 3 23" xfId="20107" xr:uid="{00000000-0005-0000-0000-0000DB4E0000}"/>
    <cellStyle name="Percent 3 24" xfId="20108" xr:uid="{00000000-0005-0000-0000-0000DC4E0000}"/>
    <cellStyle name="Percent 3 25" xfId="20109" xr:uid="{00000000-0005-0000-0000-0000DD4E0000}"/>
    <cellStyle name="Percent 3 26" xfId="20110" xr:uid="{00000000-0005-0000-0000-0000DE4E0000}"/>
    <cellStyle name="Percent 3 27" xfId="20111" xr:uid="{00000000-0005-0000-0000-0000DF4E0000}"/>
    <cellStyle name="Percent 3 28" xfId="20112" xr:uid="{00000000-0005-0000-0000-0000E04E0000}"/>
    <cellStyle name="Percent 3 29" xfId="20113" xr:uid="{00000000-0005-0000-0000-0000E14E0000}"/>
    <cellStyle name="Percent 3 3" xfId="40" xr:uid="{00000000-0005-0000-0000-0000E24E0000}"/>
    <cellStyle name="Percent 3 3 2" xfId="20114" xr:uid="{00000000-0005-0000-0000-0000E34E0000}"/>
    <cellStyle name="Percent 3 3 2 2" xfId="20115" xr:uid="{00000000-0005-0000-0000-0000E44E0000}"/>
    <cellStyle name="Percent 3 3 2 2 2" xfId="20116" xr:uid="{00000000-0005-0000-0000-0000E54E0000}"/>
    <cellStyle name="Percent 3 3 2 2 2 2" xfId="20117" xr:uid="{00000000-0005-0000-0000-0000E64E0000}"/>
    <cellStyle name="Percent 3 3 2 2 2 2 2" xfId="20118" xr:uid="{00000000-0005-0000-0000-0000E74E0000}"/>
    <cellStyle name="Percent 3 3 2 2 2 2 3" xfId="20119" xr:uid="{00000000-0005-0000-0000-0000E84E0000}"/>
    <cellStyle name="Percent 3 3 2 2 2 3" xfId="20120" xr:uid="{00000000-0005-0000-0000-0000E94E0000}"/>
    <cellStyle name="Percent 3 3 2 2 2 4" xfId="20121" xr:uid="{00000000-0005-0000-0000-0000EA4E0000}"/>
    <cellStyle name="Percent 3 3 2 2 3" xfId="20122" xr:uid="{00000000-0005-0000-0000-0000EB4E0000}"/>
    <cellStyle name="Percent 3 3 2 2 3 2" xfId="20123" xr:uid="{00000000-0005-0000-0000-0000EC4E0000}"/>
    <cellStyle name="Percent 3 3 2 2 3 3" xfId="20124" xr:uid="{00000000-0005-0000-0000-0000ED4E0000}"/>
    <cellStyle name="Percent 3 3 2 2 4" xfId="20125" xr:uid="{00000000-0005-0000-0000-0000EE4E0000}"/>
    <cellStyle name="Percent 3 3 2 2 5" xfId="20126" xr:uid="{00000000-0005-0000-0000-0000EF4E0000}"/>
    <cellStyle name="Percent 3 3 2 3" xfId="20127" xr:uid="{00000000-0005-0000-0000-0000F04E0000}"/>
    <cellStyle name="Percent 3 3 2 3 2" xfId="20128" xr:uid="{00000000-0005-0000-0000-0000F14E0000}"/>
    <cellStyle name="Percent 3 3 2 3 2 2" xfId="20129" xr:uid="{00000000-0005-0000-0000-0000F24E0000}"/>
    <cellStyle name="Percent 3 3 2 3 2 3" xfId="20130" xr:uid="{00000000-0005-0000-0000-0000F34E0000}"/>
    <cellStyle name="Percent 3 3 2 3 3" xfId="20131" xr:uid="{00000000-0005-0000-0000-0000F44E0000}"/>
    <cellStyle name="Percent 3 3 2 3 4" xfId="20132" xr:uid="{00000000-0005-0000-0000-0000F54E0000}"/>
    <cellStyle name="Percent 3 3 2 4" xfId="20133" xr:uid="{00000000-0005-0000-0000-0000F64E0000}"/>
    <cellStyle name="Percent 3 3 2 4 2" xfId="20134" xr:uid="{00000000-0005-0000-0000-0000F74E0000}"/>
    <cellStyle name="Percent 3 3 2 4 3" xfId="20135" xr:uid="{00000000-0005-0000-0000-0000F84E0000}"/>
    <cellStyle name="Percent 3 3 2 5" xfId="20136" xr:uid="{00000000-0005-0000-0000-0000F94E0000}"/>
    <cellStyle name="Percent 3 3 2 6" xfId="20137" xr:uid="{00000000-0005-0000-0000-0000FA4E0000}"/>
    <cellStyle name="Percent 3 3 3" xfId="20138" xr:uid="{00000000-0005-0000-0000-0000FB4E0000}"/>
    <cellStyle name="Percent 3 3 3 2" xfId="20139" xr:uid="{00000000-0005-0000-0000-0000FC4E0000}"/>
    <cellStyle name="Percent 3 3 3 2 2" xfId="20140" xr:uid="{00000000-0005-0000-0000-0000FD4E0000}"/>
    <cellStyle name="Percent 3 3 3 2 2 2" xfId="20141" xr:uid="{00000000-0005-0000-0000-0000FE4E0000}"/>
    <cellStyle name="Percent 3 3 3 2 2 2 2" xfId="20142" xr:uid="{00000000-0005-0000-0000-0000FF4E0000}"/>
    <cellStyle name="Percent 3 3 3 2 2 2 3" xfId="20143" xr:uid="{00000000-0005-0000-0000-0000004F0000}"/>
    <cellStyle name="Percent 3 3 3 2 2 3" xfId="20144" xr:uid="{00000000-0005-0000-0000-0000014F0000}"/>
    <cellStyle name="Percent 3 3 3 2 2 4" xfId="20145" xr:uid="{00000000-0005-0000-0000-0000024F0000}"/>
    <cellStyle name="Percent 3 3 3 2 3" xfId="20146" xr:uid="{00000000-0005-0000-0000-0000034F0000}"/>
    <cellStyle name="Percent 3 3 3 2 3 2" xfId="20147" xr:uid="{00000000-0005-0000-0000-0000044F0000}"/>
    <cellStyle name="Percent 3 3 3 2 3 3" xfId="20148" xr:uid="{00000000-0005-0000-0000-0000054F0000}"/>
    <cellStyle name="Percent 3 3 3 2 4" xfId="20149" xr:uid="{00000000-0005-0000-0000-0000064F0000}"/>
    <cellStyle name="Percent 3 3 3 2 5" xfId="20150" xr:uid="{00000000-0005-0000-0000-0000074F0000}"/>
    <cellStyle name="Percent 3 3 3 3" xfId="20151" xr:uid="{00000000-0005-0000-0000-0000084F0000}"/>
    <cellStyle name="Percent 3 3 3 3 2" xfId="20152" xr:uid="{00000000-0005-0000-0000-0000094F0000}"/>
    <cellStyle name="Percent 3 3 3 3 2 2" xfId="20153" xr:uid="{00000000-0005-0000-0000-00000A4F0000}"/>
    <cellStyle name="Percent 3 3 3 3 2 3" xfId="20154" xr:uid="{00000000-0005-0000-0000-00000B4F0000}"/>
    <cellStyle name="Percent 3 3 3 3 3" xfId="20155" xr:uid="{00000000-0005-0000-0000-00000C4F0000}"/>
    <cellStyle name="Percent 3 3 3 3 4" xfId="20156" xr:uid="{00000000-0005-0000-0000-00000D4F0000}"/>
    <cellStyle name="Percent 3 3 3 4" xfId="20157" xr:uid="{00000000-0005-0000-0000-00000E4F0000}"/>
    <cellStyle name="Percent 3 3 3 4 2" xfId="20158" xr:uid="{00000000-0005-0000-0000-00000F4F0000}"/>
    <cellStyle name="Percent 3 3 3 4 3" xfId="20159" xr:uid="{00000000-0005-0000-0000-0000104F0000}"/>
    <cellStyle name="Percent 3 3 3 5" xfId="20160" xr:uid="{00000000-0005-0000-0000-0000114F0000}"/>
    <cellStyle name="Percent 3 3 3 6" xfId="20161" xr:uid="{00000000-0005-0000-0000-0000124F0000}"/>
    <cellStyle name="Percent 3 3 4" xfId="20162" xr:uid="{00000000-0005-0000-0000-0000134F0000}"/>
    <cellStyle name="Percent 3 3 4 2" xfId="20163" xr:uid="{00000000-0005-0000-0000-0000144F0000}"/>
    <cellStyle name="Percent 3 3 4 2 2" xfId="20164" xr:uid="{00000000-0005-0000-0000-0000154F0000}"/>
    <cellStyle name="Percent 3 3 4 2 2 2" xfId="20165" xr:uid="{00000000-0005-0000-0000-0000164F0000}"/>
    <cellStyle name="Percent 3 3 4 2 2 2 2" xfId="20166" xr:uid="{00000000-0005-0000-0000-0000174F0000}"/>
    <cellStyle name="Percent 3 3 4 2 2 2 3" xfId="20167" xr:uid="{00000000-0005-0000-0000-0000184F0000}"/>
    <cellStyle name="Percent 3 3 4 2 2 3" xfId="20168" xr:uid="{00000000-0005-0000-0000-0000194F0000}"/>
    <cellStyle name="Percent 3 3 4 2 2 4" xfId="20169" xr:uid="{00000000-0005-0000-0000-00001A4F0000}"/>
    <cellStyle name="Percent 3 3 4 2 3" xfId="20170" xr:uid="{00000000-0005-0000-0000-00001B4F0000}"/>
    <cellStyle name="Percent 3 3 4 2 3 2" xfId="20171" xr:uid="{00000000-0005-0000-0000-00001C4F0000}"/>
    <cellStyle name="Percent 3 3 4 2 3 3" xfId="20172" xr:uid="{00000000-0005-0000-0000-00001D4F0000}"/>
    <cellStyle name="Percent 3 3 4 2 4" xfId="20173" xr:uid="{00000000-0005-0000-0000-00001E4F0000}"/>
    <cellStyle name="Percent 3 3 4 2 5" xfId="20174" xr:uid="{00000000-0005-0000-0000-00001F4F0000}"/>
    <cellStyle name="Percent 3 3 4 3" xfId="20175" xr:uid="{00000000-0005-0000-0000-0000204F0000}"/>
    <cellStyle name="Percent 3 3 4 3 2" xfId="20176" xr:uid="{00000000-0005-0000-0000-0000214F0000}"/>
    <cellStyle name="Percent 3 3 4 3 2 2" xfId="20177" xr:uid="{00000000-0005-0000-0000-0000224F0000}"/>
    <cellStyle name="Percent 3 3 4 3 2 3" xfId="20178" xr:uid="{00000000-0005-0000-0000-0000234F0000}"/>
    <cellStyle name="Percent 3 3 4 3 3" xfId="20179" xr:uid="{00000000-0005-0000-0000-0000244F0000}"/>
    <cellStyle name="Percent 3 3 4 3 4" xfId="20180" xr:uid="{00000000-0005-0000-0000-0000254F0000}"/>
    <cellStyle name="Percent 3 3 4 4" xfId="20181" xr:uid="{00000000-0005-0000-0000-0000264F0000}"/>
    <cellStyle name="Percent 3 3 4 4 2" xfId="20182" xr:uid="{00000000-0005-0000-0000-0000274F0000}"/>
    <cellStyle name="Percent 3 3 4 4 3" xfId="20183" xr:uid="{00000000-0005-0000-0000-0000284F0000}"/>
    <cellStyle name="Percent 3 3 4 5" xfId="20184" xr:uid="{00000000-0005-0000-0000-0000294F0000}"/>
    <cellStyle name="Percent 3 3 4 6" xfId="20185" xr:uid="{00000000-0005-0000-0000-00002A4F0000}"/>
    <cellStyle name="Percent 3 3 5" xfId="20186" xr:uid="{00000000-0005-0000-0000-00002B4F0000}"/>
    <cellStyle name="Percent 3 3 5 2" xfId="20187" xr:uid="{00000000-0005-0000-0000-00002C4F0000}"/>
    <cellStyle name="Percent 3 3 5 2 2" xfId="20188" xr:uid="{00000000-0005-0000-0000-00002D4F0000}"/>
    <cellStyle name="Percent 3 3 5 2 2 2" xfId="20189" xr:uid="{00000000-0005-0000-0000-00002E4F0000}"/>
    <cellStyle name="Percent 3 3 5 2 2 2 2" xfId="20190" xr:uid="{00000000-0005-0000-0000-00002F4F0000}"/>
    <cellStyle name="Percent 3 3 5 2 2 2 3" xfId="20191" xr:uid="{00000000-0005-0000-0000-0000304F0000}"/>
    <cellStyle name="Percent 3 3 5 2 2 3" xfId="20192" xr:uid="{00000000-0005-0000-0000-0000314F0000}"/>
    <cellStyle name="Percent 3 3 5 2 2 4" xfId="20193" xr:uid="{00000000-0005-0000-0000-0000324F0000}"/>
    <cellStyle name="Percent 3 3 5 2 3" xfId="20194" xr:uid="{00000000-0005-0000-0000-0000334F0000}"/>
    <cellStyle name="Percent 3 3 5 2 3 2" xfId="20195" xr:uid="{00000000-0005-0000-0000-0000344F0000}"/>
    <cellStyle name="Percent 3 3 5 2 3 3" xfId="20196" xr:uid="{00000000-0005-0000-0000-0000354F0000}"/>
    <cellStyle name="Percent 3 3 5 2 4" xfId="20197" xr:uid="{00000000-0005-0000-0000-0000364F0000}"/>
    <cellStyle name="Percent 3 3 5 2 5" xfId="20198" xr:uid="{00000000-0005-0000-0000-0000374F0000}"/>
    <cellStyle name="Percent 3 3 5 3" xfId="20199" xr:uid="{00000000-0005-0000-0000-0000384F0000}"/>
    <cellStyle name="Percent 3 3 5 3 2" xfId="20200" xr:uid="{00000000-0005-0000-0000-0000394F0000}"/>
    <cellStyle name="Percent 3 3 5 3 2 2" xfId="20201" xr:uid="{00000000-0005-0000-0000-00003A4F0000}"/>
    <cellStyle name="Percent 3 3 5 3 2 3" xfId="20202" xr:uid="{00000000-0005-0000-0000-00003B4F0000}"/>
    <cellStyle name="Percent 3 3 5 3 3" xfId="20203" xr:uid="{00000000-0005-0000-0000-00003C4F0000}"/>
    <cellStyle name="Percent 3 3 5 3 4" xfId="20204" xr:uid="{00000000-0005-0000-0000-00003D4F0000}"/>
    <cellStyle name="Percent 3 3 5 4" xfId="20205" xr:uid="{00000000-0005-0000-0000-00003E4F0000}"/>
    <cellStyle name="Percent 3 3 5 4 2" xfId="20206" xr:uid="{00000000-0005-0000-0000-00003F4F0000}"/>
    <cellStyle name="Percent 3 3 5 4 3" xfId="20207" xr:uid="{00000000-0005-0000-0000-0000404F0000}"/>
    <cellStyle name="Percent 3 3 5 5" xfId="20208" xr:uid="{00000000-0005-0000-0000-0000414F0000}"/>
    <cellStyle name="Percent 3 3 5 6" xfId="20209" xr:uid="{00000000-0005-0000-0000-0000424F0000}"/>
    <cellStyle name="Percent 3 3 6" xfId="20210" xr:uid="{00000000-0005-0000-0000-0000434F0000}"/>
    <cellStyle name="Percent 3 3 7" xfId="20211" xr:uid="{00000000-0005-0000-0000-0000444F0000}"/>
    <cellStyle name="Percent 3 30" xfId="20212" xr:uid="{00000000-0005-0000-0000-0000454F0000}"/>
    <cellStyle name="Percent 3 4" xfId="20213" xr:uid="{00000000-0005-0000-0000-0000464F0000}"/>
    <cellStyle name="Percent 3 4 10" xfId="20214" xr:uid="{00000000-0005-0000-0000-0000474F0000}"/>
    <cellStyle name="Percent 3 4 2" xfId="20215" xr:uid="{00000000-0005-0000-0000-0000484F0000}"/>
    <cellStyle name="Percent 3 4 2 2" xfId="20216" xr:uid="{00000000-0005-0000-0000-0000494F0000}"/>
    <cellStyle name="Percent 3 4 2 2 2" xfId="20217" xr:uid="{00000000-0005-0000-0000-00004A4F0000}"/>
    <cellStyle name="Percent 3 4 2 2 2 2" xfId="20218" xr:uid="{00000000-0005-0000-0000-00004B4F0000}"/>
    <cellStyle name="Percent 3 4 2 2 2 2 2" xfId="20219" xr:uid="{00000000-0005-0000-0000-00004C4F0000}"/>
    <cellStyle name="Percent 3 4 2 2 2 2 3" xfId="20220" xr:uid="{00000000-0005-0000-0000-00004D4F0000}"/>
    <cellStyle name="Percent 3 4 2 2 2 3" xfId="20221" xr:uid="{00000000-0005-0000-0000-00004E4F0000}"/>
    <cellStyle name="Percent 3 4 2 2 2 4" xfId="20222" xr:uid="{00000000-0005-0000-0000-00004F4F0000}"/>
    <cellStyle name="Percent 3 4 2 2 3" xfId="20223" xr:uid="{00000000-0005-0000-0000-0000504F0000}"/>
    <cellStyle name="Percent 3 4 2 2 3 2" xfId="20224" xr:uid="{00000000-0005-0000-0000-0000514F0000}"/>
    <cellStyle name="Percent 3 4 2 2 3 3" xfId="20225" xr:uid="{00000000-0005-0000-0000-0000524F0000}"/>
    <cellStyle name="Percent 3 4 2 2 4" xfId="20226" xr:uid="{00000000-0005-0000-0000-0000534F0000}"/>
    <cellStyle name="Percent 3 4 2 2 5" xfId="20227" xr:uid="{00000000-0005-0000-0000-0000544F0000}"/>
    <cellStyle name="Percent 3 4 2 3" xfId="20228" xr:uid="{00000000-0005-0000-0000-0000554F0000}"/>
    <cellStyle name="Percent 3 4 2 3 2" xfId="20229" xr:uid="{00000000-0005-0000-0000-0000564F0000}"/>
    <cellStyle name="Percent 3 4 2 3 2 2" xfId="20230" xr:uid="{00000000-0005-0000-0000-0000574F0000}"/>
    <cellStyle name="Percent 3 4 2 3 2 3" xfId="20231" xr:uid="{00000000-0005-0000-0000-0000584F0000}"/>
    <cellStyle name="Percent 3 4 2 3 3" xfId="20232" xr:uid="{00000000-0005-0000-0000-0000594F0000}"/>
    <cellStyle name="Percent 3 4 2 3 4" xfId="20233" xr:uid="{00000000-0005-0000-0000-00005A4F0000}"/>
    <cellStyle name="Percent 3 4 2 4" xfId="20234" xr:uid="{00000000-0005-0000-0000-00005B4F0000}"/>
    <cellStyle name="Percent 3 4 2 4 2" xfId="20235" xr:uid="{00000000-0005-0000-0000-00005C4F0000}"/>
    <cellStyle name="Percent 3 4 2 4 3" xfId="20236" xr:uid="{00000000-0005-0000-0000-00005D4F0000}"/>
    <cellStyle name="Percent 3 4 2 5" xfId="20237" xr:uid="{00000000-0005-0000-0000-00005E4F0000}"/>
    <cellStyle name="Percent 3 4 2 6" xfId="20238" xr:uid="{00000000-0005-0000-0000-00005F4F0000}"/>
    <cellStyle name="Percent 3 4 3" xfId="20239" xr:uid="{00000000-0005-0000-0000-0000604F0000}"/>
    <cellStyle name="Percent 3 4 3 2" xfId="20240" xr:uid="{00000000-0005-0000-0000-0000614F0000}"/>
    <cellStyle name="Percent 3 4 3 2 2" xfId="20241" xr:uid="{00000000-0005-0000-0000-0000624F0000}"/>
    <cellStyle name="Percent 3 4 3 2 2 2" xfId="20242" xr:uid="{00000000-0005-0000-0000-0000634F0000}"/>
    <cellStyle name="Percent 3 4 3 2 2 2 2" xfId="20243" xr:uid="{00000000-0005-0000-0000-0000644F0000}"/>
    <cellStyle name="Percent 3 4 3 2 2 2 3" xfId="20244" xr:uid="{00000000-0005-0000-0000-0000654F0000}"/>
    <cellStyle name="Percent 3 4 3 2 2 3" xfId="20245" xr:uid="{00000000-0005-0000-0000-0000664F0000}"/>
    <cellStyle name="Percent 3 4 3 2 2 4" xfId="20246" xr:uid="{00000000-0005-0000-0000-0000674F0000}"/>
    <cellStyle name="Percent 3 4 3 2 3" xfId="20247" xr:uid="{00000000-0005-0000-0000-0000684F0000}"/>
    <cellStyle name="Percent 3 4 3 2 3 2" xfId="20248" xr:uid="{00000000-0005-0000-0000-0000694F0000}"/>
    <cellStyle name="Percent 3 4 3 2 3 3" xfId="20249" xr:uid="{00000000-0005-0000-0000-00006A4F0000}"/>
    <cellStyle name="Percent 3 4 3 2 4" xfId="20250" xr:uid="{00000000-0005-0000-0000-00006B4F0000}"/>
    <cellStyle name="Percent 3 4 3 2 5" xfId="20251" xr:uid="{00000000-0005-0000-0000-00006C4F0000}"/>
    <cellStyle name="Percent 3 4 3 3" xfId="20252" xr:uid="{00000000-0005-0000-0000-00006D4F0000}"/>
    <cellStyle name="Percent 3 4 3 3 2" xfId="20253" xr:uid="{00000000-0005-0000-0000-00006E4F0000}"/>
    <cellStyle name="Percent 3 4 3 3 2 2" xfId="20254" xr:uid="{00000000-0005-0000-0000-00006F4F0000}"/>
    <cellStyle name="Percent 3 4 3 3 2 3" xfId="20255" xr:uid="{00000000-0005-0000-0000-0000704F0000}"/>
    <cellStyle name="Percent 3 4 3 3 3" xfId="20256" xr:uid="{00000000-0005-0000-0000-0000714F0000}"/>
    <cellStyle name="Percent 3 4 3 3 4" xfId="20257" xr:uid="{00000000-0005-0000-0000-0000724F0000}"/>
    <cellStyle name="Percent 3 4 3 4" xfId="20258" xr:uid="{00000000-0005-0000-0000-0000734F0000}"/>
    <cellStyle name="Percent 3 4 3 4 2" xfId="20259" xr:uid="{00000000-0005-0000-0000-0000744F0000}"/>
    <cellStyle name="Percent 3 4 3 4 3" xfId="20260" xr:uid="{00000000-0005-0000-0000-0000754F0000}"/>
    <cellStyle name="Percent 3 4 3 5" xfId="20261" xr:uid="{00000000-0005-0000-0000-0000764F0000}"/>
    <cellStyle name="Percent 3 4 3 6" xfId="20262" xr:uid="{00000000-0005-0000-0000-0000774F0000}"/>
    <cellStyle name="Percent 3 4 4" xfId="20263" xr:uid="{00000000-0005-0000-0000-0000784F0000}"/>
    <cellStyle name="Percent 3 4 4 2" xfId="20264" xr:uid="{00000000-0005-0000-0000-0000794F0000}"/>
    <cellStyle name="Percent 3 4 4 2 2" xfId="20265" xr:uid="{00000000-0005-0000-0000-00007A4F0000}"/>
    <cellStyle name="Percent 3 4 4 2 2 2" xfId="20266" xr:uid="{00000000-0005-0000-0000-00007B4F0000}"/>
    <cellStyle name="Percent 3 4 4 2 2 2 2" xfId="20267" xr:uid="{00000000-0005-0000-0000-00007C4F0000}"/>
    <cellStyle name="Percent 3 4 4 2 2 2 3" xfId="20268" xr:uid="{00000000-0005-0000-0000-00007D4F0000}"/>
    <cellStyle name="Percent 3 4 4 2 2 3" xfId="20269" xr:uid="{00000000-0005-0000-0000-00007E4F0000}"/>
    <cellStyle name="Percent 3 4 4 2 2 4" xfId="20270" xr:uid="{00000000-0005-0000-0000-00007F4F0000}"/>
    <cellStyle name="Percent 3 4 4 2 3" xfId="20271" xr:uid="{00000000-0005-0000-0000-0000804F0000}"/>
    <cellStyle name="Percent 3 4 4 2 3 2" xfId="20272" xr:uid="{00000000-0005-0000-0000-0000814F0000}"/>
    <cellStyle name="Percent 3 4 4 2 3 3" xfId="20273" xr:uid="{00000000-0005-0000-0000-0000824F0000}"/>
    <cellStyle name="Percent 3 4 4 2 4" xfId="20274" xr:uid="{00000000-0005-0000-0000-0000834F0000}"/>
    <cellStyle name="Percent 3 4 4 2 5" xfId="20275" xr:uid="{00000000-0005-0000-0000-0000844F0000}"/>
    <cellStyle name="Percent 3 4 4 3" xfId="20276" xr:uid="{00000000-0005-0000-0000-0000854F0000}"/>
    <cellStyle name="Percent 3 4 4 3 2" xfId="20277" xr:uid="{00000000-0005-0000-0000-0000864F0000}"/>
    <cellStyle name="Percent 3 4 4 3 2 2" xfId="20278" xr:uid="{00000000-0005-0000-0000-0000874F0000}"/>
    <cellStyle name="Percent 3 4 4 3 2 3" xfId="20279" xr:uid="{00000000-0005-0000-0000-0000884F0000}"/>
    <cellStyle name="Percent 3 4 4 3 3" xfId="20280" xr:uid="{00000000-0005-0000-0000-0000894F0000}"/>
    <cellStyle name="Percent 3 4 4 3 4" xfId="20281" xr:uid="{00000000-0005-0000-0000-00008A4F0000}"/>
    <cellStyle name="Percent 3 4 4 4" xfId="20282" xr:uid="{00000000-0005-0000-0000-00008B4F0000}"/>
    <cellStyle name="Percent 3 4 4 4 2" xfId="20283" xr:uid="{00000000-0005-0000-0000-00008C4F0000}"/>
    <cellStyle name="Percent 3 4 4 4 3" xfId="20284" xr:uid="{00000000-0005-0000-0000-00008D4F0000}"/>
    <cellStyle name="Percent 3 4 4 5" xfId="20285" xr:uid="{00000000-0005-0000-0000-00008E4F0000}"/>
    <cellStyle name="Percent 3 4 4 6" xfId="20286" xr:uid="{00000000-0005-0000-0000-00008F4F0000}"/>
    <cellStyle name="Percent 3 4 5" xfId="20287" xr:uid="{00000000-0005-0000-0000-0000904F0000}"/>
    <cellStyle name="Percent 3 4 5 2" xfId="20288" xr:uid="{00000000-0005-0000-0000-0000914F0000}"/>
    <cellStyle name="Percent 3 4 5 2 2" xfId="20289" xr:uid="{00000000-0005-0000-0000-0000924F0000}"/>
    <cellStyle name="Percent 3 4 5 2 2 2" xfId="20290" xr:uid="{00000000-0005-0000-0000-0000934F0000}"/>
    <cellStyle name="Percent 3 4 5 2 2 2 2" xfId="20291" xr:uid="{00000000-0005-0000-0000-0000944F0000}"/>
    <cellStyle name="Percent 3 4 5 2 2 2 3" xfId="20292" xr:uid="{00000000-0005-0000-0000-0000954F0000}"/>
    <cellStyle name="Percent 3 4 5 2 2 3" xfId="20293" xr:uid="{00000000-0005-0000-0000-0000964F0000}"/>
    <cellStyle name="Percent 3 4 5 2 2 4" xfId="20294" xr:uid="{00000000-0005-0000-0000-0000974F0000}"/>
    <cellStyle name="Percent 3 4 5 2 3" xfId="20295" xr:uid="{00000000-0005-0000-0000-0000984F0000}"/>
    <cellStyle name="Percent 3 4 5 2 3 2" xfId="20296" xr:uid="{00000000-0005-0000-0000-0000994F0000}"/>
    <cellStyle name="Percent 3 4 5 2 3 3" xfId="20297" xr:uid="{00000000-0005-0000-0000-00009A4F0000}"/>
    <cellStyle name="Percent 3 4 5 2 4" xfId="20298" xr:uid="{00000000-0005-0000-0000-00009B4F0000}"/>
    <cellStyle name="Percent 3 4 5 2 5" xfId="20299" xr:uid="{00000000-0005-0000-0000-00009C4F0000}"/>
    <cellStyle name="Percent 3 4 5 3" xfId="20300" xr:uid="{00000000-0005-0000-0000-00009D4F0000}"/>
    <cellStyle name="Percent 3 4 5 3 2" xfId="20301" xr:uid="{00000000-0005-0000-0000-00009E4F0000}"/>
    <cellStyle name="Percent 3 4 5 3 2 2" xfId="20302" xr:uid="{00000000-0005-0000-0000-00009F4F0000}"/>
    <cellStyle name="Percent 3 4 5 3 2 3" xfId="20303" xr:uid="{00000000-0005-0000-0000-0000A04F0000}"/>
    <cellStyle name="Percent 3 4 5 3 3" xfId="20304" xr:uid="{00000000-0005-0000-0000-0000A14F0000}"/>
    <cellStyle name="Percent 3 4 5 3 4" xfId="20305" xr:uid="{00000000-0005-0000-0000-0000A24F0000}"/>
    <cellStyle name="Percent 3 4 5 4" xfId="20306" xr:uid="{00000000-0005-0000-0000-0000A34F0000}"/>
    <cellStyle name="Percent 3 4 5 4 2" xfId="20307" xr:uid="{00000000-0005-0000-0000-0000A44F0000}"/>
    <cellStyle name="Percent 3 4 5 4 3" xfId="20308" xr:uid="{00000000-0005-0000-0000-0000A54F0000}"/>
    <cellStyle name="Percent 3 4 5 5" xfId="20309" xr:uid="{00000000-0005-0000-0000-0000A64F0000}"/>
    <cellStyle name="Percent 3 4 5 6" xfId="20310" xr:uid="{00000000-0005-0000-0000-0000A74F0000}"/>
    <cellStyle name="Percent 3 4 6" xfId="20311" xr:uid="{00000000-0005-0000-0000-0000A84F0000}"/>
    <cellStyle name="Percent 3 4 6 2" xfId="20312" xr:uid="{00000000-0005-0000-0000-0000A94F0000}"/>
    <cellStyle name="Percent 3 4 6 2 2" xfId="20313" xr:uid="{00000000-0005-0000-0000-0000AA4F0000}"/>
    <cellStyle name="Percent 3 4 6 2 2 2" xfId="20314" xr:uid="{00000000-0005-0000-0000-0000AB4F0000}"/>
    <cellStyle name="Percent 3 4 6 2 2 3" xfId="20315" xr:uid="{00000000-0005-0000-0000-0000AC4F0000}"/>
    <cellStyle name="Percent 3 4 6 2 3" xfId="20316" xr:uid="{00000000-0005-0000-0000-0000AD4F0000}"/>
    <cellStyle name="Percent 3 4 6 2 4" xfId="20317" xr:uid="{00000000-0005-0000-0000-0000AE4F0000}"/>
    <cellStyle name="Percent 3 4 6 3" xfId="20318" xr:uid="{00000000-0005-0000-0000-0000AF4F0000}"/>
    <cellStyle name="Percent 3 4 6 3 2" xfId="20319" xr:uid="{00000000-0005-0000-0000-0000B04F0000}"/>
    <cellStyle name="Percent 3 4 6 3 3" xfId="20320" xr:uid="{00000000-0005-0000-0000-0000B14F0000}"/>
    <cellStyle name="Percent 3 4 6 4" xfId="20321" xr:uid="{00000000-0005-0000-0000-0000B24F0000}"/>
    <cellStyle name="Percent 3 4 6 5" xfId="20322" xr:uid="{00000000-0005-0000-0000-0000B34F0000}"/>
    <cellStyle name="Percent 3 4 7" xfId="20323" xr:uid="{00000000-0005-0000-0000-0000B44F0000}"/>
    <cellStyle name="Percent 3 4 7 2" xfId="20324" xr:uid="{00000000-0005-0000-0000-0000B54F0000}"/>
    <cellStyle name="Percent 3 4 7 2 2" xfId="20325" xr:uid="{00000000-0005-0000-0000-0000B64F0000}"/>
    <cellStyle name="Percent 3 4 7 2 3" xfId="20326" xr:uid="{00000000-0005-0000-0000-0000B74F0000}"/>
    <cellStyle name="Percent 3 4 7 3" xfId="20327" xr:uid="{00000000-0005-0000-0000-0000B84F0000}"/>
    <cellStyle name="Percent 3 4 7 4" xfId="20328" xr:uid="{00000000-0005-0000-0000-0000B94F0000}"/>
    <cellStyle name="Percent 3 4 8" xfId="20329" xr:uid="{00000000-0005-0000-0000-0000BA4F0000}"/>
    <cellStyle name="Percent 3 4 8 2" xfId="20330" xr:uid="{00000000-0005-0000-0000-0000BB4F0000}"/>
    <cellStyle name="Percent 3 4 8 3" xfId="20331" xr:uid="{00000000-0005-0000-0000-0000BC4F0000}"/>
    <cellStyle name="Percent 3 4 9" xfId="20332" xr:uid="{00000000-0005-0000-0000-0000BD4F0000}"/>
    <cellStyle name="Percent 3 5" xfId="20333" xr:uid="{00000000-0005-0000-0000-0000BE4F0000}"/>
    <cellStyle name="Percent 3 5 2" xfId="20334" xr:uid="{00000000-0005-0000-0000-0000BF4F0000}"/>
    <cellStyle name="Percent 3 5 2 2" xfId="20335" xr:uid="{00000000-0005-0000-0000-0000C04F0000}"/>
    <cellStyle name="Percent 3 5 2 2 2" xfId="20336" xr:uid="{00000000-0005-0000-0000-0000C14F0000}"/>
    <cellStyle name="Percent 3 5 2 2 2 2" xfId="20337" xr:uid="{00000000-0005-0000-0000-0000C24F0000}"/>
    <cellStyle name="Percent 3 5 2 2 2 2 2" xfId="20338" xr:uid="{00000000-0005-0000-0000-0000C34F0000}"/>
    <cellStyle name="Percent 3 5 2 2 2 2 3" xfId="20339" xr:uid="{00000000-0005-0000-0000-0000C44F0000}"/>
    <cellStyle name="Percent 3 5 2 2 2 3" xfId="20340" xr:uid="{00000000-0005-0000-0000-0000C54F0000}"/>
    <cellStyle name="Percent 3 5 2 2 2 4" xfId="20341" xr:uid="{00000000-0005-0000-0000-0000C64F0000}"/>
    <cellStyle name="Percent 3 5 2 2 3" xfId="20342" xr:uid="{00000000-0005-0000-0000-0000C74F0000}"/>
    <cellStyle name="Percent 3 5 2 2 3 2" xfId="20343" xr:uid="{00000000-0005-0000-0000-0000C84F0000}"/>
    <cellStyle name="Percent 3 5 2 2 3 3" xfId="20344" xr:uid="{00000000-0005-0000-0000-0000C94F0000}"/>
    <cellStyle name="Percent 3 5 2 2 4" xfId="20345" xr:uid="{00000000-0005-0000-0000-0000CA4F0000}"/>
    <cellStyle name="Percent 3 5 2 2 5" xfId="20346" xr:uid="{00000000-0005-0000-0000-0000CB4F0000}"/>
    <cellStyle name="Percent 3 5 2 3" xfId="20347" xr:uid="{00000000-0005-0000-0000-0000CC4F0000}"/>
    <cellStyle name="Percent 3 5 2 3 2" xfId="20348" xr:uid="{00000000-0005-0000-0000-0000CD4F0000}"/>
    <cellStyle name="Percent 3 5 2 3 2 2" xfId="20349" xr:uid="{00000000-0005-0000-0000-0000CE4F0000}"/>
    <cellStyle name="Percent 3 5 2 3 2 3" xfId="20350" xr:uid="{00000000-0005-0000-0000-0000CF4F0000}"/>
    <cellStyle name="Percent 3 5 2 3 3" xfId="20351" xr:uid="{00000000-0005-0000-0000-0000D04F0000}"/>
    <cellStyle name="Percent 3 5 2 3 4" xfId="20352" xr:uid="{00000000-0005-0000-0000-0000D14F0000}"/>
    <cellStyle name="Percent 3 5 2 4" xfId="20353" xr:uid="{00000000-0005-0000-0000-0000D24F0000}"/>
    <cellStyle name="Percent 3 5 2 4 2" xfId="20354" xr:uid="{00000000-0005-0000-0000-0000D34F0000}"/>
    <cellStyle name="Percent 3 5 2 4 3" xfId="20355" xr:uid="{00000000-0005-0000-0000-0000D44F0000}"/>
    <cellStyle name="Percent 3 5 2 5" xfId="20356" xr:uid="{00000000-0005-0000-0000-0000D54F0000}"/>
    <cellStyle name="Percent 3 5 2 6" xfId="20357" xr:uid="{00000000-0005-0000-0000-0000D64F0000}"/>
    <cellStyle name="Percent 3 5 3" xfId="20358" xr:uid="{00000000-0005-0000-0000-0000D74F0000}"/>
    <cellStyle name="Percent 3 5 3 2" xfId="20359" xr:uid="{00000000-0005-0000-0000-0000D84F0000}"/>
    <cellStyle name="Percent 3 5 3 2 2" xfId="20360" xr:uid="{00000000-0005-0000-0000-0000D94F0000}"/>
    <cellStyle name="Percent 3 5 3 2 2 2" xfId="20361" xr:uid="{00000000-0005-0000-0000-0000DA4F0000}"/>
    <cellStyle name="Percent 3 5 3 2 2 3" xfId="20362" xr:uid="{00000000-0005-0000-0000-0000DB4F0000}"/>
    <cellStyle name="Percent 3 5 3 2 3" xfId="20363" xr:uid="{00000000-0005-0000-0000-0000DC4F0000}"/>
    <cellStyle name="Percent 3 5 3 2 4" xfId="20364" xr:uid="{00000000-0005-0000-0000-0000DD4F0000}"/>
    <cellStyle name="Percent 3 5 3 3" xfId="20365" xr:uid="{00000000-0005-0000-0000-0000DE4F0000}"/>
    <cellStyle name="Percent 3 5 3 3 2" xfId="20366" xr:uid="{00000000-0005-0000-0000-0000DF4F0000}"/>
    <cellStyle name="Percent 3 5 3 3 3" xfId="20367" xr:uid="{00000000-0005-0000-0000-0000E04F0000}"/>
    <cellStyle name="Percent 3 5 3 4" xfId="20368" xr:uid="{00000000-0005-0000-0000-0000E14F0000}"/>
    <cellStyle name="Percent 3 5 3 5" xfId="20369" xr:uid="{00000000-0005-0000-0000-0000E24F0000}"/>
    <cellStyle name="Percent 3 5 4" xfId="20370" xr:uid="{00000000-0005-0000-0000-0000E34F0000}"/>
    <cellStyle name="Percent 3 5 4 2" xfId="20371" xr:uid="{00000000-0005-0000-0000-0000E44F0000}"/>
    <cellStyle name="Percent 3 5 4 2 2" xfId="20372" xr:uid="{00000000-0005-0000-0000-0000E54F0000}"/>
    <cellStyle name="Percent 3 5 4 2 3" xfId="20373" xr:uid="{00000000-0005-0000-0000-0000E64F0000}"/>
    <cellStyle name="Percent 3 5 4 3" xfId="20374" xr:uid="{00000000-0005-0000-0000-0000E74F0000}"/>
    <cellStyle name="Percent 3 5 4 4" xfId="20375" xr:uid="{00000000-0005-0000-0000-0000E84F0000}"/>
    <cellStyle name="Percent 3 5 5" xfId="20376" xr:uid="{00000000-0005-0000-0000-0000E94F0000}"/>
    <cellStyle name="Percent 3 5 5 2" xfId="20377" xr:uid="{00000000-0005-0000-0000-0000EA4F0000}"/>
    <cellStyle name="Percent 3 5 5 3" xfId="20378" xr:uid="{00000000-0005-0000-0000-0000EB4F0000}"/>
    <cellStyle name="Percent 3 5 6" xfId="20379" xr:uid="{00000000-0005-0000-0000-0000EC4F0000}"/>
    <cellStyle name="Percent 3 5 7" xfId="20380" xr:uid="{00000000-0005-0000-0000-0000ED4F0000}"/>
    <cellStyle name="Percent 3 6" xfId="20381" xr:uid="{00000000-0005-0000-0000-0000EE4F0000}"/>
    <cellStyle name="Percent 3 6 2" xfId="20382" xr:uid="{00000000-0005-0000-0000-0000EF4F0000}"/>
    <cellStyle name="Percent 3 6 2 2" xfId="20383" xr:uid="{00000000-0005-0000-0000-0000F04F0000}"/>
    <cellStyle name="Percent 3 6 2 2 2" xfId="20384" xr:uid="{00000000-0005-0000-0000-0000F14F0000}"/>
    <cellStyle name="Percent 3 6 2 2 2 2" xfId="20385" xr:uid="{00000000-0005-0000-0000-0000F24F0000}"/>
    <cellStyle name="Percent 3 6 2 2 2 2 2" xfId="20386" xr:uid="{00000000-0005-0000-0000-0000F34F0000}"/>
    <cellStyle name="Percent 3 6 2 2 2 2 3" xfId="20387" xr:uid="{00000000-0005-0000-0000-0000F44F0000}"/>
    <cellStyle name="Percent 3 6 2 2 2 3" xfId="20388" xr:uid="{00000000-0005-0000-0000-0000F54F0000}"/>
    <cellStyle name="Percent 3 6 2 2 2 4" xfId="20389" xr:uid="{00000000-0005-0000-0000-0000F64F0000}"/>
    <cellStyle name="Percent 3 6 2 2 3" xfId="20390" xr:uid="{00000000-0005-0000-0000-0000F74F0000}"/>
    <cellStyle name="Percent 3 6 2 2 3 2" xfId="20391" xr:uid="{00000000-0005-0000-0000-0000F84F0000}"/>
    <cellStyle name="Percent 3 6 2 2 3 3" xfId="20392" xr:uid="{00000000-0005-0000-0000-0000F94F0000}"/>
    <cellStyle name="Percent 3 6 2 2 4" xfId="20393" xr:uid="{00000000-0005-0000-0000-0000FA4F0000}"/>
    <cellStyle name="Percent 3 6 2 2 5" xfId="20394" xr:uid="{00000000-0005-0000-0000-0000FB4F0000}"/>
    <cellStyle name="Percent 3 6 2 3" xfId="20395" xr:uid="{00000000-0005-0000-0000-0000FC4F0000}"/>
    <cellStyle name="Percent 3 6 2 3 2" xfId="20396" xr:uid="{00000000-0005-0000-0000-0000FD4F0000}"/>
    <cellStyle name="Percent 3 6 2 3 2 2" xfId="20397" xr:uid="{00000000-0005-0000-0000-0000FE4F0000}"/>
    <cellStyle name="Percent 3 6 2 3 2 3" xfId="20398" xr:uid="{00000000-0005-0000-0000-0000FF4F0000}"/>
    <cellStyle name="Percent 3 6 2 3 3" xfId="20399" xr:uid="{00000000-0005-0000-0000-000000500000}"/>
    <cellStyle name="Percent 3 6 2 3 4" xfId="20400" xr:uid="{00000000-0005-0000-0000-000001500000}"/>
    <cellStyle name="Percent 3 6 2 4" xfId="20401" xr:uid="{00000000-0005-0000-0000-000002500000}"/>
    <cellStyle name="Percent 3 6 2 4 2" xfId="20402" xr:uid="{00000000-0005-0000-0000-000003500000}"/>
    <cellStyle name="Percent 3 6 2 4 3" xfId="20403" xr:uid="{00000000-0005-0000-0000-000004500000}"/>
    <cellStyle name="Percent 3 6 2 5" xfId="20404" xr:uid="{00000000-0005-0000-0000-000005500000}"/>
    <cellStyle name="Percent 3 6 2 6" xfId="20405" xr:uid="{00000000-0005-0000-0000-000006500000}"/>
    <cellStyle name="Percent 3 6 3" xfId="20406" xr:uid="{00000000-0005-0000-0000-000007500000}"/>
    <cellStyle name="Percent 3 6 3 2" xfId="20407" xr:uid="{00000000-0005-0000-0000-000008500000}"/>
    <cellStyle name="Percent 3 6 3 2 2" xfId="20408" xr:uid="{00000000-0005-0000-0000-000009500000}"/>
    <cellStyle name="Percent 3 6 3 2 2 2" xfId="20409" xr:uid="{00000000-0005-0000-0000-00000A500000}"/>
    <cellStyle name="Percent 3 6 3 2 2 3" xfId="20410" xr:uid="{00000000-0005-0000-0000-00000B500000}"/>
    <cellStyle name="Percent 3 6 3 2 3" xfId="20411" xr:uid="{00000000-0005-0000-0000-00000C500000}"/>
    <cellStyle name="Percent 3 6 3 2 4" xfId="20412" xr:uid="{00000000-0005-0000-0000-00000D500000}"/>
    <cellStyle name="Percent 3 6 3 3" xfId="20413" xr:uid="{00000000-0005-0000-0000-00000E500000}"/>
    <cellStyle name="Percent 3 6 3 3 2" xfId="20414" xr:uid="{00000000-0005-0000-0000-00000F500000}"/>
    <cellStyle name="Percent 3 6 3 3 3" xfId="20415" xr:uid="{00000000-0005-0000-0000-000010500000}"/>
    <cellStyle name="Percent 3 6 3 4" xfId="20416" xr:uid="{00000000-0005-0000-0000-000011500000}"/>
    <cellStyle name="Percent 3 6 3 5" xfId="20417" xr:uid="{00000000-0005-0000-0000-000012500000}"/>
    <cellStyle name="Percent 3 6 4" xfId="20418" xr:uid="{00000000-0005-0000-0000-000013500000}"/>
    <cellStyle name="Percent 3 6 4 2" xfId="20419" xr:uid="{00000000-0005-0000-0000-000014500000}"/>
    <cellStyle name="Percent 3 6 4 2 2" xfId="20420" xr:uid="{00000000-0005-0000-0000-000015500000}"/>
    <cellStyle name="Percent 3 6 4 2 3" xfId="20421" xr:uid="{00000000-0005-0000-0000-000016500000}"/>
    <cellStyle name="Percent 3 6 4 3" xfId="20422" xr:uid="{00000000-0005-0000-0000-000017500000}"/>
    <cellStyle name="Percent 3 6 4 4" xfId="20423" xr:uid="{00000000-0005-0000-0000-000018500000}"/>
    <cellStyle name="Percent 3 6 5" xfId="20424" xr:uid="{00000000-0005-0000-0000-000019500000}"/>
    <cellStyle name="Percent 3 6 5 2" xfId="20425" xr:uid="{00000000-0005-0000-0000-00001A500000}"/>
    <cellStyle name="Percent 3 6 5 3" xfId="20426" xr:uid="{00000000-0005-0000-0000-00001B500000}"/>
    <cellStyle name="Percent 3 6 6" xfId="20427" xr:uid="{00000000-0005-0000-0000-00001C500000}"/>
    <cellStyle name="Percent 3 6 7" xfId="20428" xr:uid="{00000000-0005-0000-0000-00001D500000}"/>
    <cellStyle name="Percent 3 7" xfId="20429" xr:uid="{00000000-0005-0000-0000-00001E500000}"/>
    <cellStyle name="Percent 3 7 2" xfId="20430" xr:uid="{00000000-0005-0000-0000-00001F500000}"/>
    <cellStyle name="Percent 3 7 2 2" xfId="20431" xr:uid="{00000000-0005-0000-0000-000020500000}"/>
    <cellStyle name="Percent 3 7 2 2 2" xfId="20432" xr:uid="{00000000-0005-0000-0000-000021500000}"/>
    <cellStyle name="Percent 3 7 2 2 2 2" xfId="20433" xr:uid="{00000000-0005-0000-0000-000022500000}"/>
    <cellStyle name="Percent 3 7 2 2 2 2 2" xfId="20434" xr:uid="{00000000-0005-0000-0000-000023500000}"/>
    <cellStyle name="Percent 3 7 2 2 2 2 3" xfId="20435" xr:uid="{00000000-0005-0000-0000-000024500000}"/>
    <cellStyle name="Percent 3 7 2 2 2 3" xfId="20436" xr:uid="{00000000-0005-0000-0000-000025500000}"/>
    <cellStyle name="Percent 3 7 2 2 2 4" xfId="20437" xr:uid="{00000000-0005-0000-0000-000026500000}"/>
    <cellStyle name="Percent 3 7 2 2 3" xfId="20438" xr:uid="{00000000-0005-0000-0000-000027500000}"/>
    <cellStyle name="Percent 3 7 2 2 3 2" xfId="20439" xr:uid="{00000000-0005-0000-0000-000028500000}"/>
    <cellStyle name="Percent 3 7 2 2 3 3" xfId="20440" xr:uid="{00000000-0005-0000-0000-000029500000}"/>
    <cellStyle name="Percent 3 7 2 2 4" xfId="20441" xr:uid="{00000000-0005-0000-0000-00002A500000}"/>
    <cellStyle name="Percent 3 7 2 2 5" xfId="20442" xr:uid="{00000000-0005-0000-0000-00002B500000}"/>
    <cellStyle name="Percent 3 7 2 3" xfId="20443" xr:uid="{00000000-0005-0000-0000-00002C500000}"/>
    <cellStyle name="Percent 3 7 2 3 2" xfId="20444" xr:uid="{00000000-0005-0000-0000-00002D500000}"/>
    <cellStyle name="Percent 3 7 2 3 2 2" xfId="20445" xr:uid="{00000000-0005-0000-0000-00002E500000}"/>
    <cellStyle name="Percent 3 7 2 3 2 3" xfId="20446" xr:uid="{00000000-0005-0000-0000-00002F500000}"/>
    <cellStyle name="Percent 3 7 2 3 3" xfId="20447" xr:uid="{00000000-0005-0000-0000-000030500000}"/>
    <cellStyle name="Percent 3 7 2 3 4" xfId="20448" xr:uid="{00000000-0005-0000-0000-000031500000}"/>
    <cellStyle name="Percent 3 7 2 4" xfId="20449" xr:uid="{00000000-0005-0000-0000-000032500000}"/>
    <cellStyle name="Percent 3 7 2 4 2" xfId="20450" xr:uid="{00000000-0005-0000-0000-000033500000}"/>
    <cellStyle name="Percent 3 7 2 4 3" xfId="20451" xr:uid="{00000000-0005-0000-0000-000034500000}"/>
    <cellStyle name="Percent 3 7 2 5" xfId="20452" xr:uid="{00000000-0005-0000-0000-000035500000}"/>
    <cellStyle name="Percent 3 7 2 6" xfId="20453" xr:uid="{00000000-0005-0000-0000-000036500000}"/>
    <cellStyle name="Percent 3 7 3" xfId="20454" xr:uid="{00000000-0005-0000-0000-000037500000}"/>
    <cellStyle name="Percent 3 7 3 2" xfId="20455" xr:uid="{00000000-0005-0000-0000-000038500000}"/>
    <cellStyle name="Percent 3 7 3 2 2" xfId="20456" xr:uid="{00000000-0005-0000-0000-000039500000}"/>
    <cellStyle name="Percent 3 7 3 2 2 2" xfId="20457" xr:uid="{00000000-0005-0000-0000-00003A500000}"/>
    <cellStyle name="Percent 3 7 3 2 2 3" xfId="20458" xr:uid="{00000000-0005-0000-0000-00003B500000}"/>
    <cellStyle name="Percent 3 7 3 2 3" xfId="20459" xr:uid="{00000000-0005-0000-0000-00003C500000}"/>
    <cellStyle name="Percent 3 7 3 2 4" xfId="20460" xr:uid="{00000000-0005-0000-0000-00003D500000}"/>
    <cellStyle name="Percent 3 7 3 3" xfId="20461" xr:uid="{00000000-0005-0000-0000-00003E500000}"/>
    <cellStyle name="Percent 3 7 3 3 2" xfId="20462" xr:uid="{00000000-0005-0000-0000-00003F500000}"/>
    <cellStyle name="Percent 3 7 3 3 3" xfId="20463" xr:uid="{00000000-0005-0000-0000-000040500000}"/>
    <cellStyle name="Percent 3 7 3 4" xfId="20464" xr:uid="{00000000-0005-0000-0000-000041500000}"/>
    <cellStyle name="Percent 3 7 3 5" xfId="20465" xr:uid="{00000000-0005-0000-0000-000042500000}"/>
    <cellStyle name="Percent 3 7 4" xfId="20466" xr:uid="{00000000-0005-0000-0000-000043500000}"/>
    <cellStyle name="Percent 3 7 4 2" xfId="20467" xr:uid="{00000000-0005-0000-0000-000044500000}"/>
    <cellStyle name="Percent 3 7 4 2 2" xfId="20468" xr:uid="{00000000-0005-0000-0000-000045500000}"/>
    <cellStyle name="Percent 3 7 4 2 3" xfId="20469" xr:uid="{00000000-0005-0000-0000-000046500000}"/>
    <cellStyle name="Percent 3 7 4 3" xfId="20470" xr:uid="{00000000-0005-0000-0000-000047500000}"/>
    <cellStyle name="Percent 3 7 4 4" xfId="20471" xr:uid="{00000000-0005-0000-0000-000048500000}"/>
    <cellStyle name="Percent 3 7 5" xfId="20472" xr:uid="{00000000-0005-0000-0000-000049500000}"/>
    <cellStyle name="Percent 3 7 5 2" xfId="20473" xr:uid="{00000000-0005-0000-0000-00004A500000}"/>
    <cellStyle name="Percent 3 7 5 3" xfId="20474" xr:uid="{00000000-0005-0000-0000-00004B500000}"/>
    <cellStyle name="Percent 3 7 6" xfId="20475" xr:uid="{00000000-0005-0000-0000-00004C500000}"/>
    <cellStyle name="Percent 3 7 7" xfId="20476" xr:uid="{00000000-0005-0000-0000-00004D500000}"/>
    <cellStyle name="Percent 3 8" xfId="20477" xr:uid="{00000000-0005-0000-0000-00004E500000}"/>
    <cellStyle name="Percent 3 8 2" xfId="20478" xr:uid="{00000000-0005-0000-0000-00004F500000}"/>
    <cellStyle name="Percent 3 8 2 2" xfId="20479" xr:uid="{00000000-0005-0000-0000-000050500000}"/>
    <cellStyle name="Percent 3 8 2 2 2" xfId="20480" xr:uid="{00000000-0005-0000-0000-000051500000}"/>
    <cellStyle name="Percent 3 8 2 2 2 2" xfId="20481" xr:uid="{00000000-0005-0000-0000-000052500000}"/>
    <cellStyle name="Percent 3 8 2 2 2 3" xfId="20482" xr:uid="{00000000-0005-0000-0000-000053500000}"/>
    <cellStyle name="Percent 3 8 2 2 3" xfId="20483" xr:uid="{00000000-0005-0000-0000-000054500000}"/>
    <cellStyle name="Percent 3 8 2 2 4" xfId="20484" xr:uid="{00000000-0005-0000-0000-000055500000}"/>
    <cellStyle name="Percent 3 8 2 3" xfId="20485" xr:uid="{00000000-0005-0000-0000-000056500000}"/>
    <cellStyle name="Percent 3 8 2 3 2" xfId="20486" xr:uid="{00000000-0005-0000-0000-000057500000}"/>
    <cellStyle name="Percent 3 8 2 3 3" xfId="20487" xr:uid="{00000000-0005-0000-0000-000058500000}"/>
    <cellStyle name="Percent 3 8 2 4" xfId="20488" xr:uid="{00000000-0005-0000-0000-000059500000}"/>
    <cellStyle name="Percent 3 8 2 5" xfId="20489" xr:uid="{00000000-0005-0000-0000-00005A500000}"/>
    <cellStyle name="Percent 3 8 3" xfId="20490" xr:uid="{00000000-0005-0000-0000-00005B500000}"/>
    <cellStyle name="Percent 3 8 3 2" xfId="20491" xr:uid="{00000000-0005-0000-0000-00005C500000}"/>
    <cellStyle name="Percent 3 8 3 2 2" xfId="20492" xr:uid="{00000000-0005-0000-0000-00005D500000}"/>
    <cellStyle name="Percent 3 8 3 2 3" xfId="20493" xr:uid="{00000000-0005-0000-0000-00005E500000}"/>
    <cellStyle name="Percent 3 8 3 3" xfId="20494" xr:uid="{00000000-0005-0000-0000-00005F500000}"/>
    <cellStyle name="Percent 3 8 3 4" xfId="20495" xr:uid="{00000000-0005-0000-0000-000060500000}"/>
    <cellStyle name="Percent 3 8 4" xfId="20496" xr:uid="{00000000-0005-0000-0000-000061500000}"/>
    <cellStyle name="Percent 3 8 4 2" xfId="20497" xr:uid="{00000000-0005-0000-0000-000062500000}"/>
    <cellStyle name="Percent 3 8 4 3" xfId="20498" xr:uid="{00000000-0005-0000-0000-000063500000}"/>
    <cellStyle name="Percent 3 8 5" xfId="20499" xr:uid="{00000000-0005-0000-0000-000064500000}"/>
    <cellStyle name="Percent 3 8 6" xfId="20500" xr:uid="{00000000-0005-0000-0000-000065500000}"/>
    <cellStyle name="Percent 3 9" xfId="20501" xr:uid="{00000000-0005-0000-0000-000066500000}"/>
    <cellStyle name="Percent 3 9 2" xfId="20502" xr:uid="{00000000-0005-0000-0000-000067500000}"/>
    <cellStyle name="Percent 3 9 2 2" xfId="20503" xr:uid="{00000000-0005-0000-0000-000068500000}"/>
    <cellStyle name="Percent 3 9 2 2 2" xfId="20504" xr:uid="{00000000-0005-0000-0000-000069500000}"/>
    <cellStyle name="Percent 3 9 2 2 2 2" xfId="20505" xr:uid="{00000000-0005-0000-0000-00006A500000}"/>
    <cellStyle name="Percent 3 9 2 2 2 3" xfId="20506" xr:uid="{00000000-0005-0000-0000-00006B500000}"/>
    <cellStyle name="Percent 3 9 2 2 3" xfId="20507" xr:uid="{00000000-0005-0000-0000-00006C500000}"/>
    <cellStyle name="Percent 3 9 2 2 4" xfId="20508" xr:uid="{00000000-0005-0000-0000-00006D500000}"/>
    <cellStyle name="Percent 3 9 2 3" xfId="20509" xr:uid="{00000000-0005-0000-0000-00006E500000}"/>
    <cellStyle name="Percent 3 9 2 3 2" xfId="20510" xr:uid="{00000000-0005-0000-0000-00006F500000}"/>
    <cellStyle name="Percent 3 9 2 3 3" xfId="20511" xr:uid="{00000000-0005-0000-0000-000070500000}"/>
    <cellStyle name="Percent 3 9 2 4" xfId="20512" xr:uid="{00000000-0005-0000-0000-000071500000}"/>
    <cellStyle name="Percent 3 9 2 5" xfId="20513" xr:uid="{00000000-0005-0000-0000-000072500000}"/>
    <cellStyle name="Percent 3 9 3" xfId="20514" xr:uid="{00000000-0005-0000-0000-000073500000}"/>
    <cellStyle name="Percent 3 9 3 2" xfId="20515" xr:uid="{00000000-0005-0000-0000-000074500000}"/>
    <cellStyle name="Percent 3 9 3 2 2" xfId="20516" xr:uid="{00000000-0005-0000-0000-000075500000}"/>
    <cellStyle name="Percent 3 9 3 2 3" xfId="20517" xr:uid="{00000000-0005-0000-0000-000076500000}"/>
    <cellStyle name="Percent 3 9 3 3" xfId="20518" xr:uid="{00000000-0005-0000-0000-000077500000}"/>
    <cellStyle name="Percent 3 9 3 4" xfId="20519" xr:uid="{00000000-0005-0000-0000-000078500000}"/>
    <cellStyle name="Percent 3 9 4" xfId="20520" xr:uid="{00000000-0005-0000-0000-000079500000}"/>
    <cellStyle name="Percent 3 9 4 2" xfId="20521" xr:uid="{00000000-0005-0000-0000-00007A500000}"/>
    <cellStyle name="Percent 3 9 4 3" xfId="20522" xr:uid="{00000000-0005-0000-0000-00007B500000}"/>
    <cellStyle name="Percent 3 9 5" xfId="20523" xr:uid="{00000000-0005-0000-0000-00007C500000}"/>
    <cellStyle name="Percent 3 9 6" xfId="20524" xr:uid="{00000000-0005-0000-0000-00007D500000}"/>
    <cellStyle name="Percent 30" xfId="20525" xr:uid="{00000000-0005-0000-0000-00007E500000}"/>
    <cellStyle name="Percent 30 2" xfId="20526" xr:uid="{00000000-0005-0000-0000-00007F500000}"/>
    <cellStyle name="Percent 30 2 2" xfId="20527" xr:uid="{00000000-0005-0000-0000-000080500000}"/>
    <cellStyle name="Percent 30 2 2 2" xfId="20528" xr:uid="{00000000-0005-0000-0000-000081500000}"/>
    <cellStyle name="Percent 30 2 2 2 2" xfId="20529" xr:uid="{00000000-0005-0000-0000-000082500000}"/>
    <cellStyle name="Percent 30 2 2 2 2 2" xfId="20530" xr:uid="{00000000-0005-0000-0000-000083500000}"/>
    <cellStyle name="Percent 30 2 2 2 2 2 2" xfId="20531" xr:uid="{00000000-0005-0000-0000-000084500000}"/>
    <cellStyle name="Percent 30 2 2 2 2 2 3" xfId="20532" xr:uid="{00000000-0005-0000-0000-000085500000}"/>
    <cellStyle name="Percent 30 2 2 2 2 3" xfId="20533" xr:uid="{00000000-0005-0000-0000-000086500000}"/>
    <cellStyle name="Percent 30 2 2 2 2 4" xfId="20534" xr:uid="{00000000-0005-0000-0000-000087500000}"/>
    <cellStyle name="Percent 30 2 2 2 3" xfId="20535" xr:uid="{00000000-0005-0000-0000-000088500000}"/>
    <cellStyle name="Percent 30 2 2 2 3 2" xfId="20536" xr:uid="{00000000-0005-0000-0000-000089500000}"/>
    <cellStyle name="Percent 30 2 2 2 3 3" xfId="20537" xr:uid="{00000000-0005-0000-0000-00008A500000}"/>
    <cellStyle name="Percent 30 2 2 2 4" xfId="20538" xr:uid="{00000000-0005-0000-0000-00008B500000}"/>
    <cellStyle name="Percent 30 2 2 2 5" xfId="20539" xr:uid="{00000000-0005-0000-0000-00008C500000}"/>
    <cellStyle name="Percent 30 2 2 3" xfId="20540" xr:uid="{00000000-0005-0000-0000-00008D500000}"/>
    <cellStyle name="Percent 30 2 2 3 2" xfId="20541" xr:uid="{00000000-0005-0000-0000-00008E500000}"/>
    <cellStyle name="Percent 30 2 2 3 2 2" xfId="20542" xr:uid="{00000000-0005-0000-0000-00008F500000}"/>
    <cellStyle name="Percent 30 2 2 3 2 3" xfId="20543" xr:uid="{00000000-0005-0000-0000-000090500000}"/>
    <cellStyle name="Percent 30 2 2 3 3" xfId="20544" xr:uid="{00000000-0005-0000-0000-000091500000}"/>
    <cellStyle name="Percent 30 2 2 3 4" xfId="20545" xr:uid="{00000000-0005-0000-0000-000092500000}"/>
    <cellStyle name="Percent 30 2 2 4" xfId="20546" xr:uid="{00000000-0005-0000-0000-000093500000}"/>
    <cellStyle name="Percent 30 2 2 4 2" xfId="20547" xr:uid="{00000000-0005-0000-0000-000094500000}"/>
    <cellStyle name="Percent 30 2 2 4 3" xfId="20548" xr:uid="{00000000-0005-0000-0000-000095500000}"/>
    <cellStyle name="Percent 30 2 2 5" xfId="20549" xr:uid="{00000000-0005-0000-0000-000096500000}"/>
    <cellStyle name="Percent 30 2 2 6" xfId="20550" xr:uid="{00000000-0005-0000-0000-000097500000}"/>
    <cellStyle name="Percent 30 2 3" xfId="20551" xr:uid="{00000000-0005-0000-0000-000098500000}"/>
    <cellStyle name="Percent 30 2 3 2" xfId="20552" xr:uid="{00000000-0005-0000-0000-000099500000}"/>
    <cellStyle name="Percent 30 2 3 2 2" xfId="20553" xr:uid="{00000000-0005-0000-0000-00009A500000}"/>
    <cellStyle name="Percent 30 2 3 2 2 2" xfId="20554" xr:uid="{00000000-0005-0000-0000-00009B500000}"/>
    <cellStyle name="Percent 30 2 3 2 2 3" xfId="20555" xr:uid="{00000000-0005-0000-0000-00009C500000}"/>
    <cellStyle name="Percent 30 2 3 2 3" xfId="20556" xr:uid="{00000000-0005-0000-0000-00009D500000}"/>
    <cellStyle name="Percent 30 2 3 2 4" xfId="20557" xr:uid="{00000000-0005-0000-0000-00009E500000}"/>
    <cellStyle name="Percent 30 2 3 3" xfId="20558" xr:uid="{00000000-0005-0000-0000-00009F500000}"/>
    <cellStyle name="Percent 30 2 3 3 2" xfId="20559" xr:uid="{00000000-0005-0000-0000-0000A0500000}"/>
    <cellStyle name="Percent 30 2 3 3 3" xfId="20560" xr:uid="{00000000-0005-0000-0000-0000A1500000}"/>
    <cellStyle name="Percent 30 2 3 4" xfId="20561" xr:uid="{00000000-0005-0000-0000-0000A2500000}"/>
    <cellStyle name="Percent 30 2 3 5" xfId="20562" xr:uid="{00000000-0005-0000-0000-0000A3500000}"/>
    <cellStyle name="Percent 30 2 4" xfId="20563" xr:uid="{00000000-0005-0000-0000-0000A4500000}"/>
    <cellStyle name="Percent 30 2 4 2" xfId="20564" xr:uid="{00000000-0005-0000-0000-0000A5500000}"/>
    <cellStyle name="Percent 30 2 4 2 2" xfId="20565" xr:uid="{00000000-0005-0000-0000-0000A6500000}"/>
    <cellStyle name="Percent 30 2 4 2 3" xfId="20566" xr:uid="{00000000-0005-0000-0000-0000A7500000}"/>
    <cellStyle name="Percent 30 2 4 3" xfId="20567" xr:uid="{00000000-0005-0000-0000-0000A8500000}"/>
    <cellStyle name="Percent 30 2 4 4" xfId="20568" xr:uid="{00000000-0005-0000-0000-0000A9500000}"/>
    <cellStyle name="Percent 30 2 5" xfId="20569" xr:uid="{00000000-0005-0000-0000-0000AA500000}"/>
    <cellStyle name="Percent 30 2 5 2" xfId="20570" xr:uid="{00000000-0005-0000-0000-0000AB500000}"/>
    <cellStyle name="Percent 30 2 5 3" xfId="20571" xr:uid="{00000000-0005-0000-0000-0000AC500000}"/>
    <cellStyle name="Percent 30 2 6" xfId="20572" xr:uid="{00000000-0005-0000-0000-0000AD500000}"/>
    <cellStyle name="Percent 30 2 7" xfId="20573" xr:uid="{00000000-0005-0000-0000-0000AE500000}"/>
    <cellStyle name="Percent 30 3" xfId="20574" xr:uid="{00000000-0005-0000-0000-0000AF500000}"/>
    <cellStyle name="Percent 30 3 2" xfId="20575" xr:uid="{00000000-0005-0000-0000-0000B0500000}"/>
    <cellStyle name="Percent 30 3 2 2" xfId="20576" xr:uid="{00000000-0005-0000-0000-0000B1500000}"/>
    <cellStyle name="Percent 30 3 2 2 2" xfId="20577" xr:uid="{00000000-0005-0000-0000-0000B2500000}"/>
    <cellStyle name="Percent 30 3 2 2 2 2" xfId="20578" xr:uid="{00000000-0005-0000-0000-0000B3500000}"/>
    <cellStyle name="Percent 30 3 2 2 2 2 2" xfId="20579" xr:uid="{00000000-0005-0000-0000-0000B4500000}"/>
    <cellStyle name="Percent 30 3 2 2 2 2 3" xfId="20580" xr:uid="{00000000-0005-0000-0000-0000B5500000}"/>
    <cellStyle name="Percent 30 3 2 2 2 3" xfId="20581" xr:uid="{00000000-0005-0000-0000-0000B6500000}"/>
    <cellStyle name="Percent 30 3 2 2 2 4" xfId="20582" xr:uid="{00000000-0005-0000-0000-0000B7500000}"/>
    <cellStyle name="Percent 30 3 2 2 3" xfId="20583" xr:uid="{00000000-0005-0000-0000-0000B8500000}"/>
    <cellStyle name="Percent 30 3 2 2 3 2" xfId="20584" xr:uid="{00000000-0005-0000-0000-0000B9500000}"/>
    <cellStyle name="Percent 30 3 2 2 3 3" xfId="20585" xr:uid="{00000000-0005-0000-0000-0000BA500000}"/>
    <cellStyle name="Percent 30 3 2 2 4" xfId="20586" xr:uid="{00000000-0005-0000-0000-0000BB500000}"/>
    <cellStyle name="Percent 30 3 2 2 5" xfId="20587" xr:uid="{00000000-0005-0000-0000-0000BC500000}"/>
    <cellStyle name="Percent 30 3 2 3" xfId="20588" xr:uid="{00000000-0005-0000-0000-0000BD500000}"/>
    <cellStyle name="Percent 30 3 2 3 2" xfId="20589" xr:uid="{00000000-0005-0000-0000-0000BE500000}"/>
    <cellStyle name="Percent 30 3 2 3 2 2" xfId="20590" xr:uid="{00000000-0005-0000-0000-0000BF500000}"/>
    <cellStyle name="Percent 30 3 2 3 2 3" xfId="20591" xr:uid="{00000000-0005-0000-0000-0000C0500000}"/>
    <cellStyle name="Percent 30 3 2 3 3" xfId="20592" xr:uid="{00000000-0005-0000-0000-0000C1500000}"/>
    <cellStyle name="Percent 30 3 2 3 4" xfId="20593" xr:uid="{00000000-0005-0000-0000-0000C2500000}"/>
    <cellStyle name="Percent 30 3 2 4" xfId="20594" xr:uid="{00000000-0005-0000-0000-0000C3500000}"/>
    <cellStyle name="Percent 30 3 2 4 2" xfId="20595" xr:uid="{00000000-0005-0000-0000-0000C4500000}"/>
    <cellStyle name="Percent 30 3 2 4 3" xfId="20596" xr:uid="{00000000-0005-0000-0000-0000C5500000}"/>
    <cellStyle name="Percent 30 3 2 5" xfId="20597" xr:uid="{00000000-0005-0000-0000-0000C6500000}"/>
    <cellStyle name="Percent 30 3 2 6" xfId="20598" xr:uid="{00000000-0005-0000-0000-0000C7500000}"/>
    <cellStyle name="Percent 30 3 3" xfId="20599" xr:uid="{00000000-0005-0000-0000-0000C8500000}"/>
    <cellStyle name="Percent 30 3 3 2" xfId="20600" xr:uid="{00000000-0005-0000-0000-0000C9500000}"/>
    <cellStyle name="Percent 30 3 3 2 2" xfId="20601" xr:uid="{00000000-0005-0000-0000-0000CA500000}"/>
    <cellStyle name="Percent 30 3 3 2 2 2" xfId="20602" xr:uid="{00000000-0005-0000-0000-0000CB500000}"/>
    <cellStyle name="Percent 30 3 3 2 2 3" xfId="20603" xr:uid="{00000000-0005-0000-0000-0000CC500000}"/>
    <cellStyle name="Percent 30 3 3 2 3" xfId="20604" xr:uid="{00000000-0005-0000-0000-0000CD500000}"/>
    <cellStyle name="Percent 30 3 3 2 4" xfId="20605" xr:uid="{00000000-0005-0000-0000-0000CE500000}"/>
    <cellStyle name="Percent 30 3 3 3" xfId="20606" xr:uid="{00000000-0005-0000-0000-0000CF500000}"/>
    <cellStyle name="Percent 30 3 3 3 2" xfId="20607" xr:uid="{00000000-0005-0000-0000-0000D0500000}"/>
    <cellStyle name="Percent 30 3 3 3 3" xfId="20608" xr:uid="{00000000-0005-0000-0000-0000D1500000}"/>
    <cellStyle name="Percent 30 3 3 4" xfId="20609" xr:uid="{00000000-0005-0000-0000-0000D2500000}"/>
    <cellStyle name="Percent 30 3 3 5" xfId="20610" xr:uid="{00000000-0005-0000-0000-0000D3500000}"/>
    <cellStyle name="Percent 30 3 4" xfId="20611" xr:uid="{00000000-0005-0000-0000-0000D4500000}"/>
    <cellStyle name="Percent 30 3 4 2" xfId="20612" xr:uid="{00000000-0005-0000-0000-0000D5500000}"/>
    <cellStyle name="Percent 30 3 4 2 2" xfId="20613" xr:uid="{00000000-0005-0000-0000-0000D6500000}"/>
    <cellStyle name="Percent 30 3 4 2 3" xfId="20614" xr:uid="{00000000-0005-0000-0000-0000D7500000}"/>
    <cellStyle name="Percent 30 3 4 3" xfId="20615" xr:uid="{00000000-0005-0000-0000-0000D8500000}"/>
    <cellStyle name="Percent 30 3 4 4" xfId="20616" xr:uid="{00000000-0005-0000-0000-0000D9500000}"/>
    <cellStyle name="Percent 30 3 5" xfId="20617" xr:uid="{00000000-0005-0000-0000-0000DA500000}"/>
    <cellStyle name="Percent 30 3 5 2" xfId="20618" xr:uid="{00000000-0005-0000-0000-0000DB500000}"/>
    <cellStyle name="Percent 30 3 5 3" xfId="20619" xr:uid="{00000000-0005-0000-0000-0000DC500000}"/>
    <cellStyle name="Percent 30 3 6" xfId="20620" xr:uid="{00000000-0005-0000-0000-0000DD500000}"/>
    <cellStyle name="Percent 30 3 7" xfId="20621" xr:uid="{00000000-0005-0000-0000-0000DE500000}"/>
    <cellStyle name="Percent 30 4" xfId="20622" xr:uid="{00000000-0005-0000-0000-0000DF500000}"/>
    <cellStyle name="Percent 30 4 2" xfId="20623" xr:uid="{00000000-0005-0000-0000-0000E0500000}"/>
    <cellStyle name="Percent 30 4 2 2" xfId="20624" xr:uid="{00000000-0005-0000-0000-0000E1500000}"/>
    <cellStyle name="Percent 30 4 2 2 2" xfId="20625" xr:uid="{00000000-0005-0000-0000-0000E2500000}"/>
    <cellStyle name="Percent 30 4 2 2 2 2" xfId="20626" xr:uid="{00000000-0005-0000-0000-0000E3500000}"/>
    <cellStyle name="Percent 30 4 2 2 2 2 2" xfId="20627" xr:uid="{00000000-0005-0000-0000-0000E4500000}"/>
    <cellStyle name="Percent 30 4 2 2 2 2 3" xfId="20628" xr:uid="{00000000-0005-0000-0000-0000E5500000}"/>
    <cellStyle name="Percent 30 4 2 2 2 3" xfId="20629" xr:uid="{00000000-0005-0000-0000-0000E6500000}"/>
    <cellStyle name="Percent 30 4 2 2 2 4" xfId="20630" xr:uid="{00000000-0005-0000-0000-0000E7500000}"/>
    <cellStyle name="Percent 30 4 2 2 3" xfId="20631" xr:uid="{00000000-0005-0000-0000-0000E8500000}"/>
    <cellStyle name="Percent 30 4 2 2 3 2" xfId="20632" xr:uid="{00000000-0005-0000-0000-0000E9500000}"/>
    <cellStyle name="Percent 30 4 2 2 3 3" xfId="20633" xr:uid="{00000000-0005-0000-0000-0000EA500000}"/>
    <cellStyle name="Percent 30 4 2 2 4" xfId="20634" xr:uid="{00000000-0005-0000-0000-0000EB500000}"/>
    <cellStyle name="Percent 30 4 2 2 5" xfId="20635" xr:uid="{00000000-0005-0000-0000-0000EC500000}"/>
    <cellStyle name="Percent 30 4 2 3" xfId="20636" xr:uid="{00000000-0005-0000-0000-0000ED500000}"/>
    <cellStyle name="Percent 30 4 2 3 2" xfId="20637" xr:uid="{00000000-0005-0000-0000-0000EE500000}"/>
    <cellStyle name="Percent 30 4 2 3 2 2" xfId="20638" xr:uid="{00000000-0005-0000-0000-0000EF500000}"/>
    <cellStyle name="Percent 30 4 2 3 2 3" xfId="20639" xr:uid="{00000000-0005-0000-0000-0000F0500000}"/>
    <cellStyle name="Percent 30 4 2 3 3" xfId="20640" xr:uid="{00000000-0005-0000-0000-0000F1500000}"/>
    <cellStyle name="Percent 30 4 2 3 4" xfId="20641" xr:uid="{00000000-0005-0000-0000-0000F2500000}"/>
    <cellStyle name="Percent 30 4 2 4" xfId="20642" xr:uid="{00000000-0005-0000-0000-0000F3500000}"/>
    <cellStyle name="Percent 30 4 2 4 2" xfId="20643" xr:uid="{00000000-0005-0000-0000-0000F4500000}"/>
    <cellStyle name="Percent 30 4 2 4 3" xfId="20644" xr:uid="{00000000-0005-0000-0000-0000F5500000}"/>
    <cellStyle name="Percent 30 4 2 5" xfId="20645" xr:uid="{00000000-0005-0000-0000-0000F6500000}"/>
    <cellStyle name="Percent 30 4 2 6" xfId="20646" xr:uid="{00000000-0005-0000-0000-0000F7500000}"/>
    <cellStyle name="Percent 30 5" xfId="20647" xr:uid="{00000000-0005-0000-0000-0000F8500000}"/>
    <cellStyle name="Percent 30 5 2" xfId="20648" xr:uid="{00000000-0005-0000-0000-0000F9500000}"/>
    <cellStyle name="Percent 30 5 2 2" xfId="20649" xr:uid="{00000000-0005-0000-0000-0000FA500000}"/>
    <cellStyle name="Percent 30 5 2 2 2" xfId="20650" xr:uid="{00000000-0005-0000-0000-0000FB500000}"/>
    <cellStyle name="Percent 30 5 2 2 2 2" xfId="20651" xr:uid="{00000000-0005-0000-0000-0000FC500000}"/>
    <cellStyle name="Percent 30 5 2 2 2 3" xfId="20652" xr:uid="{00000000-0005-0000-0000-0000FD500000}"/>
    <cellStyle name="Percent 30 5 2 2 3" xfId="20653" xr:uid="{00000000-0005-0000-0000-0000FE500000}"/>
    <cellStyle name="Percent 30 5 2 2 4" xfId="20654" xr:uid="{00000000-0005-0000-0000-0000FF500000}"/>
    <cellStyle name="Percent 30 5 2 3" xfId="20655" xr:uid="{00000000-0005-0000-0000-000000510000}"/>
    <cellStyle name="Percent 30 5 2 3 2" xfId="20656" xr:uid="{00000000-0005-0000-0000-000001510000}"/>
    <cellStyle name="Percent 30 5 2 3 3" xfId="20657" xr:uid="{00000000-0005-0000-0000-000002510000}"/>
    <cellStyle name="Percent 30 5 2 4" xfId="20658" xr:uid="{00000000-0005-0000-0000-000003510000}"/>
    <cellStyle name="Percent 30 5 2 5" xfId="20659" xr:uid="{00000000-0005-0000-0000-000004510000}"/>
    <cellStyle name="Percent 30 5 3" xfId="20660" xr:uid="{00000000-0005-0000-0000-000005510000}"/>
    <cellStyle name="Percent 30 5 3 2" xfId="20661" xr:uid="{00000000-0005-0000-0000-000006510000}"/>
    <cellStyle name="Percent 30 5 3 2 2" xfId="20662" xr:uid="{00000000-0005-0000-0000-000007510000}"/>
    <cellStyle name="Percent 30 5 3 2 3" xfId="20663" xr:uid="{00000000-0005-0000-0000-000008510000}"/>
    <cellStyle name="Percent 30 5 3 3" xfId="20664" xr:uid="{00000000-0005-0000-0000-000009510000}"/>
    <cellStyle name="Percent 30 5 3 4" xfId="20665" xr:uid="{00000000-0005-0000-0000-00000A510000}"/>
    <cellStyle name="Percent 30 5 4" xfId="20666" xr:uid="{00000000-0005-0000-0000-00000B510000}"/>
    <cellStyle name="Percent 30 5 4 2" xfId="20667" xr:uid="{00000000-0005-0000-0000-00000C510000}"/>
    <cellStyle name="Percent 30 5 4 3" xfId="20668" xr:uid="{00000000-0005-0000-0000-00000D510000}"/>
    <cellStyle name="Percent 30 5 5" xfId="20669" xr:uid="{00000000-0005-0000-0000-00000E510000}"/>
    <cellStyle name="Percent 30 5 6" xfId="20670" xr:uid="{00000000-0005-0000-0000-00000F510000}"/>
    <cellStyle name="Percent 31" xfId="20671" xr:uid="{00000000-0005-0000-0000-000010510000}"/>
    <cellStyle name="Percent 31 2" xfId="20672" xr:uid="{00000000-0005-0000-0000-000011510000}"/>
    <cellStyle name="Percent 31 2 2" xfId="20673" xr:uid="{00000000-0005-0000-0000-000012510000}"/>
    <cellStyle name="Percent 31 2 2 2" xfId="20674" xr:uid="{00000000-0005-0000-0000-000013510000}"/>
    <cellStyle name="Percent 31 2 2 2 2" xfId="20675" xr:uid="{00000000-0005-0000-0000-000014510000}"/>
    <cellStyle name="Percent 31 2 2 2 2 2" xfId="20676" xr:uid="{00000000-0005-0000-0000-000015510000}"/>
    <cellStyle name="Percent 31 2 2 2 2 2 2" xfId="20677" xr:uid="{00000000-0005-0000-0000-000016510000}"/>
    <cellStyle name="Percent 31 2 2 2 2 2 3" xfId="20678" xr:uid="{00000000-0005-0000-0000-000017510000}"/>
    <cellStyle name="Percent 31 2 2 2 2 3" xfId="20679" xr:uid="{00000000-0005-0000-0000-000018510000}"/>
    <cellStyle name="Percent 31 2 2 2 2 4" xfId="20680" xr:uid="{00000000-0005-0000-0000-000019510000}"/>
    <cellStyle name="Percent 31 2 2 2 3" xfId="20681" xr:uid="{00000000-0005-0000-0000-00001A510000}"/>
    <cellStyle name="Percent 31 2 2 2 3 2" xfId="20682" xr:uid="{00000000-0005-0000-0000-00001B510000}"/>
    <cellStyle name="Percent 31 2 2 2 3 3" xfId="20683" xr:uid="{00000000-0005-0000-0000-00001C510000}"/>
    <cellStyle name="Percent 31 2 2 2 4" xfId="20684" xr:uid="{00000000-0005-0000-0000-00001D510000}"/>
    <cellStyle name="Percent 31 2 2 2 5" xfId="20685" xr:uid="{00000000-0005-0000-0000-00001E510000}"/>
    <cellStyle name="Percent 31 2 2 3" xfId="20686" xr:uid="{00000000-0005-0000-0000-00001F510000}"/>
    <cellStyle name="Percent 31 2 2 3 2" xfId="20687" xr:uid="{00000000-0005-0000-0000-000020510000}"/>
    <cellStyle name="Percent 31 2 2 3 2 2" xfId="20688" xr:uid="{00000000-0005-0000-0000-000021510000}"/>
    <cellStyle name="Percent 31 2 2 3 2 3" xfId="20689" xr:uid="{00000000-0005-0000-0000-000022510000}"/>
    <cellStyle name="Percent 31 2 2 3 3" xfId="20690" xr:uid="{00000000-0005-0000-0000-000023510000}"/>
    <cellStyle name="Percent 31 2 2 3 4" xfId="20691" xr:uid="{00000000-0005-0000-0000-000024510000}"/>
    <cellStyle name="Percent 31 2 2 4" xfId="20692" xr:uid="{00000000-0005-0000-0000-000025510000}"/>
    <cellStyle name="Percent 31 2 2 4 2" xfId="20693" xr:uid="{00000000-0005-0000-0000-000026510000}"/>
    <cellStyle name="Percent 31 2 2 4 3" xfId="20694" xr:uid="{00000000-0005-0000-0000-000027510000}"/>
    <cellStyle name="Percent 31 2 2 5" xfId="20695" xr:uid="{00000000-0005-0000-0000-000028510000}"/>
    <cellStyle name="Percent 31 2 2 6" xfId="20696" xr:uid="{00000000-0005-0000-0000-000029510000}"/>
    <cellStyle name="Percent 31 2 3" xfId="20697" xr:uid="{00000000-0005-0000-0000-00002A510000}"/>
    <cellStyle name="Percent 31 2 3 2" xfId="20698" xr:uid="{00000000-0005-0000-0000-00002B510000}"/>
    <cellStyle name="Percent 31 2 3 2 2" xfId="20699" xr:uid="{00000000-0005-0000-0000-00002C510000}"/>
    <cellStyle name="Percent 31 2 3 2 2 2" xfId="20700" xr:uid="{00000000-0005-0000-0000-00002D510000}"/>
    <cellStyle name="Percent 31 2 3 2 2 3" xfId="20701" xr:uid="{00000000-0005-0000-0000-00002E510000}"/>
    <cellStyle name="Percent 31 2 3 2 3" xfId="20702" xr:uid="{00000000-0005-0000-0000-00002F510000}"/>
    <cellStyle name="Percent 31 2 3 2 4" xfId="20703" xr:uid="{00000000-0005-0000-0000-000030510000}"/>
    <cellStyle name="Percent 31 2 3 3" xfId="20704" xr:uid="{00000000-0005-0000-0000-000031510000}"/>
    <cellStyle name="Percent 31 2 3 3 2" xfId="20705" xr:uid="{00000000-0005-0000-0000-000032510000}"/>
    <cellStyle name="Percent 31 2 3 3 3" xfId="20706" xr:uid="{00000000-0005-0000-0000-000033510000}"/>
    <cellStyle name="Percent 31 2 3 4" xfId="20707" xr:uid="{00000000-0005-0000-0000-000034510000}"/>
    <cellStyle name="Percent 31 2 3 5" xfId="20708" xr:uid="{00000000-0005-0000-0000-000035510000}"/>
    <cellStyle name="Percent 31 2 4" xfId="20709" xr:uid="{00000000-0005-0000-0000-000036510000}"/>
    <cellStyle name="Percent 31 2 4 2" xfId="20710" xr:uid="{00000000-0005-0000-0000-000037510000}"/>
    <cellStyle name="Percent 31 2 4 2 2" xfId="20711" xr:uid="{00000000-0005-0000-0000-000038510000}"/>
    <cellStyle name="Percent 31 2 4 2 3" xfId="20712" xr:uid="{00000000-0005-0000-0000-000039510000}"/>
    <cellStyle name="Percent 31 2 4 3" xfId="20713" xr:uid="{00000000-0005-0000-0000-00003A510000}"/>
    <cellStyle name="Percent 31 2 4 4" xfId="20714" xr:uid="{00000000-0005-0000-0000-00003B510000}"/>
    <cellStyle name="Percent 31 2 5" xfId="20715" xr:uid="{00000000-0005-0000-0000-00003C510000}"/>
    <cellStyle name="Percent 31 2 5 2" xfId="20716" xr:uid="{00000000-0005-0000-0000-00003D510000}"/>
    <cellStyle name="Percent 31 2 5 3" xfId="20717" xr:uid="{00000000-0005-0000-0000-00003E510000}"/>
    <cellStyle name="Percent 31 2 6" xfId="20718" xr:uid="{00000000-0005-0000-0000-00003F510000}"/>
    <cellStyle name="Percent 31 2 7" xfId="20719" xr:uid="{00000000-0005-0000-0000-000040510000}"/>
    <cellStyle name="Percent 31 3" xfId="20720" xr:uid="{00000000-0005-0000-0000-000041510000}"/>
    <cellStyle name="Percent 31 3 2" xfId="20721" xr:uid="{00000000-0005-0000-0000-000042510000}"/>
    <cellStyle name="Percent 31 3 2 2" xfId="20722" xr:uid="{00000000-0005-0000-0000-000043510000}"/>
    <cellStyle name="Percent 31 3 2 2 2" xfId="20723" xr:uid="{00000000-0005-0000-0000-000044510000}"/>
    <cellStyle name="Percent 31 3 2 2 2 2" xfId="20724" xr:uid="{00000000-0005-0000-0000-000045510000}"/>
    <cellStyle name="Percent 31 3 2 2 2 2 2" xfId="20725" xr:uid="{00000000-0005-0000-0000-000046510000}"/>
    <cellStyle name="Percent 31 3 2 2 2 2 3" xfId="20726" xr:uid="{00000000-0005-0000-0000-000047510000}"/>
    <cellStyle name="Percent 31 3 2 2 2 3" xfId="20727" xr:uid="{00000000-0005-0000-0000-000048510000}"/>
    <cellStyle name="Percent 31 3 2 2 2 4" xfId="20728" xr:uid="{00000000-0005-0000-0000-000049510000}"/>
    <cellStyle name="Percent 31 3 2 2 3" xfId="20729" xr:uid="{00000000-0005-0000-0000-00004A510000}"/>
    <cellStyle name="Percent 31 3 2 2 3 2" xfId="20730" xr:uid="{00000000-0005-0000-0000-00004B510000}"/>
    <cellStyle name="Percent 31 3 2 2 3 3" xfId="20731" xr:uid="{00000000-0005-0000-0000-00004C510000}"/>
    <cellStyle name="Percent 31 3 2 2 4" xfId="20732" xr:uid="{00000000-0005-0000-0000-00004D510000}"/>
    <cellStyle name="Percent 31 3 2 2 5" xfId="20733" xr:uid="{00000000-0005-0000-0000-00004E510000}"/>
    <cellStyle name="Percent 31 3 2 3" xfId="20734" xr:uid="{00000000-0005-0000-0000-00004F510000}"/>
    <cellStyle name="Percent 31 3 2 3 2" xfId="20735" xr:uid="{00000000-0005-0000-0000-000050510000}"/>
    <cellStyle name="Percent 31 3 2 3 2 2" xfId="20736" xr:uid="{00000000-0005-0000-0000-000051510000}"/>
    <cellStyle name="Percent 31 3 2 3 2 3" xfId="20737" xr:uid="{00000000-0005-0000-0000-000052510000}"/>
    <cellStyle name="Percent 31 3 2 3 3" xfId="20738" xr:uid="{00000000-0005-0000-0000-000053510000}"/>
    <cellStyle name="Percent 31 3 2 3 4" xfId="20739" xr:uid="{00000000-0005-0000-0000-000054510000}"/>
    <cellStyle name="Percent 31 3 2 4" xfId="20740" xr:uid="{00000000-0005-0000-0000-000055510000}"/>
    <cellStyle name="Percent 31 3 2 4 2" xfId="20741" xr:uid="{00000000-0005-0000-0000-000056510000}"/>
    <cellStyle name="Percent 31 3 2 4 3" xfId="20742" xr:uid="{00000000-0005-0000-0000-000057510000}"/>
    <cellStyle name="Percent 31 3 2 5" xfId="20743" xr:uid="{00000000-0005-0000-0000-000058510000}"/>
    <cellStyle name="Percent 31 3 2 6" xfId="20744" xr:uid="{00000000-0005-0000-0000-000059510000}"/>
    <cellStyle name="Percent 31 3 3" xfId="20745" xr:uid="{00000000-0005-0000-0000-00005A510000}"/>
    <cellStyle name="Percent 31 3 3 2" xfId="20746" xr:uid="{00000000-0005-0000-0000-00005B510000}"/>
    <cellStyle name="Percent 31 3 3 2 2" xfId="20747" xr:uid="{00000000-0005-0000-0000-00005C510000}"/>
    <cellStyle name="Percent 31 3 3 2 2 2" xfId="20748" xr:uid="{00000000-0005-0000-0000-00005D510000}"/>
    <cellStyle name="Percent 31 3 3 2 2 3" xfId="20749" xr:uid="{00000000-0005-0000-0000-00005E510000}"/>
    <cellStyle name="Percent 31 3 3 2 3" xfId="20750" xr:uid="{00000000-0005-0000-0000-00005F510000}"/>
    <cellStyle name="Percent 31 3 3 2 4" xfId="20751" xr:uid="{00000000-0005-0000-0000-000060510000}"/>
    <cellStyle name="Percent 31 3 3 3" xfId="20752" xr:uid="{00000000-0005-0000-0000-000061510000}"/>
    <cellStyle name="Percent 31 3 3 3 2" xfId="20753" xr:uid="{00000000-0005-0000-0000-000062510000}"/>
    <cellStyle name="Percent 31 3 3 3 3" xfId="20754" xr:uid="{00000000-0005-0000-0000-000063510000}"/>
    <cellStyle name="Percent 31 3 3 4" xfId="20755" xr:uid="{00000000-0005-0000-0000-000064510000}"/>
    <cellStyle name="Percent 31 3 3 5" xfId="20756" xr:uid="{00000000-0005-0000-0000-000065510000}"/>
    <cellStyle name="Percent 31 3 4" xfId="20757" xr:uid="{00000000-0005-0000-0000-000066510000}"/>
    <cellStyle name="Percent 31 3 4 2" xfId="20758" xr:uid="{00000000-0005-0000-0000-000067510000}"/>
    <cellStyle name="Percent 31 3 4 2 2" xfId="20759" xr:uid="{00000000-0005-0000-0000-000068510000}"/>
    <cellStyle name="Percent 31 3 4 2 3" xfId="20760" xr:uid="{00000000-0005-0000-0000-000069510000}"/>
    <cellStyle name="Percent 31 3 4 3" xfId="20761" xr:uid="{00000000-0005-0000-0000-00006A510000}"/>
    <cellStyle name="Percent 31 3 4 4" xfId="20762" xr:uid="{00000000-0005-0000-0000-00006B510000}"/>
    <cellStyle name="Percent 31 3 5" xfId="20763" xr:uid="{00000000-0005-0000-0000-00006C510000}"/>
    <cellStyle name="Percent 31 3 5 2" xfId="20764" xr:uid="{00000000-0005-0000-0000-00006D510000}"/>
    <cellStyle name="Percent 31 3 5 3" xfId="20765" xr:uid="{00000000-0005-0000-0000-00006E510000}"/>
    <cellStyle name="Percent 31 3 6" xfId="20766" xr:uid="{00000000-0005-0000-0000-00006F510000}"/>
    <cellStyle name="Percent 31 3 7" xfId="20767" xr:uid="{00000000-0005-0000-0000-000070510000}"/>
    <cellStyle name="Percent 31 4" xfId="20768" xr:uid="{00000000-0005-0000-0000-000071510000}"/>
    <cellStyle name="Percent 31 4 2" xfId="20769" xr:uid="{00000000-0005-0000-0000-000072510000}"/>
    <cellStyle name="Percent 31 4 2 2" xfId="20770" xr:uid="{00000000-0005-0000-0000-000073510000}"/>
    <cellStyle name="Percent 31 4 2 2 2" xfId="20771" xr:uid="{00000000-0005-0000-0000-000074510000}"/>
    <cellStyle name="Percent 31 4 2 2 2 2" xfId="20772" xr:uid="{00000000-0005-0000-0000-000075510000}"/>
    <cellStyle name="Percent 31 4 2 2 2 2 2" xfId="20773" xr:uid="{00000000-0005-0000-0000-000076510000}"/>
    <cellStyle name="Percent 31 4 2 2 2 2 3" xfId="20774" xr:uid="{00000000-0005-0000-0000-000077510000}"/>
    <cellStyle name="Percent 31 4 2 2 2 3" xfId="20775" xr:uid="{00000000-0005-0000-0000-000078510000}"/>
    <cellStyle name="Percent 31 4 2 2 2 4" xfId="20776" xr:uid="{00000000-0005-0000-0000-000079510000}"/>
    <cellStyle name="Percent 31 4 2 2 3" xfId="20777" xr:uid="{00000000-0005-0000-0000-00007A510000}"/>
    <cellStyle name="Percent 31 4 2 2 3 2" xfId="20778" xr:uid="{00000000-0005-0000-0000-00007B510000}"/>
    <cellStyle name="Percent 31 4 2 2 3 3" xfId="20779" xr:uid="{00000000-0005-0000-0000-00007C510000}"/>
    <cellStyle name="Percent 31 4 2 2 4" xfId="20780" xr:uid="{00000000-0005-0000-0000-00007D510000}"/>
    <cellStyle name="Percent 31 4 2 2 5" xfId="20781" xr:uid="{00000000-0005-0000-0000-00007E510000}"/>
    <cellStyle name="Percent 31 4 2 3" xfId="20782" xr:uid="{00000000-0005-0000-0000-00007F510000}"/>
    <cellStyle name="Percent 31 4 2 3 2" xfId="20783" xr:uid="{00000000-0005-0000-0000-000080510000}"/>
    <cellStyle name="Percent 31 4 2 3 2 2" xfId="20784" xr:uid="{00000000-0005-0000-0000-000081510000}"/>
    <cellStyle name="Percent 31 4 2 3 2 3" xfId="20785" xr:uid="{00000000-0005-0000-0000-000082510000}"/>
    <cellStyle name="Percent 31 4 2 3 3" xfId="20786" xr:uid="{00000000-0005-0000-0000-000083510000}"/>
    <cellStyle name="Percent 31 4 2 3 4" xfId="20787" xr:uid="{00000000-0005-0000-0000-000084510000}"/>
    <cellStyle name="Percent 31 4 2 4" xfId="20788" xr:uid="{00000000-0005-0000-0000-000085510000}"/>
    <cellStyle name="Percent 31 4 2 4 2" xfId="20789" xr:uid="{00000000-0005-0000-0000-000086510000}"/>
    <cellStyle name="Percent 31 4 2 4 3" xfId="20790" xr:uid="{00000000-0005-0000-0000-000087510000}"/>
    <cellStyle name="Percent 31 4 2 5" xfId="20791" xr:uid="{00000000-0005-0000-0000-000088510000}"/>
    <cellStyle name="Percent 31 4 2 6" xfId="20792" xr:uid="{00000000-0005-0000-0000-000089510000}"/>
    <cellStyle name="Percent 31 5" xfId="20793" xr:uid="{00000000-0005-0000-0000-00008A510000}"/>
    <cellStyle name="Percent 31 5 2" xfId="20794" xr:uid="{00000000-0005-0000-0000-00008B510000}"/>
    <cellStyle name="Percent 31 5 2 2" xfId="20795" xr:uid="{00000000-0005-0000-0000-00008C510000}"/>
    <cellStyle name="Percent 31 5 2 2 2" xfId="20796" xr:uid="{00000000-0005-0000-0000-00008D510000}"/>
    <cellStyle name="Percent 31 5 2 2 2 2" xfId="20797" xr:uid="{00000000-0005-0000-0000-00008E510000}"/>
    <cellStyle name="Percent 31 5 2 2 2 3" xfId="20798" xr:uid="{00000000-0005-0000-0000-00008F510000}"/>
    <cellStyle name="Percent 31 5 2 2 3" xfId="20799" xr:uid="{00000000-0005-0000-0000-000090510000}"/>
    <cellStyle name="Percent 31 5 2 2 4" xfId="20800" xr:uid="{00000000-0005-0000-0000-000091510000}"/>
    <cellStyle name="Percent 31 5 2 3" xfId="20801" xr:uid="{00000000-0005-0000-0000-000092510000}"/>
    <cellStyle name="Percent 31 5 2 3 2" xfId="20802" xr:uid="{00000000-0005-0000-0000-000093510000}"/>
    <cellStyle name="Percent 31 5 2 3 3" xfId="20803" xr:uid="{00000000-0005-0000-0000-000094510000}"/>
    <cellStyle name="Percent 31 5 2 4" xfId="20804" xr:uid="{00000000-0005-0000-0000-000095510000}"/>
    <cellStyle name="Percent 31 5 2 5" xfId="20805" xr:uid="{00000000-0005-0000-0000-000096510000}"/>
    <cellStyle name="Percent 31 5 3" xfId="20806" xr:uid="{00000000-0005-0000-0000-000097510000}"/>
    <cellStyle name="Percent 31 5 3 2" xfId="20807" xr:uid="{00000000-0005-0000-0000-000098510000}"/>
    <cellStyle name="Percent 31 5 3 2 2" xfId="20808" xr:uid="{00000000-0005-0000-0000-000099510000}"/>
    <cellStyle name="Percent 31 5 3 2 3" xfId="20809" xr:uid="{00000000-0005-0000-0000-00009A510000}"/>
    <cellStyle name="Percent 31 5 3 3" xfId="20810" xr:uid="{00000000-0005-0000-0000-00009B510000}"/>
    <cellStyle name="Percent 31 5 3 4" xfId="20811" xr:uid="{00000000-0005-0000-0000-00009C510000}"/>
    <cellStyle name="Percent 31 5 4" xfId="20812" xr:uid="{00000000-0005-0000-0000-00009D510000}"/>
    <cellStyle name="Percent 31 5 4 2" xfId="20813" xr:uid="{00000000-0005-0000-0000-00009E510000}"/>
    <cellStyle name="Percent 31 5 4 3" xfId="20814" xr:uid="{00000000-0005-0000-0000-00009F510000}"/>
    <cellStyle name="Percent 31 5 5" xfId="20815" xr:uid="{00000000-0005-0000-0000-0000A0510000}"/>
    <cellStyle name="Percent 31 5 6" xfId="20816" xr:uid="{00000000-0005-0000-0000-0000A1510000}"/>
    <cellStyle name="Percent 32" xfId="20817" xr:uid="{00000000-0005-0000-0000-0000A2510000}"/>
    <cellStyle name="Percent 32 2" xfId="20818" xr:uid="{00000000-0005-0000-0000-0000A3510000}"/>
    <cellStyle name="Percent 32 2 2" xfId="20819" xr:uid="{00000000-0005-0000-0000-0000A4510000}"/>
    <cellStyle name="Percent 32 2 2 2" xfId="20820" xr:uid="{00000000-0005-0000-0000-0000A5510000}"/>
    <cellStyle name="Percent 32 2 2 2 2" xfId="20821" xr:uid="{00000000-0005-0000-0000-0000A6510000}"/>
    <cellStyle name="Percent 32 2 2 2 2 2" xfId="20822" xr:uid="{00000000-0005-0000-0000-0000A7510000}"/>
    <cellStyle name="Percent 32 2 2 2 2 2 2" xfId="20823" xr:uid="{00000000-0005-0000-0000-0000A8510000}"/>
    <cellStyle name="Percent 32 2 2 2 2 2 3" xfId="20824" xr:uid="{00000000-0005-0000-0000-0000A9510000}"/>
    <cellStyle name="Percent 32 2 2 2 2 3" xfId="20825" xr:uid="{00000000-0005-0000-0000-0000AA510000}"/>
    <cellStyle name="Percent 32 2 2 2 2 4" xfId="20826" xr:uid="{00000000-0005-0000-0000-0000AB510000}"/>
    <cellStyle name="Percent 32 2 2 2 3" xfId="20827" xr:uid="{00000000-0005-0000-0000-0000AC510000}"/>
    <cellStyle name="Percent 32 2 2 2 3 2" xfId="20828" xr:uid="{00000000-0005-0000-0000-0000AD510000}"/>
    <cellStyle name="Percent 32 2 2 2 3 3" xfId="20829" xr:uid="{00000000-0005-0000-0000-0000AE510000}"/>
    <cellStyle name="Percent 32 2 2 2 4" xfId="20830" xr:uid="{00000000-0005-0000-0000-0000AF510000}"/>
    <cellStyle name="Percent 32 2 2 2 5" xfId="20831" xr:uid="{00000000-0005-0000-0000-0000B0510000}"/>
    <cellStyle name="Percent 32 2 2 3" xfId="20832" xr:uid="{00000000-0005-0000-0000-0000B1510000}"/>
    <cellStyle name="Percent 32 2 2 3 2" xfId="20833" xr:uid="{00000000-0005-0000-0000-0000B2510000}"/>
    <cellStyle name="Percent 32 2 2 3 2 2" xfId="20834" xr:uid="{00000000-0005-0000-0000-0000B3510000}"/>
    <cellStyle name="Percent 32 2 2 3 2 3" xfId="20835" xr:uid="{00000000-0005-0000-0000-0000B4510000}"/>
    <cellStyle name="Percent 32 2 2 3 3" xfId="20836" xr:uid="{00000000-0005-0000-0000-0000B5510000}"/>
    <cellStyle name="Percent 32 2 2 3 4" xfId="20837" xr:uid="{00000000-0005-0000-0000-0000B6510000}"/>
    <cellStyle name="Percent 32 2 2 4" xfId="20838" xr:uid="{00000000-0005-0000-0000-0000B7510000}"/>
    <cellStyle name="Percent 32 2 2 4 2" xfId="20839" xr:uid="{00000000-0005-0000-0000-0000B8510000}"/>
    <cellStyle name="Percent 32 2 2 4 3" xfId="20840" xr:uid="{00000000-0005-0000-0000-0000B9510000}"/>
    <cellStyle name="Percent 32 2 2 5" xfId="20841" xr:uid="{00000000-0005-0000-0000-0000BA510000}"/>
    <cellStyle name="Percent 32 2 2 6" xfId="20842" xr:uid="{00000000-0005-0000-0000-0000BB510000}"/>
    <cellStyle name="Percent 32 2 3" xfId="20843" xr:uid="{00000000-0005-0000-0000-0000BC510000}"/>
    <cellStyle name="Percent 32 2 3 2" xfId="20844" xr:uid="{00000000-0005-0000-0000-0000BD510000}"/>
    <cellStyle name="Percent 32 2 3 2 2" xfId="20845" xr:uid="{00000000-0005-0000-0000-0000BE510000}"/>
    <cellStyle name="Percent 32 2 3 2 2 2" xfId="20846" xr:uid="{00000000-0005-0000-0000-0000BF510000}"/>
    <cellStyle name="Percent 32 2 3 2 2 3" xfId="20847" xr:uid="{00000000-0005-0000-0000-0000C0510000}"/>
    <cellStyle name="Percent 32 2 3 2 3" xfId="20848" xr:uid="{00000000-0005-0000-0000-0000C1510000}"/>
    <cellStyle name="Percent 32 2 3 2 4" xfId="20849" xr:uid="{00000000-0005-0000-0000-0000C2510000}"/>
    <cellStyle name="Percent 32 2 3 3" xfId="20850" xr:uid="{00000000-0005-0000-0000-0000C3510000}"/>
    <cellStyle name="Percent 32 2 3 3 2" xfId="20851" xr:uid="{00000000-0005-0000-0000-0000C4510000}"/>
    <cellStyle name="Percent 32 2 3 3 3" xfId="20852" xr:uid="{00000000-0005-0000-0000-0000C5510000}"/>
    <cellStyle name="Percent 32 2 3 4" xfId="20853" xr:uid="{00000000-0005-0000-0000-0000C6510000}"/>
    <cellStyle name="Percent 32 2 3 5" xfId="20854" xr:uid="{00000000-0005-0000-0000-0000C7510000}"/>
    <cellStyle name="Percent 32 2 4" xfId="20855" xr:uid="{00000000-0005-0000-0000-0000C8510000}"/>
    <cellStyle name="Percent 32 2 4 2" xfId="20856" xr:uid="{00000000-0005-0000-0000-0000C9510000}"/>
    <cellStyle name="Percent 32 2 4 2 2" xfId="20857" xr:uid="{00000000-0005-0000-0000-0000CA510000}"/>
    <cellStyle name="Percent 32 2 4 2 3" xfId="20858" xr:uid="{00000000-0005-0000-0000-0000CB510000}"/>
    <cellStyle name="Percent 32 2 4 3" xfId="20859" xr:uid="{00000000-0005-0000-0000-0000CC510000}"/>
    <cellStyle name="Percent 32 2 4 4" xfId="20860" xr:uid="{00000000-0005-0000-0000-0000CD510000}"/>
    <cellStyle name="Percent 32 2 5" xfId="20861" xr:uid="{00000000-0005-0000-0000-0000CE510000}"/>
    <cellStyle name="Percent 32 2 5 2" xfId="20862" xr:uid="{00000000-0005-0000-0000-0000CF510000}"/>
    <cellStyle name="Percent 32 2 5 3" xfId="20863" xr:uid="{00000000-0005-0000-0000-0000D0510000}"/>
    <cellStyle name="Percent 32 2 6" xfId="20864" xr:uid="{00000000-0005-0000-0000-0000D1510000}"/>
    <cellStyle name="Percent 32 2 7" xfId="20865" xr:uid="{00000000-0005-0000-0000-0000D2510000}"/>
    <cellStyle name="Percent 32 3" xfId="20866" xr:uid="{00000000-0005-0000-0000-0000D3510000}"/>
    <cellStyle name="Percent 32 3 2" xfId="20867" xr:uid="{00000000-0005-0000-0000-0000D4510000}"/>
    <cellStyle name="Percent 32 3 2 2" xfId="20868" xr:uid="{00000000-0005-0000-0000-0000D5510000}"/>
    <cellStyle name="Percent 32 3 2 2 2" xfId="20869" xr:uid="{00000000-0005-0000-0000-0000D6510000}"/>
    <cellStyle name="Percent 32 3 2 2 2 2" xfId="20870" xr:uid="{00000000-0005-0000-0000-0000D7510000}"/>
    <cellStyle name="Percent 32 3 2 2 2 2 2" xfId="20871" xr:uid="{00000000-0005-0000-0000-0000D8510000}"/>
    <cellStyle name="Percent 32 3 2 2 2 2 3" xfId="20872" xr:uid="{00000000-0005-0000-0000-0000D9510000}"/>
    <cellStyle name="Percent 32 3 2 2 2 3" xfId="20873" xr:uid="{00000000-0005-0000-0000-0000DA510000}"/>
    <cellStyle name="Percent 32 3 2 2 2 4" xfId="20874" xr:uid="{00000000-0005-0000-0000-0000DB510000}"/>
    <cellStyle name="Percent 32 3 2 2 3" xfId="20875" xr:uid="{00000000-0005-0000-0000-0000DC510000}"/>
    <cellStyle name="Percent 32 3 2 2 3 2" xfId="20876" xr:uid="{00000000-0005-0000-0000-0000DD510000}"/>
    <cellStyle name="Percent 32 3 2 2 3 3" xfId="20877" xr:uid="{00000000-0005-0000-0000-0000DE510000}"/>
    <cellStyle name="Percent 32 3 2 2 4" xfId="20878" xr:uid="{00000000-0005-0000-0000-0000DF510000}"/>
    <cellStyle name="Percent 32 3 2 2 5" xfId="20879" xr:uid="{00000000-0005-0000-0000-0000E0510000}"/>
    <cellStyle name="Percent 32 3 2 3" xfId="20880" xr:uid="{00000000-0005-0000-0000-0000E1510000}"/>
    <cellStyle name="Percent 32 3 2 3 2" xfId="20881" xr:uid="{00000000-0005-0000-0000-0000E2510000}"/>
    <cellStyle name="Percent 32 3 2 3 2 2" xfId="20882" xr:uid="{00000000-0005-0000-0000-0000E3510000}"/>
    <cellStyle name="Percent 32 3 2 3 2 3" xfId="20883" xr:uid="{00000000-0005-0000-0000-0000E4510000}"/>
    <cellStyle name="Percent 32 3 2 3 3" xfId="20884" xr:uid="{00000000-0005-0000-0000-0000E5510000}"/>
    <cellStyle name="Percent 32 3 2 3 4" xfId="20885" xr:uid="{00000000-0005-0000-0000-0000E6510000}"/>
    <cellStyle name="Percent 32 3 2 4" xfId="20886" xr:uid="{00000000-0005-0000-0000-0000E7510000}"/>
    <cellStyle name="Percent 32 3 2 4 2" xfId="20887" xr:uid="{00000000-0005-0000-0000-0000E8510000}"/>
    <cellStyle name="Percent 32 3 2 4 3" xfId="20888" xr:uid="{00000000-0005-0000-0000-0000E9510000}"/>
    <cellStyle name="Percent 32 3 2 5" xfId="20889" xr:uid="{00000000-0005-0000-0000-0000EA510000}"/>
    <cellStyle name="Percent 32 3 2 6" xfId="20890" xr:uid="{00000000-0005-0000-0000-0000EB510000}"/>
    <cellStyle name="Percent 32 3 3" xfId="20891" xr:uid="{00000000-0005-0000-0000-0000EC510000}"/>
    <cellStyle name="Percent 32 3 3 2" xfId="20892" xr:uid="{00000000-0005-0000-0000-0000ED510000}"/>
    <cellStyle name="Percent 32 3 3 2 2" xfId="20893" xr:uid="{00000000-0005-0000-0000-0000EE510000}"/>
    <cellStyle name="Percent 32 3 3 2 2 2" xfId="20894" xr:uid="{00000000-0005-0000-0000-0000EF510000}"/>
    <cellStyle name="Percent 32 3 3 2 2 3" xfId="20895" xr:uid="{00000000-0005-0000-0000-0000F0510000}"/>
    <cellStyle name="Percent 32 3 3 2 3" xfId="20896" xr:uid="{00000000-0005-0000-0000-0000F1510000}"/>
    <cellStyle name="Percent 32 3 3 2 4" xfId="20897" xr:uid="{00000000-0005-0000-0000-0000F2510000}"/>
    <cellStyle name="Percent 32 3 3 3" xfId="20898" xr:uid="{00000000-0005-0000-0000-0000F3510000}"/>
    <cellStyle name="Percent 32 3 3 3 2" xfId="20899" xr:uid="{00000000-0005-0000-0000-0000F4510000}"/>
    <cellStyle name="Percent 32 3 3 3 3" xfId="20900" xr:uid="{00000000-0005-0000-0000-0000F5510000}"/>
    <cellStyle name="Percent 32 3 3 4" xfId="20901" xr:uid="{00000000-0005-0000-0000-0000F6510000}"/>
    <cellStyle name="Percent 32 3 3 5" xfId="20902" xr:uid="{00000000-0005-0000-0000-0000F7510000}"/>
    <cellStyle name="Percent 32 3 4" xfId="20903" xr:uid="{00000000-0005-0000-0000-0000F8510000}"/>
    <cellStyle name="Percent 32 3 4 2" xfId="20904" xr:uid="{00000000-0005-0000-0000-0000F9510000}"/>
    <cellStyle name="Percent 32 3 4 2 2" xfId="20905" xr:uid="{00000000-0005-0000-0000-0000FA510000}"/>
    <cellStyle name="Percent 32 3 4 2 3" xfId="20906" xr:uid="{00000000-0005-0000-0000-0000FB510000}"/>
    <cellStyle name="Percent 32 3 4 3" xfId="20907" xr:uid="{00000000-0005-0000-0000-0000FC510000}"/>
    <cellStyle name="Percent 32 3 4 4" xfId="20908" xr:uid="{00000000-0005-0000-0000-0000FD510000}"/>
    <cellStyle name="Percent 32 3 5" xfId="20909" xr:uid="{00000000-0005-0000-0000-0000FE510000}"/>
    <cellStyle name="Percent 32 3 5 2" xfId="20910" xr:uid="{00000000-0005-0000-0000-0000FF510000}"/>
    <cellStyle name="Percent 32 3 5 3" xfId="20911" xr:uid="{00000000-0005-0000-0000-000000520000}"/>
    <cellStyle name="Percent 32 3 6" xfId="20912" xr:uid="{00000000-0005-0000-0000-000001520000}"/>
    <cellStyle name="Percent 32 3 7" xfId="20913" xr:uid="{00000000-0005-0000-0000-000002520000}"/>
    <cellStyle name="Percent 32 4" xfId="20914" xr:uid="{00000000-0005-0000-0000-000003520000}"/>
    <cellStyle name="Percent 32 4 2" xfId="20915" xr:uid="{00000000-0005-0000-0000-000004520000}"/>
    <cellStyle name="Percent 32 4 2 2" xfId="20916" xr:uid="{00000000-0005-0000-0000-000005520000}"/>
    <cellStyle name="Percent 32 4 2 2 2" xfId="20917" xr:uid="{00000000-0005-0000-0000-000006520000}"/>
    <cellStyle name="Percent 32 4 2 2 2 2" xfId="20918" xr:uid="{00000000-0005-0000-0000-000007520000}"/>
    <cellStyle name="Percent 32 4 2 2 2 2 2" xfId="20919" xr:uid="{00000000-0005-0000-0000-000008520000}"/>
    <cellStyle name="Percent 32 4 2 2 2 2 3" xfId="20920" xr:uid="{00000000-0005-0000-0000-000009520000}"/>
    <cellStyle name="Percent 32 4 2 2 2 3" xfId="20921" xr:uid="{00000000-0005-0000-0000-00000A520000}"/>
    <cellStyle name="Percent 32 4 2 2 2 4" xfId="20922" xr:uid="{00000000-0005-0000-0000-00000B520000}"/>
    <cellStyle name="Percent 32 4 2 2 3" xfId="20923" xr:uid="{00000000-0005-0000-0000-00000C520000}"/>
    <cellStyle name="Percent 32 4 2 2 3 2" xfId="20924" xr:uid="{00000000-0005-0000-0000-00000D520000}"/>
    <cellStyle name="Percent 32 4 2 2 3 3" xfId="20925" xr:uid="{00000000-0005-0000-0000-00000E520000}"/>
    <cellStyle name="Percent 32 4 2 2 4" xfId="20926" xr:uid="{00000000-0005-0000-0000-00000F520000}"/>
    <cellStyle name="Percent 32 4 2 2 5" xfId="20927" xr:uid="{00000000-0005-0000-0000-000010520000}"/>
    <cellStyle name="Percent 32 4 2 3" xfId="20928" xr:uid="{00000000-0005-0000-0000-000011520000}"/>
    <cellStyle name="Percent 32 4 2 3 2" xfId="20929" xr:uid="{00000000-0005-0000-0000-000012520000}"/>
    <cellStyle name="Percent 32 4 2 3 2 2" xfId="20930" xr:uid="{00000000-0005-0000-0000-000013520000}"/>
    <cellStyle name="Percent 32 4 2 3 2 3" xfId="20931" xr:uid="{00000000-0005-0000-0000-000014520000}"/>
    <cellStyle name="Percent 32 4 2 3 3" xfId="20932" xr:uid="{00000000-0005-0000-0000-000015520000}"/>
    <cellStyle name="Percent 32 4 2 3 4" xfId="20933" xr:uid="{00000000-0005-0000-0000-000016520000}"/>
    <cellStyle name="Percent 32 4 2 4" xfId="20934" xr:uid="{00000000-0005-0000-0000-000017520000}"/>
    <cellStyle name="Percent 32 4 2 4 2" xfId="20935" xr:uid="{00000000-0005-0000-0000-000018520000}"/>
    <cellStyle name="Percent 32 4 2 4 3" xfId="20936" xr:uid="{00000000-0005-0000-0000-000019520000}"/>
    <cellStyle name="Percent 32 4 2 5" xfId="20937" xr:uid="{00000000-0005-0000-0000-00001A520000}"/>
    <cellStyle name="Percent 32 4 2 6" xfId="20938" xr:uid="{00000000-0005-0000-0000-00001B520000}"/>
    <cellStyle name="Percent 32 5" xfId="20939" xr:uid="{00000000-0005-0000-0000-00001C520000}"/>
    <cellStyle name="Percent 32 5 2" xfId="20940" xr:uid="{00000000-0005-0000-0000-00001D520000}"/>
    <cellStyle name="Percent 32 5 2 2" xfId="20941" xr:uid="{00000000-0005-0000-0000-00001E520000}"/>
    <cellStyle name="Percent 32 5 2 2 2" xfId="20942" xr:uid="{00000000-0005-0000-0000-00001F520000}"/>
    <cellStyle name="Percent 32 5 2 2 2 2" xfId="20943" xr:uid="{00000000-0005-0000-0000-000020520000}"/>
    <cellStyle name="Percent 32 5 2 2 2 3" xfId="20944" xr:uid="{00000000-0005-0000-0000-000021520000}"/>
    <cellStyle name="Percent 32 5 2 2 3" xfId="20945" xr:uid="{00000000-0005-0000-0000-000022520000}"/>
    <cellStyle name="Percent 32 5 2 2 4" xfId="20946" xr:uid="{00000000-0005-0000-0000-000023520000}"/>
    <cellStyle name="Percent 32 5 2 3" xfId="20947" xr:uid="{00000000-0005-0000-0000-000024520000}"/>
    <cellStyle name="Percent 32 5 2 3 2" xfId="20948" xr:uid="{00000000-0005-0000-0000-000025520000}"/>
    <cellStyle name="Percent 32 5 2 3 3" xfId="20949" xr:uid="{00000000-0005-0000-0000-000026520000}"/>
    <cellStyle name="Percent 32 5 2 4" xfId="20950" xr:uid="{00000000-0005-0000-0000-000027520000}"/>
    <cellStyle name="Percent 32 5 2 5" xfId="20951" xr:uid="{00000000-0005-0000-0000-000028520000}"/>
    <cellStyle name="Percent 32 5 3" xfId="20952" xr:uid="{00000000-0005-0000-0000-000029520000}"/>
    <cellStyle name="Percent 32 5 3 2" xfId="20953" xr:uid="{00000000-0005-0000-0000-00002A520000}"/>
    <cellStyle name="Percent 32 5 3 2 2" xfId="20954" xr:uid="{00000000-0005-0000-0000-00002B520000}"/>
    <cellStyle name="Percent 32 5 3 2 3" xfId="20955" xr:uid="{00000000-0005-0000-0000-00002C520000}"/>
    <cellStyle name="Percent 32 5 3 3" xfId="20956" xr:uid="{00000000-0005-0000-0000-00002D520000}"/>
    <cellStyle name="Percent 32 5 3 4" xfId="20957" xr:uid="{00000000-0005-0000-0000-00002E520000}"/>
    <cellStyle name="Percent 32 5 4" xfId="20958" xr:uid="{00000000-0005-0000-0000-00002F520000}"/>
    <cellStyle name="Percent 32 5 4 2" xfId="20959" xr:uid="{00000000-0005-0000-0000-000030520000}"/>
    <cellStyle name="Percent 32 5 4 3" xfId="20960" xr:uid="{00000000-0005-0000-0000-000031520000}"/>
    <cellStyle name="Percent 32 5 5" xfId="20961" xr:uid="{00000000-0005-0000-0000-000032520000}"/>
    <cellStyle name="Percent 32 5 6" xfId="20962" xr:uid="{00000000-0005-0000-0000-000033520000}"/>
    <cellStyle name="Percent 33" xfId="20963" xr:uid="{00000000-0005-0000-0000-000034520000}"/>
    <cellStyle name="Percent 33 2" xfId="20964" xr:uid="{00000000-0005-0000-0000-000035520000}"/>
    <cellStyle name="Percent 33 2 2" xfId="20965" xr:uid="{00000000-0005-0000-0000-000036520000}"/>
    <cellStyle name="Percent 33 2 2 2" xfId="20966" xr:uid="{00000000-0005-0000-0000-000037520000}"/>
    <cellStyle name="Percent 33 2 2 2 2" xfId="20967" xr:uid="{00000000-0005-0000-0000-000038520000}"/>
    <cellStyle name="Percent 33 2 2 2 2 2" xfId="20968" xr:uid="{00000000-0005-0000-0000-000039520000}"/>
    <cellStyle name="Percent 33 2 2 2 2 2 2" xfId="20969" xr:uid="{00000000-0005-0000-0000-00003A520000}"/>
    <cellStyle name="Percent 33 2 2 2 2 2 3" xfId="20970" xr:uid="{00000000-0005-0000-0000-00003B520000}"/>
    <cellStyle name="Percent 33 2 2 2 2 3" xfId="20971" xr:uid="{00000000-0005-0000-0000-00003C520000}"/>
    <cellStyle name="Percent 33 2 2 2 2 4" xfId="20972" xr:uid="{00000000-0005-0000-0000-00003D520000}"/>
    <cellStyle name="Percent 33 2 2 2 3" xfId="20973" xr:uid="{00000000-0005-0000-0000-00003E520000}"/>
    <cellStyle name="Percent 33 2 2 2 3 2" xfId="20974" xr:uid="{00000000-0005-0000-0000-00003F520000}"/>
    <cellStyle name="Percent 33 2 2 2 3 3" xfId="20975" xr:uid="{00000000-0005-0000-0000-000040520000}"/>
    <cellStyle name="Percent 33 2 2 2 4" xfId="20976" xr:uid="{00000000-0005-0000-0000-000041520000}"/>
    <cellStyle name="Percent 33 2 2 2 5" xfId="20977" xr:uid="{00000000-0005-0000-0000-000042520000}"/>
    <cellStyle name="Percent 33 2 2 3" xfId="20978" xr:uid="{00000000-0005-0000-0000-000043520000}"/>
    <cellStyle name="Percent 33 2 2 3 2" xfId="20979" xr:uid="{00000000-0005-0000-0000-000044520000}"/>
    <cellStyle name="Percent 33 2 2 3 2 2" xfId="20980" xr:uid="{00000000-0005-0000-0000-000045520000}"/>
    <cellStyle name="Percent 33 2 2 3 2 3" xfId="20981" xr:uid="{00000000-0005-0000-0000-000046520000}"/>
    <cellStyle name="Percent 33 2 2 3 3" xfId="20982" xr:uid="{00000000-0005-0000-0000-000047520000}"/>
    <cellStyle name="Percent 33 2 2 3 4" xfId="20983" xr:uid="{00000000-0005-0000-0000-000048520000}"/>
    <cellStyle name="Percent 33 2 2 4" xfId="20984" xr:uid="{00000000-0005-0000-0000-000049520000}"/>
    <cellStyle name="Percent 33 2 2 4 2" xfId="20985" xr:uid="{00000000-0005-0000-0000-00004A520000}"/>
    <cellStyle name="Percent 33 2 2 4 3" xfId="20986" xr:uid="{00000000-0005-0000-0000-00004B520000}"/>
    <cellStyle name="Percent 33 2 2 5" xfId="20987" xr:uid="{00000000-0005-0000-0000-00004C520000}"/>
    <cellStyle name="Percent 33 2 2 6" xfId="20988" xr:uid="{00000000-0005-0000-0000-00004D520000}"/>
    <cellStyle name="Percent 33 2 3" xfId="20989" xr:uid="{00000000-0005-0000-0000-00004E520000}"/>
    <cellStyle name="Percent 33 2 3 2" xfId="20990" xr:uid="{00000000-0005-0000-0000-00004F520000}"/>
    <cellStyle name="Percent 33 2 3 2 2" xfId="20991" xr:uid="{00000000-0005-0000-0000-000050520000}"/>
    <cellStyle name="Percent 33 2 3 2 2 2" xfId="20992" xr:uid="{00000000-0005-0000-0000-000051520000}"/>
    <cellStyle name="Percent 33 2 3 2 2 3" xfId="20993" xr:uid="{00000000-0005-0000-0000-000052520000}"/>
    <cellStyle name="Percent 33 2 3 2 3" xfId="20994" xr:uid="{00000000-0005-0000-0000-000053520000}"/>
    <cellStyle name="Percent 33 2 3 2 4" xfId="20995" xr:uid="{00000000-0005-0000-0000-000054520000}"/>
    <cellStyle name="Percent 33 2 3 3" xfId="20996" xr:uid="{00000000-0005-0000-0000-000055520000}"/>
    <cellStyle name="Percent 33 2 3 3 2" xfId="20997" xr:uid="{00000000-0005-0000-0000-000056520000}"/>
    <cellStyle name="Percent 33 2 3 3 3" xfId="20998" xr:uid="{00000000-0005-0000-0000-000057520000}"/>
    <cellStyle name="Percent 33 2 3 4" xfId="20999" xr:uid="{00000000-0005-0000-0000-000058520000}"/>
    <cellStyle name="Percent 33 2 3 5" xfId="21000" xr:uid="{00000000-0005-0000-0000-000059520000}"/>
    <cellStyle name="Percent 33 2 4" xfId="21001" xr:uid="{00000000-0005-0000-0000-00005A520000}"/>
    <cellStyle name="Percent 33 2 4 2" xfId="21002" xr:uid="{00000000-0005-0000-0000-00005B520000}"/>
    <cellStyle name="Percent 33 2 4 2 2" xfId="21003" xr:uid="{00000000-0005-0000-0000-00005C520000}"/>
    <cellStyle name="Percent 33 2 4 2 3" xfId="21004" xr:uid="{00000000-0005-0000-0000-00005D520000}"/>
    <cellStyle name="Percent 33 2 4 3" xfId="21005" xr:uid="{00000000-0005-0000-0000-00005E520000}"/>
    <cellStyle name="Percent 33 2 4 4" xfId="21006" xr:uid="{00000000-0005-0000-0000-00005F520000}"/>
    <cellStyle name="Percent 33 2 5" xfId="21007" xr:uid="{00000000-0005-0000-0000-000060520000}"/>
    <cellStyle name="Percent 33 2 5 2" xfId="21008" xr:uid="{00000000-0005-0000-0000-000061520000}"/>
    <cellStyle name="Percent 33 2 5 3" xfId="21009" xr:uid="{00000000-0005-0000-0000-000062520000}"/>
    <cellStyle name="Percent 33 2 6" xfId="21010" xr:uid="{00000000-0005-0000-0000-000063520000}"/>
    <cellStyle name="Percent 33 2 7" xfId="21011" xr:uid="{00000000-0005-0000-0000-000064520000}"/>
    <cellStyle name="Percent 33 3" xfId="21012" xr:uid="{00000000-0005-0000-0000-000065520000}"/>
    <cellStyle name="Percent 33 3 2" xfId="21013" xr:uid="{00000000-0005-0000-0000-000066520000}"/>
    <cellStyle name="Percent 33 3 2 2" xfId="21014" xr:uid="{00000000-0005-0000-0000-000067520000}"/>
    <cellStyle name="Percent 33 3 2 2 2" xfId="21015" xr:uid="{00000000-0005-0000-0000-000068520000}"/>
    <cellStyle name="Percent 33 3 2 2 2 2" xfId="21016" xr:uid="{00000000-0005-0000-0000-000069520000}"/>
    <cellStyle name="Percent 33 3 2 2 2 2 2" xfId="21017" xr:uid="{00000000-0005-0000-0000-00006A520000}"/>
    <cellStyle name="Percent 33 3 2 2 2 2 3" xfId="21018" xr:uid="{00000000-0005-0000-0000-00006B520000}"/>
    <cellStyle name="Percent 33 3 2 2 2 3" xfId="21019" xr:uid="{00000000-0005-0000-0000-00006C520000}"/>
    <cellStyle name="Percent 33 3 2 2 2 4" xfId="21020" xr:uid="{00000000-0005-0000-0000-00006D520000}"/>
    <cellStyle name="Percent 33 3 2 2 3" xfId="21021" xr:uid="{00000000-0005-0000-0000-00006E520000}"/>
    <cellStyle name="Percent 33 3 2 2 3 2" xfId="21022" xr:uid="{00000000-0005-0000-0000-00006F520000}"/>
    <cellStyle name="Percent 33 3 2 2 3 3" xfId="21023" xr:uid="{00000000-0005-0000-0000-000070520000}"/>
    <cellStyle name="Percent 33 3 2 2 4" xfId="21024" xr:uid="{00000000-0005-0000-0000-000071520000}"/>
    <cellStyle name="Percent 33 3 2 2 5" xfId="21025" xr:uid="{00000000-0005-0000-0000-000072520000}"/>
    <cellStyle name="Percent 33 3 2 3" xfId="21026" xr:uid="{00000000-0005-0000-0000-000073520000}"/>
    <cellStyle name="Percent 33 3 2 3 2" xfId="21027" xr:uid="{00000000-0005-0000-0000-000074520000}"/>
    <cellStyle name="Percent 33 3 2 3 2 2" xfId="21028" xr:uid="{00000000-0005-0000-0000-000075520000}"/>
    <cellStyle name="Percent 33 3 2 3 2 3" xfId="21029" xr:uid="{00000000-0005-0000-0000-000076520000}"/>
    <cellStyle name="Percent 33 3 2 3 3" xfId="21030" xr:uid="{00000000-0005-0000-0000-000077520000}"/>
    <cellStyle name="Percent 33 3 2 3 4" xfId="21031" xr:uid="{00000000-0005-0000-0000-000078520000}"/>
    <cellStyle name="Percent 33 3 2 4" xfId="21032" xr:uid="{00000000-0005-0000-0000-000079520000}"/>
    <cellStyle name="Percent 33 3 2 4 2" xfId="21033" xr:uid="{00000000-0005-0000-0000-00007A520000}"/>
    <cellStyle name="Percent 33 3 2 4 3" xfId="21034" xr:uid="{00000000-0005-0000-0000-00007B520000}"/>
    <cellStyle name="Percent 33 3 2 5" xfId="21035" xr:uid="{00000000-0005-0000-0000-00007C520000}"/>
    <cellStyle name="Percent 33 3 2 6" xfId="21036" xr:uid="{00000000-0005-0000-0000-00007D520000}"/>
    <cellStyle name="Percent 33 3 3" xfId="21037" xr:uid="{00000000-0005-0000-0000-00007E520000}"/>
    <cellStyle name="Percent 33 3 3 2" xfId="21038" xr:uid="{00000000-0005-0000-0000-00007F520000}"/>
    <cellStyle name="Percent 33 3 3 2 2" xfId="21039" xr:uid="{00000000-0005-0000-0000-000080520000}"/>
    <cellStyle name="Percent 33 3 3 2 2 2" xfId="21040" xr:uid="{00000000-0005-0000-0000-000081520000}"/>
    <cellStyle name="Percent 33 3 3 2 2 3" xfId="21041" xr:uid="{00000000-0005-0000-0000-000082520000}"/>
    <cellStyle name="Percent 33 3 3 2 3" xfId="21042" xr:uid="{00000000-0005-0000-0000-000083520000}"/>
    <cellStyle name="Percent 33 3 3 2 4" xfId="21043" xr:uid="{00000000-0005-0000-0000-000084520000}"/>
    <cellStyle name="Percent 33 3 3 3" xfId="21044" xr:uid="{00000000-0005-0000-0000-000085520000}"/>
    <cellStyle name="Percent 33 3 3 3 2" xfId="21045" xr:uid="{00000000-0005-0000-0000-000086520000}"/>
    <cellStyle name="Percent 33 3 3 3 3" xfId="21046" xr:uid="{00000000-0005-0000-0000-000087520000}"/>
    <cellStyle name="Percent 33 3 3 4" xfId="21047" xr:uid="{00000000-0005-0000-0000-000088520000}"/>
    <cellStyle name="Percent 33 3 3 5" xfId="21048" xr:uid="{00000000-0005-0000-0000-000089520000}"/>
    <cellStyle name="Percent 33 3 4" xfId="21049" xr:uid="{00000000-0005-0000-0000-00008A520000}"/>
    <cellStyle name="Percent 33 3 4 2" xfId="21050" xr:uid="{00000000-0005-0000-0000-00008B520000}"/>
    <cellStyle name="Percent 33 3 4 2 2" xfId="21051" xr:uid="{00000000-0005-0000-0000-00008C520000}"/>
    <cellStyle name="Percent 33 3 4 2 3" xfId="21052" xr:uid="{00000000-0005-0000-0000-00008D520000}"/>
    <cellStyle name="Percent 33 3 4 3" xfId="21053" xr:uid="{00000000-0005-0000-0000-00008E520000}"/>
    <cellStyle name="Percent 33 3 4 4" xfId="21054" xr:uid="{00000000-0005-0000-0000-00008F520000}"/>
    <cellStyle name="Percent 33 3 5" xfId="21055" xr:uid="{00000000-0005-0000-0000-000090520000}"/>
    <cellStyle name="Percent 33 3 5 2" xfId="21056" xr:uid="{00000000-0005-0000-0000-000091520000}"/>
    <cellStyle name="Percent 33 3 5 3" xfId="21057" xr:uid="{00000000-0005-0000-0000-000092520000}"/>
    <cellStyle name="Percent 33 3 6" xfId="21058" xr:uid="{00000000-0005-0000-0000-000093520000}"/>
    <cellStyle name="Percent 33 3 7" xfId="21059" xr:uid="{00000000-0005-0000-0000-000094520000}"/>
    <cellStyle name="Percent 33 4" xfId="21060" xr:uid="{00000000-0005-0000-0000-000095520000}"/>
    <cellStyle name="Percent 33 4 2" xfId="21061" xr:uid="{00000000-0005-0000-0000-000096520000}"/>
    <cellStyle name="Percent 33 4 2 2" xfId="21062" xr:uid="{00000000-0005-0000-0000-000097520000}"/>
    <cellStyle name="Percent 33 4 2 2 2" xfId="21063" xr:uid="{00000000-0005-0000-0000-000098520000}"/>
    <cellStyle name="Percent 33 4 2 2 2 2" xfId="21064" xr:uid="{00000000-0005-0000-0000-000099520000}"/>
    <cellStyle name="Percent 33 4 2 2 2 2 2" xfId="21065" xr:uid="{00000000-0005-0000-0000-00009A520000}"/>
    <cellStyle name="Percent 33 4 2 2 2 2 3" xfId="21066" xr:uid="{00000000-0005-0000-0000-00009B520000}"/>
    <cellStyle name="Percent 33 4 2 2 2 3" xfId="21067" xr:uid="{00000000-0005-0000-0000-00009C520000}"/>
    <cellStyle name="Percent 33 4 2 2 2 4" xfId="21068" xr:uid="{00000000-0005-0000-0000-00009D520000}"/>
    <cellStyle name="Percent 33 4 2 2 3" xfId="21069" xr:uid="{00000000-0005-0000-0000-00009E520000}"/>
    <cellStyle name="Percent 33 4 2 2 3 2" xfId="21070" xr:uid="{00000000-0005-0000-0000-00009F520000}"/>
    <cellStyle name="Percent 33 4 2 2 3 3" xfId="21071" xr:uid="{00000000-0005-0000-0000-0000A0520000}"/>
    <cellStyle name="Percent 33 4 2 2 4" xfId="21072" xr:uid="{00000000-0005-0000-0000-0000A1520000}"/>
    <cellStyle name="Percent 33 4 2 2 5" xfId="21073" xr:uid="{00000000-0005-0000-0000-0000A2520000}"/>
    <cellStyle name="Percent 33 4 2 3" xfId="21074" xr:uid="{00000000-0005-0000-0000-0000A3520000}"/>
    <cellStyle name="Percent 33 4 2 3 2" xfId="21075" xr:uid="{00000000-0005-0000-0000-0000A4520000}"/>
    <cellStyle name="Percent 33 4 2 3 2 2" xfId="21076" xr:uid="{00000000-0005-0000-0000-0000A5520000}"/>
    <cellStyle name="Percent 33 4 2 3 2 3" xfId="21077" xr:uid="{00000000-0005-0000-0000-0000A6520000}"/>
    <cellStyle name="Percent 33 4 2 3 3" xfId="21078" xr:uid="{00000000-0005-0000-0000-0000A7520000}"/>
    <cellStyle name="Percent 33 4 2 3 4" xfId="21079" xr:uid="{00000000-0005-0000-0000-0000A8520000}"/>
    <cellStyle name="Percent 33 4 2 4" xfId="21080" xr:uid="{00000000-0005-0000-0000-0000A9520000}"/>
    <cellStyle name="Percent 33 4 2 4 2" xfId="21081" xr:uid="{00000000-0005-0000-0000-0000AA520000}"/>
    <cellStyle name="Percent 33 4 2 4 3" xfId="21082" xr:uid="{00000000-0005-0000-0000-0000AB520000}"/>
    <cellStyle name="Percent 33 4 2 5" xfId="21083" xr:uid="{00000000-0005-0000-0000-0000AC520000}"/>
    <cellStyle name="Percent 33 4 2 6" xfId="21084" xr:uid="{00000000-0005-0000-0000-0000AD520000}"/>
    <cellStyle name="Percent 33 5" xfId="21085" xr:uid="{00000000-0005-0000-0000-0000AE520000}"/>
    <cellStyle name="Percent 33 5 2" xfId="21086" xr:uid="{00000000-0005-0000-0000-0000AF520000}"/>
    <cellStyle name="Percent 33 5 2 2" xfId="21087" xr:uid="{00000000-0005-0000-0000-0000B0520000}"/>
    <cellStyle name="Percent 33 5 2 2 2" xfId="21088" xr:uid="{00000000-0005-0000-0000-0000B1520000}"/>
    <cellStyle name="Percent 33 5 2 2 2 2" xfId="21089" xr:uid="{00000000-0005-0000-0000-0000B2520000}"/>
    <cellStyle name="Percent 33 5 2 2 2 3" xfId="21090" xr:uid="{00000000-0005-0000-0000-0000B3520000}"/>
    <cellStyle name="Percent 33 5 2 2 3" xfId="21091" xr:uid="{00000000-0005-0000-0000-0000B4520000}"/>
    <cellStyle name="Percent 33 5 2 2 4" xfId="21092" xr:uid="{00000000-0005-0000-0000-0000B5520000}"/>
    <cellStyle name="Percent 33 5 2 3" xfId="21093" xr:uid="{00000000-0005-0000-0000-0000B6520000}"/>
    <cellStyle name="Percent 33 5 2 3 2" xfId="21094" xr:uid="{00000000-0005-0000-0000-0000B7520000}"/>
    <cellStyle name="Percent 33 5 2 3 3" xfId="21095" xr:uid="{00000000-0005-0000-0000-0000B8520000}"/>
    <cellStyle name="Percent 33 5 2 4" xfId="21096" xr:uid="{00000000-0005-0000-0000-0000B9520000}"/>
    <cellStyle name="Percent 33 5 2 5" xfId="21097" xr:uid="{00000000-0005-0000-0000-0000BA520000}"/>
    <cellStyle name="Percent 33 5 3" xfId="21098" xr:uid="{00000000-0005-0000-0000-0000BB520000}"/>
    <cellStyle name="Percent 33 5 3 2" xfId="21099" xr:uid="{00000000-0005-0000-0000-0000BC520000}"/>
    <cellStyle name="Percent 33 5 3 2 2" xfId="21100" xr:uid="{00000000-0005-0000-0000-0000BD520000}"/>
    <cellStyle name="Percent 33 5 3 2 3" xfId="21101" xr:uid="{00000000-0005-0000-0000-0000BE520000}"/>
    <cellStyle name="Percent 33 5 3 3" xfId="21102" xr:uid="{00000000-0005-0000-0000-0000BF520000}"/>
    <cellStyle name="Percent 33 5 3 4" xfId="21103" xr:uid="{00000000-0005-0000-0000-0000C0520000}"/>
    <cellStyle name="Percent 33 5 4" xfId="21104" xr:uid="{00000000-0005-0000-0000-0000C1520000}"/>
    <cellStyle name="Percent 33 5 4 2" xfId="21105" xr:uid="{00000000-0005-0000-0000-0000C2520000}"/>
    <cellStyle name="Percent 33 5 4 3" xfId="21106" xr:uid="{00000000-0005-0000-0000-0000C3520000}"/>
    <cellStyle name="Percent 33 5 5" xfId="21107" xr:uid="{00000000-0005-0000-0000-0000C4520000}"/>
    <cellStyle name="Percent 33 5 6" xfId="21108" xr:uid="{00000000-0005-0000-0000-0000C5520000}"/>
    <cellStyle name="Percent 34" xfId="21109" xr:uid="{00000000-0005-0000-0000-0000C6520000}"/>
    <cellStyle name="Percent 34 2" xfId="21110" xr:uid="{00000000-0005-0000-0000-0000C7520000}"/>
    <cellStyle name="Percent 34 2 2" xfId="21111" xr:uid="{00000000-0005-0000-0000-0000C8520000}"/>
    <cellStyle name="Percent 34 2 2 2" xfId="21112" xr:uid="{00000000-0005-0000-0000-0000C9520000}"/>
    <cellStyle name="Percent 34 2 2 2 2" xfId="21113" xr:uid="{00000000-0005-0000-0000-0000CA520000}"/>
    <cellStyle name="Percent 34 2 2 2 2 2" xfId="21114" xr:uid="{00000000-0005-0000-0000-0000CB520000}"/>
    <cellStyle name="Percent 34 2 2 2 2 2 2" xfId="21115" xr:uid="{00000000-0005-0000-0000-0000CC520000}"/>
    <cellStyle name="Percent 34 2 2 2 2 2 3" xfId="21116" xr:uid="{00000000-0005-0000-0000-0000CD520000}"/>
    <cellStyle name="Percent 34 2 2 2 2 3" xfId="21117" xr:uid="{00000000-0005-0000-0000-0000CE520000}"/>
    <cellStyle name="Percent 34 2 2 2 2 4" xfId="21118" xr:uid="{00000000-0005-0000-0000-0000CF520000}"/>
    <cellStyle name="Percent 34 2 2 2 3" xfId="21119" xr:uid="{00000000-0005-0000-0000-0000D0520000}"/>
    <cellStyle name="Percent 34 2 2 2 3 2" xfId="21120" xr:uid="{00000000-0005-0000-0000-0000D1520000}"/>
    <cellStyle name="Percent 34 2 2 2 3 3" xfId="21121" xr:uid="{00000000-0005-0000-0000-0000D2520000}"/>
    <cellStyle name="Percent 34 2 2 2 4" xfId="21122" xr:uid="{00000000-0005-0000-0000-0000D3520000}"/>
    <cellStyle name="Percent 34 2 2 2 5" xfId="21123" xr:uid="{00000000-0005-0000-0000-0000D4520000}"/>
    <cellStyle name="Percent 34 2 2 3" xfId="21124" xr:uid="{00000000-0005-0000-0000-0000D5520000}"/>
    <cellStyle name="Percent 34 2 2 3 2" xfId="21125" xr:uid="{00000000-0005-0000-0000-0000D6520000}"/>
    <cellStyle name="Percent 34 2 2 3 2 2" xfId="21126" xr:uid="{00000000-0005-0000-0000-0000D7520000}"/>
    <cellStyle name="Percent 34 2 2 3 2 3" xfId="21127" xr:uid="{00000000-0005-0000-0000-0000D8520000}"/>
    <cellStyle name="Percent 34 2 2 3 3" xfId="21128" xr:uid="{00000000-0005-0000-0000-0000D9520000}"/>
    <cellStyle name="Percent 34 2 2 3 4" xfId="21129" xr:uid="{00000000-0005-0000-0000-0000DA520000}"/>
    <cellStyle name="Percent 34 2 2 4" xfId="21130" xr:uid="{00000000-0005-0000-0000-0000DB520000}"/>
    <cellStyle name="Percent 34 2 2 4 2" xfId="21131" xr:uid="{00000000-0005-0000-0000-0000DC520000}"/>
    <cellStyle name="Percent 34 2 2 4 3" xfId="21132" xr:uid="{00000000-0005-0000-0000-0000DD520000}"/>
    <cellStyle name="Percent 34 2 2 5" xfId="21133" xr:uid="{00000000-0005-0000-0000-0000DE520000}"/>
    <cellStyle name="Percent 34 2 2 6" xfId="21134" xr:uid="{00000000-0005-0000-0000-0000DF520000}"/>
    <cellStyle name="Percent 34 2 3" xfId="21135" xr:uid="{00000000-0005-0000-0000-0000E0520000}"/>
    <cellStyle name="Percent 34 2 3 2" xfId="21136" xr:uid="{00000000-0005-0000-0000-0000E1520000}"/>
    <cellStyle name="Percent 34 2 3 2 2" xfId="21137" xr:uid="{00000000-0005-0000-0000-0000E2520000}"/>
    <cellStyle name="Percent 34 2 3 2 2 2" xfId="21138" xr:uid="{00000000-0005-0000-0000-0000E3520000}"/>
    <cellStyle name="Percent 34 2 3 2 2 3" xfId="21139" xr:uid="{00000000-0005-0000-0000-0000E4520000}"/>
    <cellStyle name="Percent 34 2 3 2 3" xfId="21140" xr:uid="{00000000-0005-0000-0000-0000E5520000}"/>
    <cellStyle name="Percent 34 2 3 2 4" xfId="21141" xr:uid="{00000000-0005-0000-0000-0000E6520000}"/>
    <cellStyle name="Percent 34 2 3 3" xfId="21142" xr:uid="{00000000-0005-0000-0000-0000E7520000}"/>
    <cellStyle name="Percent 34 2 3 3 2" xfId="21143" xr:uid="{00000000-0005-0000-0000-0000E8520000}"/>
    <cellStyle name="Percent 34 2 3 3 3" xfId="21144" xr:uid="{00000000-0005-0000-0000-0000E9520000}"/>
    <cellStyle name="Percent 34 2 3 4" xfId="21145" xr:uid="{00000000-0005-0000-0000-0000EA520000}"/>
    <cellStyle name="Percent 34 2 3 5" xfId="21146" xr:uid="{00000000-0005-0000-0000-0000EB520000}"/>
    <cellStyle name="Percent 34 2 4" xfId="21147" xr:uid="{00000000-0005-0000-0000-0000EC520000}"/>
    <cellStyle name="Percent 34 2 4 2" xfId="21148" xr:uid="{00000000-0005-0000-0000-0000ED520000}"/>
    <cellStyle name="Percent 34 2 4 2 2" xfId="21149" xr:uid="{00000000-0005-0000-0000-0000EE520000}"/>
    <cellStyle name="Percent 34 2 4 2 3" xfId="21150" xr:uid="{00000000-0005-0000-0000-0000EF520000}"/>
    <cellStyle name="Percent 34 2 4 3" xfId="21151" xr:uid="{00000000-0005-0000-0000-0000F0520000}"/>
    <cellStyle name="Percent 34 2 4 4" xfId="21152" xr:uid="{00000000-0005-0000-0000-0000F1520000}"/>
    <cellStyle name="Percent 34 2 5" xfId="21153" xr:uid="{00000000-0005-0000-0000-0000F2520000}"/>
    <cellStyle name="Percent 34 2 5 2" xfId="21154" xr:uid="{00000000-0005-0000-0000-0000F3520000}"/>
    <cellStyle name="Percent 34 2 5 3" xfId="21155" xr:uid="{00000000-0005-0000-0000-0000F4520000}"/>
    <cellStyle name="Percent 34 2 6" xfId="21156" xr:uid="{00000000-0005-0000-0000-0000F5520000}"/>
    <cellStyle name="Percent 34 2 7" xfId="21157" xr:uid="{00000000-0005-0000-0000-0000F6520000}"/>
    <cellStyle name="Percent 34 3" xfId="21158" xr:uid="{00000000-0005-0000-0000-0000F7520000}"/>
    <cellStyle name="Percent 34 3 2" xfId="21159" xr:uid="{00000000-0005-0000-0000-0000F8520000}"/>
    <cellStyle name="Percent 34 3 2 2" xfId="21160" xr:uid="{00000000-0005-0000-0000-0000F9520000}"/>
    <cellStyle name="Percent 34 3 2 2 2" xfId="21161" xr:uid="{00000000-0005-0000-0000-0000FA520000}"/>
    <cellStyle name="Percent 34 3 2 2 2 2" xfId="21162" xr:uid="{00000000-0005-0000-0000-0000FB520000}"/>
    <cellStyle name="Percent 34 3 2 2 2 2 2" xfId="21163" xr:uid="{00000000-0005-0000-0000-0000FC520000}"/>
    <cellStyle name="Percent 34 3 2 2 2 2 3" xfId="21164" xr:uid="{00000000-0005-0000-0000-0000FD520000}"/>
    <cellStyle name="Percent 34 3 2 2 2 3" xfId="21165" xr:uid="{00000000-0005-0000-0000-0000FE520000}"/>
    <cellStyle name="Percent 34 3 2 2 2 4" xfId="21166" xr:uid="{00000000-0005-0000-0000-0000FF520000}"/>
    <cellStyle name="Percent 34 3 2 2 3" xfId="21167" xr:uid="{00000000-0005-0000-0000-000000530000}"/>
    <cellStyle name="Percent 34 3 2 2 3 2" xfId="21168" xr:uid="{00000000-0005-0000-0000-000001530000}"/>
    <cellStyle name="Percent 34 3 2 2 3 3" xfId="21169" xr:uid="{00000000-0005-0000-0000-000002530000}"/>
    <cellStyle name="Percent 34 3 2 2 4" xfId="21170" xr:uid="{00000000-0005-0000-0000-000003530000}"/>
    <cellStyle name="Percent 34 3 2 2 5" xfId="21171" xr:uid="{00000000-0005-0000-0000-000004530000}"/>
    <cellStyle name="Percent 34 3 2 3" xfId="21172" xr:uid="{00000000-0005-0000-0000-000005530000}"/>
    <cellStyle name="Percent 34 3 2 3 2" xfId="21173" xr:uid="{00000000-0005-0000-0000-000006530000}"/>
    <cellStyle name="Percent 34 3 2 3 2 2" xfId="21174" xr:uid="{00000000-0005-0000-0000-000007530000}"/>
    <cellStyle name="Percent 34 3 2 3 2 3" xfId="21175" xr:uid="{00000000-0005-0000-0000-000008530000}"/>
    <cellStyle name="Percent 34 3 2 3 3" xfId="21176" xr:uid="{00000000-0005-0000-0000-000009530000}"/>
    <cellStyle name="Percent 34 3 2 3 4" xfId="21177" xr:uid="{00000000-0005-0000-0000-00000A530000}"/>
    <cellStyle name="Percent 34 3 2 4" xfId="21178" xr:uid="{00000000-0005-0000-0000-00000B530000}"/>
    <cellStyle name="Percent 34 3 2 4 2" xfId="21179" xr:uid="{00000000-0005-0000-0000-00000C530000}"/>
    <cellStyle name="Percent 34 3 2 4 3" xfId="21180" xr:uid="{00000000-0005-0000-0000-00000D530000}"/>
    <cellStyle name="Percent 34 3 2 5" xfId="21181" xr:uid="{00000000-0005-0000-0000-00000E530000}"/>
    <cellStyle name="Percent 34 3 2 6" xfId="21182" xr:uid="{00000000-0005-0000-0000-00000F530000}"/>
    <cellStyle name="Percent 34 3 3" xfId="21183" xr:uid="{00000000-0005-0000-0000-000010530000}"/>
    <cellStyle name="Percent 34 3 3 2" xfId="21184" xr:uid="{00000000-0005-0000-0000-000011530000}"/>
    <cellStyle name="Percent 34 3 3 2 2" xfId="21185" xr:uid="{00000000-0005-0000-0000-000012530000}"/>
    <cellStyle name="Percent 34 3 3 2 2 2" xfId="21186" xr:uid="{00000000-0005-0000-0000-000013530000}"/>
    <cellStyle name="Percent 34 3 3 2 2 3" xfId="21187" xr:uid="{00000000-0005-0000-0000-000014530000}"/>
    <cellStyle name="Percent 34 3 3 2 3" xfId="21188" xr:uid="{00000000-0005-0000-0000-000015530000}"/>
    <cellStyle name="Percent 34 3 3 2 4" xfId="21189" xr:uid="{00000000-0005-0000-0000-000016530000}"/>
    <cellStyle name="Percent 34 3 3 3" xfId="21190" xr:uid="{00000000-0005-0000-0000-000017530000}"/>
    <cellStyle name="Percent 34 3 3 3 2" xfId="21191" xr:uid="{00000000-0005-0000-0000-000018530000}"/>
    <cellStyle name="Percent 34 3 3 3 3" xfId="21192" xr:uid="{00000000-0005-0000-0000-000019530000}"/>
    <cellStyle name="Percent 34 3 3 4" xfId="21193" xr:uid="{00000000-0005-0000-0000-00001A530000}"/>
    <cellStyle name="Percent 34 3 3 5" xfId="21194" xr:uid="{00000000-0005-0000-0000-00001B530000}"/>
    <cellStyle name="Percent 34 3 4" xfId="21195" xr:uid="{00000000-0005-0000-0000-00001C530000}"/>
    <cellStyle name="Percent 34 3 4 2" xfId="21196" xr:uid="{00000000-0005-0000-0000-00001D530000}"/>
    <cellStyle name="Percent 34 3 4 2 2" xfId="21197" xr:uid="{00000000-0005-0000-0000-00001E530000}"/>
    <cellStyle name="Percent 34 3 4 2 3" xfId="21198" xr:uid="{00000000-0005-0000-0000-00001F530000}"/>
    <cellStyle name="Percent 34 3 4 3" xfId="21199" xr:uid="{00000000-0005-0000-0000-000020530000}"/>
    <cellStyle name="Percent 34 3 4 4" xfId="21200" xr:uid="{00000000-0005-0000-0000-000021530000}"/>
    <cellStyle name="Percent 34 3 5" xfId="21201" xr:uid="{00000000-0005-0000-0000-000022530000}"/>
    <cellStyle name="Percent 34 3 5 2" xfId="21202" xr:uid="{00000000-0005-0000-0000-000023530000}"/>
    <cellStyle name="Percent 34 3 5 3" xfId="21203" xr:uid="{00000000-0005-0000-0000-000024530000}"/>
    <cellStyle name="Percent 34 3 6" xfId="21204" xr:uid="{00000000-0005-0000-0000-000025530000}"/>
    <cellStyle name="Percent 34 3 7" xfId="21205" xr:uid="{00000000-0005-0000-0000-000026530000}"/>
    <cellStyle name="Percent 34 4" xfId="21206" xr:uid="{00000000-0005-0000-0000-000027530000}"/>
    <cellStyle name="Percent 34 4 2" xfId="21207" xr:uid="{00000000-0005-0000-0000-000028530000}"/>
    <cellStyle name="Percent 34 4 2 2" xfId="21208" xr:uid="{00000000-0005-0000-0000-000029530000}"/>
    <cellStyle name="Percent 34 4 2 2 2" xfId="21209" xr:uid="{00000000-0005-0000-0000-00002A530000}"/>
    <cellStyle name="Percent 34 4 2 2 2 2" xfId="21210" xr:uid="{00000000-0005-0000-0000-00002B530000}"/>
    <cellStyle name="Percent 34 4 2 2 2 2 2" xfId="21211" xr:uid="{00000000-0005-0000-0000-00002C530000}"/>
    <cellStyle name="Percent 34 4 2 2 2 2 3" xfId="21212" xr:uid="{00000000-0005-0000-0000-00002D530000}"/>
    <cellStyle name="Percent 34 4 2 2 2 3" xfId="21213" xr:uid="{00000000-0005-0000-0000-00002E530000}"/>
    <cellStyle name="Percent 34 4 2 2 2 4" xfId="21214" xr:uid="{00000000-0005-0000-0000-00002F530000}"/>
    <cellStyle name="Percent 34 4 2 2 3" xfId="21215" xr:uid="{00000000-0005-0000-0000-000030530000}"/>
    <cellStyle name="Percent 34 4 2 2 3 2" xfId="21216" xr:uid="{00000000-0005-0000-0000-000031530000}"/>
    <cellStyle name="Percent 34 4 2 2 3 3" xfId="21217" xr:uid="{00000000-0005-0000-0000-000032530000}"/>
    <cellStyle name="Percent 34 4 2 2 4" xfId="21218" xr:uid="{00000000-0005-0000-0000-000033530000}"/>
    <cellStyle name="Percent 34 4 2 2 5" xfId="21219" xr:uid="{00000000-0005-0000-0000-000034530000}"/>
    <cellStyle name="Percent 34 4 2 3" xfId="21220" xr:uid="{00000000-0005-0000-0000-000035530000}"/>
    <cellStyle name="Percent 34 4 2 3 2" xfId="21221" xr:uid="{00000000-0005-0000-0000-000036530000}"/>
    <cellStyle name="Percent 34 4 2 3 2 2" xfId="21222" xr:uid="{00000000-0005-0000-0000-000037530000}"/>
    <cellStyle name="Percent 34 4 2 3 2 3" xfId="21223" xr:uid="{00000000-0005-0000-0000-000038530000}"/>
    <cellStyle name="Percent 34 4 2 3 3" xfId="21224" xr:uid="{00000000-0005-0000-0000-000039530000}"/>
    <cellStyle name="Percent 34 4 2 3 4" xfId="21225" xr:uid="{00000000-0005-0000-0000-00003A530000}"/>
    <cellStyle name="Percent 34 4 2 4" xfId="21226" xr:uid="{00000000-0005-0000-0000-00003B530000}"/>
    <cellStyle name="Percent 34 4 2 4 2" xfId="21227" xr:uid="{00000000-0005-0000-0000-00003C530000}"/>
    <cellStyle name="Percent 34 4 2 4 3" xfId="21228" xr:uid="{00000000-0005-0000-0000-00003D530000}"/>
    <cellStyle name="Percent 34 4 2 5" xfId="21229" xr:uid="{00000000-0005-0000-0000-00003E530000}"/>
    <cellStyle name="Percent 34 4 2 6" xfId="21230" xr:uid="{00000000-0005-0000-0000-00003F530000}"/>
    <cellStyle name="Percent 34 5" xfId="21231" xr:uid="{00000000-0005-0000-0000-000040530000}"/>
    <cellStyle name="Percent 34 5 2" xfId="21232" xr:uid="{00000000-0005-0000-0000-000041530000}"/>
    <cellStyle name="Percent 34 5 2 2" xfId="21233" xr:uid="{00000000-0005-0000-0000-000042530000}"/>
    <cellStyle name="Percent 34 5 2 2 2" xfId="21234" xr:uid="{00000000-0005-0000-0000-000043530000}"/>
    <cellStyle name="Percent 34 5 2 2 2 2" xfId="21235" xr:uid="{00000000-0005-0000-0000-000044530000}"/>
    <cellStyle name="Percent 34 5 2 2 2 3" xfId="21236" xr:uid="{00000000-0005-0000-0000-000045530000}"/>
    <cellStyle name="Percent 34 5 2 2 3" xfId="21237" xr:uid="{00000000-0005-0000-0000-000046530000}"/>
    <cellStyle name="Percent 34 5 2 2 4" xfId="21238" xr:uid="{00000000-0005-0000-0000-000047530000}"/>
    <cellStyle name="Percent 34 5 2 3" xfId="21239" xr:uid="{00000000-0005-0000-0000-000048530000}"/>
    <cellStyle name="Percent 34 5 2 3 2" xfId="21240" xr:uid="{00000000-0005-0000-0000-000049530000}"/>
    <cellStyle name="Percent 34 5 2 3 3" xfId="21241" xr:uid="{00000000-0005-0000-0000-00004A530000}"/>
    <cellStyle name="Percent 34 5 2 4" xfId="21242" xr:uid="{00000000-0005-0000-0000-00004B530000}"/>
    <cellStyle name="Percent 34 5 2 5" xfId="21243" xr:uid="{00000000-0005-0000-0000-00004C530000}"/>
    <cellStyle name="Percent 34 5 3" xfId="21244" xr:uid="{00000000-0005-0000-0000-00004D530000}"/>
    <cellStyle name="Percent 34 5 3 2" xfId="21245" xr:uid="{00000000-0005-0000-0000-00004E530000}"/>
    <cellStyle name="Percent 34 5 3 2 2" xfId="21246" xr:uid="{00000000-0005-0000-0000-00004F530000}"/>
    <cellStyle name="Percent 34 5 3 2 3" xfId="21247" xr:uid="{00000000-0005-0000-0000-000050530000}"/>
    <cellStyle name="Percent 34 5 3 3" xfId="21248" xr:uid="{00000000-0005-0000-0000-000051530000}"/>
    <cellStyle name="Percent 34 5 3 4" xfId="21249" xr:uid="{00000000-0005-0000-0000-000052530000}"/>
    <cellStyle name="Percent 34 5 4" xfId="21250" xr:uid="{00000000-0005-0000-0000-000053530000}"/>
    <cellStyle name="Percent 34 5 4 2" xfId="21251" xr:uid="{00000000-0005-0000-0000-000054530000}"/>
    <cellStyle name="Percent 34 5 4 3" xfId="21252" xr:uid="{00000000-0005-0000-0000-000055530000}"/>
    <cellStyle name="Percent 34 5 5" xfId="21253" xr:uid="{00000000-0005-0000-0000-000056530000}"/>
    <cellStyle name="Percent 34 5 6" xfId="21254" xr:uid="{00000000-0005-0000-0000-000057530000}"/>
    <cellStyle name="Percent 35" xfId="21255" xr:uid="{00000000-0005-0000-0000-000058530000}"/>
    <cellStyle name="Percent 35 2" xfId="21256" xr:uid="{00000000-0005-0000-0000-000059530000}"/>
    <cellStyle name="Percent 35 2 2" xfId="21257" xr:uid="{00000000-0005-0000-0000-00005A530000}"/>
    <cellStyle name="Percent 35 2 2 2" xfId="21258" xr:uid="{00000000-0005-0000-0000-00005B530000}"/>
    <cellStyle name="Percent 35 2 2 2 2" xfId="21259" xr:uid="{00000000-0005-0000-0000-00005C530000}"/>
    <cellStyle name="Percent 35 2 2 2 2 2" xfId="21260" xr:uid="{00000000-0005-0000-0000-00005D530000}"/>
    <cellStyle name="Percent 35 2 2 2 2 2 2" xfId="21261" xr:uid="{00000000-0005-0000-0000-00005E530000}"/>
    <cellStyle name="Percent 35 2 2 2 2 2 3" xfId="21262" xr:uid="{00000000-0005-0000-0000-00005F530000}"/>
    <cellStyle name="Percent 35 2 2 2 2 3" xfId="21263" xr:uid="{00000000-0005-0000-0000-000060530000}"/>
    <cellStyle name="Percent 35 2 2 2 2 4" xfId="21264" xr:uid="{00000000-0005-0000-0000-000061530000}"/>
    <cellStyle name="Percent 35 2 2 2 3" xfId="21265" xr:uid="{00000000-0005-0000-0000-000062530000}"/>
    <cellStyle name="Percent 35 2 2 2 3 2" xfId="21266" xr:uid="{00000000-0005-0000-0000-000063530000}"/>
    <cellStyle name="Percent 35 2 2 2 3 3" xfId="21267" xr:uid="{00000000-0005-0000-0000-000064530000}"/>
    <cellStyle name="Percent 35 2 2 2 4" xfId="21268" xr:uid="{00000000-0005-0000-0000-000065530000}"/>
    <cellStyle name="Percent 35 2 2 2 5" xfId="21269" xr:uid="{00000000-0005-0000-0000-000066530000}"/>
    <cellStyle name="Percent 35 2 2 3" xfId="21270" xr:uid="{00000000-0005-0000-0000-000067530000}"/>
    <cellStyle name="Percent 35 2 2 3 2" xfId="21271" xr:uid="{00000000-0005-0000-0000-000068530000}"/>
    <cellStyle name="Percent 35 2 2 3 2 2" xfId="21272" xr:uid="{00000000-0005-0000-0000-000069530000}"/>
    <cellStyle name="Percent 35 2 2 3 2 3" xfId="21273" xr:uid="{00000000-0005-0000-0000-00006A530000}"/>
    <cellStyle name="Percent 35 2 2 3 3" xfId="21274" xr:uid="{00000000-0005-0000-0000-00006B530000}"/>
    <cellStyle name="Percent 35 2 2 3 4" xfId="21275" xr:uid="{00000000-0005-0000-0000-00006C530000}"/>
    <cellStyle name="Percent 35 2 2 4" xfId="21276" xr:uid="{00000000-0005-0000-0000-00006D530000}"/>
    <cellStyle name="Percent 35 2 2 4 2" xfId="21277" xr:uid="{00000000-0005-0000-0000-00006E530000}"/>
    <cellStyle name="Percent 35 2 2 4 3" xfId="21278" xr:uid="{00000000-0005-0000-0000-00006F530000}"/>
    <cellStyle name="Percent 35 2 2 5" xfId="21279" xr:uid="{00000000-0005-0000-0000-000070530000}"/>
    <cellStyle name="Percent 35 2 2 6" xfId="21280" xr:uid="{00000000-0005-0000-0000-000071530000}"/>
    <cellStyle name="Percent 35 2 3" xfId="21281" xr:uid="{00000000-0005-0000-0000-000072530000}"/>
    <cellStyle name="Percent 35 2 3 2" xfId="21282" xr:uid="{00000000-0005-0000-0000-000073530000}"/>
    <cellStyle name="Percent 35 2 3 2 2" xfId="21283" xr:uid="{00000000-0005-0000-0000-000074530000}"/>
    <cellStyle name="Percent 35 2 3 2 2 2" xfId="21284" xr:uid="{00000000-0005-0000-0000-000075530000}"/>
    <cellStyle name="Percent 35 2 3 2 2 3" xfId="21285" xr:uid="{00000000-0005-0000-0000-000076530000}"/>
    <cellStyle name="Percent 35 2 3 2 3" xfId="21286" xr:uid="{00000000-0005-0000-0000-000077530000}"/>
    <cellStyle name="Percent 35 2 3 2 4" xfId="21287" xr:uid="{00000000-0005-0000-0000-000078530000}"/>
    <cellStyle name="Percent 35 2 3 3" xfId="21288" xr:uid="{00000000-0005-0000-0000-000079530000}"/>
    <cellStyle name="Percent 35 2 3 3 2" xfId="21289" xr:uid="{00000000-0005-0000-0000-00007A530000}"/>
    <cellStyle name="Percent 35 2 3 3 3" xfId="21290" xr:uid="{00000000-0005-0000-0000-00007B530000}"/>
    <cellStyle name="Percent 35 2 3 4" xfId="21291" xr:uid="{00000000-0005-0000-0000-00007C530000}"/>
    <cellStyle name="Percent 35 2 3 5" xfId="21292" xr:uid="{00000000-0005-0000-0000-00007D530000}"/>
    <cellStyle name="Percent 35 2 4" xfId="21293" xr:uid="{00000000-0005-0000-0000-00007E530000}"/>
    <cellStyle name="Percent 35 2 4 2" xfId="21294" xr:uid="{00000000-0005-0000-0000-00007F530000}"/>
    <cellStyle name="Percent 35 2 4 2 2" xfId="21295" xr:uid="{00000000-0005-0000-0000-000080530000}"/>
    <cellStyle name="Percent 35 2 4 2 3" xfId="21296" xr:uid="{00000000-0005-0000-0000-000081530000}"/>
    <cellStyle name="Percent 35 2 4 3" xfId="21297" xr:uid="{00000000-0005-0000-0000-000082530000}"/>
    <cellStyle name="Percent 35 2 4 4" xfId="21298" xr:uid="{00000000-0005-0000-0000-000083530000}"/>
    <cellStyle name="Percent 35 2 5" xfId="21299" xr:uid="{00000000-0005-0000-0000-000084530000}"/>
    <cellStyle name="Percent 35 2 5 2" xfId="21300" xr:uid="{00000000-0005-0000-0000-000085530000}"/>
    <cellStyle name="Percent 35 2 5 3" xfId="21301" xr:uid="{00000000-0005-0000-0000-000086530000}"/>
    <cellStyle name="Percent 35 2 6" xfId="21302" xr:uid="{00000000-0005-0000-0000-000087530000}"/>
    <cellStyle name="Percent 35 2 7" xfId="21303" xr:uid="{00000000-0005-0000-0000-000088530000}"/>
    <cellStyle name="Percent 35 3" xfId="21304" xr:uid="{00000000-0005-0000-0000-000089530000}"/>
    <cellStyle name="Percent 35 3 2" xfId="21305" xr:uid="{00000000-0005-0000-0000-00008A530000}"/>
    <cellStyle name="Percent 35 3 2 2" xfId="21306" xr:uid="{00000000-0005-0000-0000-00008B530000}"/>
    <cellStyle name="Percent 35 3 2 2 2" xfId="21307" xr:uid="{00000000-0005-0000-0000-00008C530000}"/>
    <cellStyle name="Percent 35 3 2 2 2 2" xfId="21308" xr:uid="{00000000-0005-0000-0000-00008D530000}"/>
    <cellStyle name="Percent 35 3 2 2 2 2 2" xfId="21309" xr:uid="{00000000-0005-0000-0000-00008E530000}"/>
    <cellStyle name="Percent 35 3 2 2 2 2 3" xfId="21310" xr:uid="{00000000-0005-0000-0000-00008F530000}"/>
    <cellStyle name="Percent 35 3 2 2 2 3" xfId="21311" xr:uid="{00000000-0005-0000-0000-000090530000}"/>
    <cellStyle name="Percent 35 3 2 2 2 4" xfId="21312" xr:uid="{00000000-0005-0000-0000-000091530000}"/>
    <cellStyle name="Percent 35 3 2 2 3" xfId="21313" xr:uid="{00000000-0005-0000-0000-000092530000}"/>
    <cellStyle name="Percent 35 3 2 2 3 2" xfId="21314" xr:uid="{00000000-0005-0000-0000-000093530000}"/>
    <cellStyle name="Percent 35 3 2 2 3 3" xfId="21315" xr:uid="{00000000-0005-0000-0000-000094530000}"/>
    <cellStyle name="Percent 35 3 2 2 4" xfId="21316" xr:uid="{00000000-0005-0000-0000-000095530000}"/>
    <cellStyle name="Percent 35 3 2 2 5" xfId="21317" xr:uid="{00000000-0005-0000-0000-000096530000}"/>
    <cellStyle name="Percent 35 3 2 3" xfId="21318" xr:uid="{00000000-0005-0000-0000-000097530000}"/>
    <cellStyle name="Percent 35 3 2 3 2" xfId="21319" xr:uid="{00000000-0005-0000-0000-000098530000}"/>
    <cellStyle name="Percent 35 3 2 3 2 2" xfId="21320" xr:uid="{00000000-0005-0000-0000-000099530000}"/>
    <cellStyle name="Percent 35 3 2 3 2 3" xfId="21321" xr:uid="{00000000-0005-0000-0000-00009A530000}"/>
    <cellStyle name="Percent 35 3 2 3 3" xfId="21322" xr:uid="{00000000-0005-0000-0000-00009B530000}"/>
    <cellStyle name="Percent 35 3 2 3 4" xfId="21323" xr:uid="{00000000-0005-0000-0000-00009C530000}"/>
    <cellStyle name="Percent 35 3 2 4" xfId="21324" xr:uid="{00000000-0005-0000-0000-00009D530000}"/>
    <cellStyle name="Percent 35 3 2 4 2" xfId="21325" xr:uid="{00000000-0005-0000-0000-00009E530000}"/>
    <cellStyle name="Percent 35 3 2 4 3" xfId="21326" xr:uid="{00000000-0005-0000-0000-00009F530000}"/>
    <cellStyle name="Percent 35 3 2 5" xfId="21327" xr:uid="{00000000-0005-0000-0000-0000A0530000}"/>
    <cellStyle name="Percent 35 3 2 6" xfId="21328" xr:uid="{00000000-0005-0000-0000-0000A1530000}"/>
    <cellStyle name="Percent 35 3 3" xfId="21329" xr:uid="{00000000-0005-0000-0000-0000A2530000}"/>
    <cellStyle name="Percent 35 3 3 2" xfId="21330" xr:uid="{00000000-0005-0000-0000-0000A3530000}"/>
    <cellStyle name="Percent 35 3 3 2 2" xfId="21331" xr:uid="{00000000-0005-0000-0000-0000A4530000}"/>
    <cellStyle name="Percent 35 3 3 2 2 2" xfId="21332" xr:uid="{00000000-0005-0000-0000-0000A5530000}"/>
    <cellStyle name="Percent 35 3 3 2 2 3" xfId="21333" xr:uid="{00000000-0005-0000-0000-0000A6530000}"/>
    <cellStyle name="Percent 35 3 3 2 3" xfId="21334" xr:uid="{00000000-0005-0000-0000-0000A7530000}"/>
    <cellStyle name="Percent 35 3 3 2 4" xfId="21335" xr:uid="{00000000-0005-0000-0000-0000A8530000}"/>
    <cellStyle name="Percent 35 3 3 3" xfId="21336" xr:uid="{00000000-0005-0000-0000-0000A9530000}"/>
    <cellStyle name="Percent 35 3 3 3 2" xfId="21337" xr:uid="{00000000-0005-0000-0000-0000AA530000}"/>
    <cellStyle name="Percent 35 3 3 3 3" xfId="21338" xr:uid="{00000000-0005-0000-0000-0000AB530000}"/>
    <cellStyle name="Percent 35 3 3 4" xfId="21339" xr:uid="{00000000-0005-0000-0000-0000AC530000}"/>
    <cellStyle name="Percent 35 3 3 5" xfId="21340" xr:uid="{00000000-0005-0000-0000-0000AD530000}"/>
    <cellStyle name="Percent 35 3 4" xfId="21341" xr:uid="{00000000-0005-0000-0000-0000AE530000}"/>
    <cellStyle name="Percent 35 3 4 2" xfId="21342" xr:uid="{00000000-0005-0000-0000-0000AF530000}"/>
    <cellStyle name="Percent 35 3 4 2 2" xfId="21343" xr:uid="{00000000-0005-0000-0000-0000B0530000}"/>
    <cellStyle name="Percent 35 3 4 2 3" xfId="21344" xr:uid="{00000000-0005-0000-0000-0000B1530000}"/>
    <cellStyle name="Percent 35 3 4 3" xfId="21345" xr:uid="{00000000-0005-0000-0000-0000B2530000}"/>
    <cellStyle name="Percent 35 3 4 4" xfId="21346" xr:uid="{00000000-0005-0000-0000-0000B3530000}"/>
    <cellStyle name="Percent 35 3 5" xfId="21347" xr:uid="{00000000-0005-0000-0000-0000B4530000}"/>
    <cellStyle name="Percent 35 3 5 2" xfId="21348" xr:uid="{00000000-0005-0000-0000-0000B5530000}"/>
    <cellStyle name="Percent 35 3 5 3" xfId="21349" xr:uid="{00000000-0005-0000-0000-0000B6530000}"/>
    <cellStyle name="Percent 35 3 6" xfId="21350" xr:uid="{00000000-0005-0000-0000-0000B7530000}"/>
    <cellStyle name="Percent 35 3 7" xfId="21351" xr:uid="{00000000-0005-0000-0000-0000B8530000}"/>
    <cellStyle name="Percent 35 4" xfId="21352" xr:uid="{00000000-0005-0000-0000-0000B9530000}"/>
    <cellStyle name="Percent 35 4 2" xfId="21353" xr:uid="{00000000-0005-0000-0000-0000BA530000}"/>
    <cellStyle name="Percent 35 4 2 2" xfId="21354" xr:uid="{00000000-0005-0000-0000-0000BB530000}"/>
    <cellStyle name="Percent 35 4 2 2 2" xfId="21355" xr:uid="{00000000-0005-0000-0000-0000BC530000}"/>
    <cellStyle name="Percent 35 4 2 2 2 2" xfId="21356" xr:uid="{00000000-0005-0000-0000-0000BD530000}"/>
    <cellStyle name="Percent 35 4 2 2 2 2 2" xfId="21357" xr:uid="{00000000-0005-0000-0000-0000BE530000}"/>
    <cellStyle name="Percent 35 4 2 2 2 2 3" xfId="21358" xr:uid="{00000000-0005-0000-0000-0000BF530000}"/>
    <cellStyle name="Percent 35 4 2 2 2 3" xfId="21359" xr:uid="{00000000-0005-0000-0000-0000C0530000}"/>
    <cellStyle name="Percent 35 4 2 2 2 4" xfId="21360" xr:uid="{00000000-0005-0000-0000-0000C1530000}"/>
    <cellStyle name="Percent 35 4 2 2 3" xfId="21361" xr:uid="{00000000-0005-0000-0000-0000C2530000}"/>
    <cellStyle name="Percent 35 4 2 2 3 2" xfId="21362" xr:uid="{00000000-0005-0000-0000-0000C3530000}"/>
    <cellStyle name="Percent 35 4 2 2 3 3" xfId="21363" xr:uid="{00000000-0005-0000-0000-0000C4530000}"/>
    <cellStyle name="Percent 35 4 2 2 4" xfId="21364" xr:uid="{00000000-0005-0000-0000-0000C5530000}"/>
    <cellStyle name="Percent 35 4 2 2 5" xfId="21365" xr:uid="{00000000-0005-0000-0000-0000C6530000}"/>
    <cellStyle name="Percent 35 4 2 3" xfId="21366" xr:uid="{00000000-0005-0000-0000-0000C7530000}"/>
    <cellStyle name="Percent 35 4 2 3 2" xfId="21367" xr:uid="{00000000-0005-0000-0000-0000C8530000}"/>
    <cellStyle name="Percent 35 4 2 3 2 2" xfId="21368" xr:uid="{00000000-0005-0000-0000-0000C9530000}"/>
    <cellStyle name="Percent 35 4 2 3 2 3" xfId="21369" xr:uid="{00000000-0005-0000-0000-0000CA530000}"/>
    <cellStyle name="Percent 35 4 2 3 3" xfId="21370" xr:uid="{00000000-0005-0000-0000-0000CB530000}"/>
    <cellStyle name="Percent 35 4 2 3 4" xfId="21371" xr:uid="{00000000-0005-0000-0000-0000CC530000}"/>
    <cellStyle name="Percent 35 4 2 4" xfId="21372" xr:uid="{00000000-0005-0000-0000-0000CD530000}"/>
    <cellStyle name="Percent 35 4 2 4 2" xfId="21373" xr:uid="{00000000-0005-0000-0000-0000CE530000}"/>
    <cellStyle name="Percent 35 4 2 4 3" xfId="21374" xr:uid="{00000000-0005-0000-0000-0000CF530000}"/>
    <cellStyle name="Percent 35 4 2 5" xfId="21375" xr:uid="{00000000-0005-0000-0000-0000D0530000}"/>
    <cellStyle name="Percent 35 4 2 6" xfId="21376" xr:uid="{00000000-0005-0000-0000-0000D1530000}"/>
    <cellStyle name="Percent 35 5" xfId="21377" xr:uid="{00000000-0005-0000-0000-0000D2530000}"/>
    <cellStyle name="Percent 35 5 2" xfId="21378" xr:uid="{00000000-0005-0000-0000-0000D3530000}"/>
    <cellStyle name="Percent 35 5 2 2" xfId="21379" xr:uid="{00000000-0005-0000-0000-0000D4530000}"/>
    <cellStyle name="Percent 35 5 2 2 2" xfId="21380" xr:uid="{00000000-0005-0000-0000-0000D5530000}"/>
    <cellStyle name="Percent 35 5 2 2 2 2" xfId="21381" xr:uid="{00000000-0005-0000-0000-0000D6530000}"/>
    <cellStyle name="Percent 35 5 2 2 2 3" xfId="21382" xr:uid="{00000000-0005-0000-0000-0000D7530000}"/>
    <cellStyle name="Percent 35 5 2 2 3" xfId="21383" xr:uid="{00000000-0005-0000-0000-0000D8530000}"/>
    <cellStyle name="Percent 35 5 2 2 4" xfId="21384" xr:uid="{00000000-0005-0000-0000-0000D9530000}"/>
    <cellStyle name="Percent 35 5 2 3" xfId="21385" xr:uid="{00000000-0005-0000-0000-0000DA530000}"/>
    <cellStyle name="Percent 35 5 2 3 2" xfId="21386" xr:uid="{00000000-0005-0000-0000-0000DB530000}"/>
    <cellStyle name="Percent 35 5 2 3 3" xfId="21387" xr:uid="{00000000-0005-0000-0000-0000DC530000}"/>
    <cellStyle name="Percent 35 5 2 4" xfId="21388" xr:uid="{00000000-0005-0000-0000-0000DD530000}"/>
    <cellStyle name="Percent 35 5 2 5" xfId="21389" xr:uid="{00000000-0005-0000-0000-0000DE530000}"/>
    <cellStyle name="Percent 35 5 3" xfId="21390" xr:uid="{00000000-0005-0000-0000-0000DF530000}"/>
    <cellStyle name="Percent 35 5 3 2" xfId="21391" xr:uid="{00000000-0005-0000-0000-0000E0530000}"/>
    <cellStyle name="Percent 35 5 3 2 2" xfId="21392" xr:uid="{00000000-0005-0000-0000-0000E1530000}"/>
    <cellStyle name="Percent 35 5 3 2 3" xfId="21393" xr:uid="{00000000-0005-0000-0000-0000E2530000}"/>
    <cellStyle name="Percent 35 5 3 3" xfId="21394" xr:uid="{00000000-0005-0000-0000-0000E3530000}"/>
    <cellStyle name="Percent 35 5 3 4" xfId="21395" xr:uid="{00000000-0005-0000-0000-0000E4530000}"/>
    <cellStyle name="Percent 35 5 4" xfId="21396" xr:uid="{00000000-0005-0000-0000-0000E5530000}"/>
    <cellStyle name="Percent 35 5 4 2" xfId="21397" xr:uid="{00000000-0005-0000-0000-0000E6530000}"/>
    <cellStyle name="Percent 35 5 4 3" xfId="21398" xr:uid="{00000000-0005-0000-0000-0000E7530000}"/>
    <cellStyle name="Percent 35 5 5" xfId="21399" xr:uid="{00000000-0005-0000-0000-0000E8530000}"/>
    <cellStyle name="Percent 35 5 6" xfId="21400" xr:uid="{00000000-0005-0000-0000-0000E9530000}"/>
    <cellStyle name="Percent 36" xfId="21401" xr:uid="{00000000-0005-0000-0000-0000EA530000}"/>
    <cellStyle name="Percent 37" xfId="21402" xr:uid="{00000000-0005-0000-0000-0000EB530000}"/>
    <cellStyle name="Percent 38" xfId="21403" xr:uid="{00000000-0005-0000-0000-0000EC530000}"/>
    <cellStyle name="Percent 39" xfId="21404" xr:uid="{00000000-0005-0000-0000-0000ED530000}"/>
    <cellStyle name="Percent 4" xfId="41" xr:uid="{00000000-0005-0000-0000-0000EE530000}"/>
    <cellStyle name="Percent 4 10" xfId="21405" xr:uid="{00000000-0005-0000-0000-0000EF530000}"/>
    <cellStyle name="Percent 4 11" xfId="21406" xr:uid="{00000000-0005-0000-0000-0000F0530000}"/>
    <cellStyle name="Percent 4 12" xfId="21407" xr:uid="{00000000-0005-0000-0000-0000F1530000}"/>
    <cellStyle name="Percent 4 13" xfId="21408" xr:uid="{00000000-0005-0000-0000-0000F2530000}"/>
    <cellStyle name="Percent 4 14" xfId="21409" xr:uid="{00000000-0005-0000-0000-0000F3530000}"/>
    <cellStyle name="Percent 4 15" xfId="21410" xr:uid="{00000000-0005-0000-0000-0000F4530000}"/>
    <cellStyle name="Percent 4 16" xfId="21411" xr:uid="{00000000-0005-0000-0000-0000F5530000}"/>
    <cellStyle name="Percent 4 17" xfId="21412" xr:uid="{00000000-0005-0000-0000-0000F6530000}"/>
    <cellStyle name="Percent 4 18" xfId="21413" xr:uid="{00000000-0005-0000-0000-0000F7530000}"/>
    <cellStyle name="Percent 4 19" xfId="21414" xr:uid="{00000000-0005-0000-0000-0000F8530000}"/>
    <cellStyle name="Percent 4 2" xfId="21415" xr:uid="{00000000-0005-0000-0000-0000F9530000}"/>
    <cellStyle name="Percent 4 2 2" xfId="21416" xr:uid="{00000000-0005-0000-0000-0000FA530000}"/>
    <cellStyle name="Percent 4 2 2 2" xfId="21417" xr:uid="{00000000-0005-0000-0000-0000FB530000}"/>
    <cellStyle name="Percent 4 2 2 3" xfId="21418" xr:uid="{00000000-0005-0000-0000-0000FC530000}"/>
    <cellStyle name="Percent 4 20" xfId="21419" xr:uid="{00000000-0005-0000-0000-0000FD530000}"/>
    <cellStyle name="Percent 4 21" xfId="21420" xr:uid="{00000000-0005-0000-0000-0000FE530000}"/>
    <cellStyle name="Percent 4 22" xfId="21421" xr:uid="{00000000-0005-0000-0000-0000FF530000}"/>
    <cellStyle name="Percent 4 23" xfId="21422" xr:uid="{00000000-0005-0000-0000-000000540000}"/>
    <cellStyle name="Percent 4 24" xfId="21423" xr:uid="{00000000-0005-0000-0000-000001540000}"/>
    <cellStyle name="Percent 4 25" xfId="21424" xr:uid="{00000000-0005-0000-0000-000002540000}"/>
    <cellStyle name="Percent 4 26" xfId="21425" xr:uid="{00000000-0005-0000-0000-000003540000}"/>
    <cellStyle name="Percent 4 27" xfId="21426" xr:uid="{00000000-0005-0000-0000-000004540000}"/>
    <cellStyle name="Percent 4 28" xfId="21427" xr:uid="{00000000-0005-0000-0000-000005540000}"/>
    <cellStyle name="Percent 4 3" xfId="21428" xr:uid="{00000000-0005-0000-0000-000006540000}"/>
    <cellStyle name="Percent 4 4" xfId="21429" xr:uid="{00000000-0005-0000-0000-000007540000}"/>
    <cellStyle name="Percent 4 5" xfId="21430" xr:uid="{00000000-0005-0000-0000-000008540000}"/>
    <cellStyle name="Percent 4 6" xfId="21431" xr:uid="{00000000-0005-0000-0000-000009540000}"/>
    <cellStyle name="Percent 4 7" xfId="21432" xr:uid="{00000000-0005-0000-0000-00000A540000}"/>
    <cellStyle name="Percent 4 8" xfId="21433" xr:uid="{00000000-0005-0000-0000-00000B540000}"/>
    <cellStyle name="Percent 4 9" xfId="21434" xr:uid="{00000000-0005-0000-0000-00000C540000}"/>
    <cellStyle name="Percent 40" xfId="21435" xr:uid="{00000000-0005-0000-0000-00000D540000}"/>
    <cellStyle name="Percent 41" xfId="21436" xr:uid="{00000000-0005-0000-0000-00000E540000}"/>
    <cellStyle name="Percent 42" xfId="21437" xr:uid="{00000000-0005-0000-0000-00000F540000}"/>
    <cellStyle name="Percent 43" xfId="21438" xr:uid="{00000000-0005-0000-0000-000010540000}"/>
    <cellStyle name="Percent 44" xfId="21439" xr:uid="{00000000-0005-0000-0000-000011540000}"/>
    <cellStyle name="Percent 45" xfId="21440" xr:uid="{00000000-0005-0000-0000-000012540000}"/>
    <cellStyle name="Percent 46" xfId="21441" xr:uid="{00000000-0005-0000-0000-000013540000}"/>
    <cellStyle name="Percent 47" xfId="21442" xr:uid="{00000000-0005-0000-0000-000014540000}"/>
    <cellStyle name="Percent 48" xfId="21443" xr:uid="{00000000-0005-0000-0000-000015540000}"/>
    <cellStyle name="Percent 49" xfId="21444" xr:uid="{00000000-0005-0000-0000-000016540000}"/>
    <cellStyle name="Percent 5" xfId="42" xr:uid="{00000000-0005-0000-0000-000017540000}"/>
    <cellStyle name="Percent 5 10" xfId="21445" xr:uid="{00000000-0005-0000-0000-000018540000}"/>
    <cellStyle name="Percent 5 11" xfId="21446" xr:uid="{00000000-0005-0000-0000-000019540000}"/>
    <cellStyle name="Percent 5 12" xfId="21447" xr:uid="{00000000-0005-0000-0000-00001A540000}"/>
    <cellStyle name="Percent 5 13" xfId="21448" xr:uid="{00000000-0005-0000-0000-00001B540000}"/>
    <cellStyle name="Percent 5 14" xfId="21449" xr:uid="{00000000-0005-0000-0000-00001C540000}"/>
    <cellStyle name="Percent 5 15" xfId="21450" xr:uid="{00000000-0005-0000-0000-00001D540000}"/>
    <cellStyle name="Percent 5 16" xfId="21451" xr:uid="{00000000-0005-0000-0000-00001E540000}"/>
    <cellStyle name="Percent 5 17" xfId="21452" xr:uid="{00000000-0005-0000-0000-00001F540000}"/>
    <cellStyle name="Percent 5 18" xfId="21453" xr:uid="{00000000-0005-0000-0000-000020540000}"/>
    <cellStyle name="Percent 5 19" xfId="21454" xr:uid="{00000000-0005-0000-0000-000021540000}"/>
    <cellStyle name="Percent 5 2" xfId="21455" xr:uid="{00000000-0005-0000-0000-000022540000}"/>
    <cellStyle name="Percent 5 2 10" xfId="21456" xr:uid="{00000000-0005-0000-0000-000023540000}"/>
    <cellStyle name="Percent 5 2 11" xfId="21457" xr:uid="{00000000-0005-0000-0000-000024540000}"/>
    <cellStyle name="Percent 5 2 2" xfId="21458" xr:uid="{00000000-0005-0000-0000-000025540000}"/>
    <cellStyle name="Percent 5 2 2 2" xfId="21459" xr:uid="{00000000-0005-0000-0000-000026540000}"/>
    <cellStyle name="Percent 5 2 2 2 2" xfId="21460" xr:uid="{00000000-0005-0000-0000-000027540000}"/>
    <cellStyle name="Percent 5 2 2 2 2 2" xfId="21461" xr:uid="{00000000-0005-0000-0000-000028540000}"/>
    <cellStyle name="Percent 5 2 2 2 2 2 2" xfId="21462" xr:uid="{00000000-0005-0000-0000-000029540000}"/>
    <cellStyle name="Percent 5 2 2 2 2 2 2 2" xfId="21463" xr:uid="{00000000-0005-0000-0000-00002A540000}"/>
    <cellStyle name="Percent 5 2 2 2 2 2 2 3" xfId="21464" xr:uid="{00000000-0005-0000-0000-00002B540000}"/>
    <cellStyle name="Percent 5 2 2 2 2 2 3" xfId="21465" xr:uid="{00000000-0005-0000-0000-00002C540000}"/>
    <cellStyle name="Percent 5 2 2 2 2 2 4" xfId="21466" xr:uid="{00000000-0005-0000-0000-00002D540000}"/>
    <cellStyle name="Percent 5 2 2 2 2 3" xfId="21467" xr:uid="{00000000-0005-0000-0000-00002E540000}"/>
    <cellStyle name="Percent 5 2 2 2 2 3 2" xfId="21468" xr:uid="{00000000-0005-0000-0000-00002F540000}"/>
    <cellStyle name="Percent 5 2 2 2 2 3 3" xfId="21469" xr:uid="{00000000-0005-0000-0000-000030540000}"/>
    <cellStyle name="Percent 5 2 2 2 2 4" xfId="21470" xr:uid="{00000000-0005-0000-0000-000031540000}"/>
    <cellStyle name="Percent 5 2 2 2 2 5" xfId="21471" xr:uid="{00000000-0005-0000-0000-000032540000}"/>
    <cellStyle name="Percent 5 2 2 2 3" xfId="21472" xr:uid="{00000000-0005-0000-0000-000033540000}"/>
    <cellStyle name="Percent 5 2 2 2 3 2" xfId="21473" xr:uid="{00000000-0005-0000-0000-000034540000}"/>
    <cellStyle name="Percent 5 2 2 2 3 2 2" xfId="21474" xr:uid="{00000000-0005-0000-0000-000035540000}"/>
    <cellStyle name="Percent 5 2 2 2 3 2 3" xfId="21475" xr:uid="{00000000-0005-0000-0000-000036540000}"/>
    <cellStyle name="Percent 5 2 2 2 3 3" xfId="21476" xr:uid="{00000000-0005-0000-0000-000037540000}"/>
    <cellStyle name="Percent 5 2 2 2 3 4" xfId="21477" xr:uid="{00000000-0005-0000-0000-000038540000}"/>
    <cellStyle name="Percent 5 2 2 2 4" xfId="21478" xr:uid="{00000000-0005-0000-0000-000039540000}"/>
    <cellStyle name="Percent 5 2 2 2 4 2" xfId="21479" xr:uid="{00000000-0005-0000-0000-00003A540000}"/>
    <cellStyle name="Percent 5 2 2 2 4 3" xfId="21480" xr:uid="{00000000-0005-0000-0000-00003B540000}"/>
    <cellStyle name="Percent 5 2 2 2 5" xfId="21481" xr:uid="{00000000-0005-0000-0000-00003C540000}"/>
    <cellStyle name="Percent 5 2 2 2 5 2" xfId="21482" xr:uid="{00000000-0005-0000-0000-00003D540000}"/>
    <cellStyle name="Percent 5 2 2 2 5 3" xfId="21483" xr:uid="{00000000-0005-0000-0000-00003E540000}"/>
    <cellStyle name="Percent 5 2 2 2 6" xfId="21484" xr:uid="{00000000-0005-0000-0000-00003F540000}"/>
    <cellStyle name="Percent 5 2 2 2 7" xfId="21485" xr:uid="{00000000-0005-0000-0000-000040540000}"/>
    <cellStyle name="Percent 5 2 2 3" xfId="21486" xr:uid="{00000000-0005-0000-0000-000041540000}"/>
    <cellStyle name="Percent 5 2 2 4" xfId="21487" xr:uid="{00000000-0005-0000-0000-000042540000}"/>
    <cellStyle name="Percent 5 2 2 4 2" xfId="21488" xr:uid="{00000000-0005-0000-0000-000043540000}"/>
    <cellStyle name="Percent 5 2 2 4 2 2" xfId="21489" xr:uid="{00000000-0005-0000-0000-000044540000}"/>
    <cellStyle name="Percent 5 2 2 4 2 2 2" xfId="21490" xr:uid="{00000000-0005-0000-0000-000045540000}"/>
    <cellStyle name="Percent 5 2 2 4 2 2 3" xfId="21491" xr:uid="{00000000-0005-0000-0000-000046540000}"/>
    <cellStyle name="Percent 5 2 2 4 2 3" xfId="21492" xr:uid="{00000000-0005-0000-0000-000047540000}"/>
    <cellStyle name="Percent 5 2 2 4 2 4" xfId="21493" xr:uid="{00000000-0005-0000-0000-000048540000}"/>
    <cellStyle name="Percent 5 2 2 4 3" xfId="21494" xr:uid="{00000000-0005-0000-0000-000049540000}"/>
    <cellStyle name="Percent 5 2 2 4 3 2" xfId="21495" xr:uid="{00000000-0005-0000-0000-00004A540000}"/>
    <cellStyle name="Percent 5 2 2 4 3 3" xfId="21496" xr:uid="{00000000-0005-0000-0000-00004B540000}"/>
    <cellStyle name="Percent 5 2 2 4 4" xfId="21497" xr:uid="{00000000-0005-0000-0000-00004C540000}"/>
    <cellStyle name="Percent 5 2 2 4 5" xfId="21498" xr:uid="{00000000-0005-0000-0000-00004D540000}"/>
    <cellStyle name="Percent 5 2 2 5" xfId="21499" xr:uid="{00000000-0005-0000-0000-00004E540000}"/>
    <cellStyle name="Percent 5 2 2 5 2" xfId="21500" xr:uid="{00000000-0005-0000-0000-00004F540000}"/>
    <cellStyle name="Percent 5 2 2 5 2 2" xfId="21501" xr:uid="{00000000-0005-0000-0000-000050540000}"/>
    <cellStyle name="Percent 5 2 2 5 2 3" xfId="21502" xr:uid="{00000000-0005-0000-0000-000051540000}"/>
    <cellStyle name="Percent 5 2 2 5 3" xfId="21503" xr:uid="{00000000-0005-0000-0000-000052540000}"/>
    <cellStyle name="Percent 5 2 2 5 4" xfId="21504" xr:uid="{00000000-0005-0000-0000-000053540000}"/>
    <cellStyle name="Percent 5 2 2 6" xfId="21505" xr:uid="{00000000-0005-0000-0000-000054540000}"/>
    <cellStyle name="Percent 5 2 2 6 2" xfId="21506" xr:uid="{00000000-0005-0000-0000-000055540000}"/>
    <cellStyle name="Percent 5 2 2 6 3" xfId="21507" xr:uid="{00000000-0005-0000-0000-000056540000}"/>
    <cellStyle name="Percent 5 2 2 7" xfId="21508" xr:uid="{00000000-0005-0000-0000-000057540000}"/>
    <cellStyle name="Percent 5 2 2 7 2" xfId="21509" xr:uid="{00000000-0005-0000-0000-000058540000}"/>
    <cellStyle name="Percent 5 2 2 7 3" xfId="21510" xr:uid="{00000000-0005-0000-0000-000059540000}"/>
    <cellStyle name="Percent 5 2 2 8" xfId="21511" xr:uid="{00000000-0005-0000-0000-00005A540000}"/>
    <cellStyle name="Percent 5 2 2 9" xfId="21512" xr:uid="{00000000-0005-0000-0000-00005B540000}"/>
    <cellStyle name="Percent 5 2 3" xfId="21513" xr:uid="{00000000-0005-0000-0000-00005C540000}"/>
    <cellStyle name="Percent 5 2 3 2" xfId="21514" xr:uid="{00000000-0005-0000-0000-00005D540000}"/>
    <cellStyle name="Percent 5 2 3 2 2" xfId="21515" xr:uid="{00000000-0005-0000-0000-00005E540000}"/>
    <cellStyle name="Percent 5 2 3 2 3" xfId="21516" xr:uid="{00000000-0005-0000-0000-00005F540000}"/>
    <cellStyle name="Percent 5 2 4" xfId="21517" xr:uid="{00000000-0005-0000-0000-000060540000}"/>
    <cellStyle name="Percent 5 2 4 2" xfId="21518" xr:uid="{00000000-0005-0000-0000-000061540000}"/>
    <cellStyle name="Percent 5 2 4 2 2" xfId="21519" xr:uid="{00000000-0005-0000-0000-000062540000}"/>
    <cellStyle name="Percent 5 2 4 2 2 2" xfId="21520" xr:uid="{00000000-0005-0000-0000-000063540000}"/>
    <cellStyle name="Percent 5 2 4 2 2 2 2" xfId="21521" xr:uid="{00000000-0005-0000-0000-000064540000}"/>
    <cellStyle name="Percent 5 2 4 2 2 2 3" xfId="21522" xr:uid="{00000000-0005-0000-0000-000065540000}"/>
    <cellStyle name="Percent 5 2 4 2 2 3" xfId="21523" xr:uid="{00000000-0005-0000-0000-000066540000}"/>
    <cellStyle name="Percent 5 2 4 2 2 4" xfId="21524" xr:uid="{00000000-0005-0000-0000-000067540000}"/>
    <cellStyle name="Percent 5 2 4 2 3" xfId="21525" xr:uid="{00000000-0005-0000-0000-000068540000}"/>
    <cellStyle name="Percent 5 2 4 2 3 2" xfId="21526" xr:uid="{00000000-0005-0000-0000-000069540000}"/>
    <cellStyle name="Percent 5 2 4 2 3 3" xfId="21527" xr:uid="{00000000-0005-0000-0000-00006A540000}"/>
    <cellStyle name="Percent 5 2 4 2 4" xfId="21528" xr:uid="{00000000-0005-0000-0000-00006B540000}"/>
    <cellStyle name="Percent 5 2 4 2 5" xfId="21529" xr:uid="{00000000-0005-0000-0000-00006C540000}"/>
    <cellStyle name="Percent 5 2 4 3" xfId="21530" xr:uid="{00000000-0005-0000-0000-00006D540000}"/>
    <cellStyle name="Percent 5 2 4 3 2" xfId="21531" xr:uid="{00000000-0005-0000-0000-00006E540000}"/>
    <cellStyle name="Percent 5 2 4 3 2 2" xfId="21532" xr:uid="{00000000-0005-0000-0000-00006F540000}"/>
    <cellStyle name="Percent 5 2 4 3 2 3" xfId="21533" xr:uid="{00000000-0005-0000-0000-000070540000}"/>
    <cellStyle name="Percent 5 2 4 3 3" xfId="21534" xr:uid="{00000000-0005-0000-0000-000071540000}"/>
    <cellStyle name="Percent 5 2 4 3 4" xfId="21535" xr:uid="{00000000-0005-0000-0000-000072540000}"/>
    <cellStyle name="Percent 5 2 4 4" xfId="21536" xr:uid="{00000000-0005-0000-0000-000073540000}"/>
    <cellStyle name="Percent 5 2 4 4 2" xfId="21537" xr:uid="{00000000-0005-0000-0000-000074540000}"/>
    <cellStyle name="Percent 5 2 4 4 3" xfId="21538" xr:uid="{00000000-0005-0000-0000-000075540000}"/>
    <cellStyle name="Percent 5 2 4 5" xfId="21539" xr:uid="{00000000-0005-0000-0000-000076540000}"/>
    <cellStyle name="Percent 5 2 4 6" xfId="21540" xr:uid="{00000000-0005-0000-0000-000077540000}"/>
    <cellStyle name="Percent 5 2 5" xfId="21541" xr:uid="{00000000-0005-0000-0000-000078540000}"/>
    <cellStyle name="Percent 5 2 6" xfId="21542" xr:uid="{00000000-0005-0000-0000-000079540000}"/>
    <cellStyle name="Percent 5 2 6 2" xfId="21543" xr:uid="{00000000-0005-0000-0000-00007A540000}"/>
    <cellStyle name="Percent 5 2 6 2 2" xfId="21544" xr:uid="{00000000-0005-0000-0000-00007B540000}"/>
    <cellStyle name="Percent 5 2 6 2 2 2" xfId="21545" xr:uid="{00000000-0005-0000-0000-00007C540000}"/>
    <cellStyle name="Percent 5 2 6 2 2 3" xfId="21546" xr:uid="{00000000-0005-0000-0000-00007D540000}"/>
    <cellStyle name="Percent 5 2 6 2 3" xfId="21547" xr:uid="{00000000-0005-0000-0000-00007E540000}"/>
    <cellStyle name="Percent 5 2 6 2 4" xfId="21548" xr:uid="{00000000-0005-0000-0000-00007F540000}"/>
    <cellStyle name="Percent 5 2 6 3" xfId="21549" xr:uid="{00000000-0005-0000-0000-000080540000}"/>
    <cellStyle name="Percent 5 2 6 3 2" xfId="21550" xr:uid="{00000000-0005-0000-0000-000081540000}"/>
    <cellStyle name="Percent 5 2 6 3 3" xfId="21551" xr:uid="{00000000-0005-0000-0000-000082540000}"/>
    <cellStyle name="Percent 5 2 6 4" xfId="21552" xr:uid="{00000000-0005-0000-0000-000083540000}"/>
    <cellStyle name="Percent 5 2 6 5" xfId="21553" xr:uid="{00000000-0005-0000-0000-000084540000}"/>
    <cellStyle name="Percent 5 2 7" xfId="21554" xr:uid="{00000000-0005-0000-0000-000085540000}"/>
    <cellStyle name="Percent 5 2 7 2" xfId="21555" xr:uid="{00000000-0005-0000-0000-000086540000}"/>
    <cellStyle name="Percent 5 2 7 2 2" xfId="21556" xr:uid="{00000000-0005-0000-0000-000087540000}"/>
    <cellStyle name="Percent 5 2 7 2 3" xfId="21557" xr:uid="{00000000-0005-0000-0000-000088540000}"/>
    <cellStyle name="Percent 5 2 7 3" xfId="21558" xr:uid="{00000000-0005-0000-0000-000089540000}"/>
    <cellStyle name="Percent 5 2 7 4" xfId="21559" xr:uid="{00000000-0005-0000-0000-00008A540000}"/>
    <cellStyle name="Percent 5 2 8" xfId="21560" xr:uid="{00000000-0005-0000-0000-00008B540000}"/>
    <cellStyle name="Percent 5 2 8 2" xfId="21561" xr:uid="{00000000-0005-0000-0000-00008C540000}"/>
    <cellStyle name="Percent 5 2 8 3" xfId="21562" xr:uid="{00000000-0005-0000-0000-00008D540000}"/>
    <cellStyle name="Percent 5 2 9" xfId="21563" xr:uid="{00000000-0005-0000-0000-00008E540000}"/>
    <cellStyle name="Percent 5 2 9 2" xfId="21564" xr:uid="{00000000-0005-0000-0000-00008F540000}"/>
    <cellStyle name="Percent 5 2 9 3" xfId="21565" xr:uid="{00000000-0005-0000-0000-000090540000}"/>
    <cellStyle name="Percent 5 20" xfId="21566" xr:uid="{00000000-0005-0000-0000-000091540000}"/>
    <cellStyle name="Percent 5 21" xfId="21567" xr:uid="{00000000-0005-0000-0000-000092540000}"/>
    <cellStyle name="Percent 5 22" xfId="21568" xr:uid="{00000000-0005-0000-0000-000093540000}"/>
    <cellStyle name="Percent 5 23" xfId="21569" xr:uid="{00000000-0005-0000-0000-000094540000}"/>
    <cellStyle name="Percent 5 24" xfId="21570" xr:uid="{00000000-0005-0000-0000-000095540000}"/>
    <cellStyle name="Percent 5 25" xfId="21571" xr:uid="{00000000-0005-0000-0000-000096540000}"/>
    <cellStyle name="Percent 5 26" xfId="21572" xr:uid="{00000000-0005-0000-0000-000097540000}"/>
    <cellStyle name="Percent 5 27" xfId="21573" xr:uid="{00000000-0005-0000-0000-000098540000}"/>
    <cellStyle name="Percent 5 28" xfId="21574" xr:uid="{00000000-0005-0000-0000-000099540000}"/>
    <cellStyle name="Percent 5 3" xfId="21575" xr:uid="{00000000-0005-0000-0000-00009A540000}"/>
    <cellStyle name="Percent 5 3 2" xfId="21576" xr:uid="{00000000-0005-0000-0000-00009B540000}"/>
    <cellStyle name="Percent 5 3 2 2" xfId="21577" xr:uid="{00000000-0005-0000-0000-00009C540000}"/>
    <cellStyle name="Percent 5 3 2 2 2" xfId="21578" xr:uid="{00000000-0005-0000-0000-00009D540000}"/>
    <cellStyle name="Percent 5 3 2 2 2 2" xfId="21579" xr:uid="{00000000-0005-0000-0000-00009E540000}"/>
    <cellStyle name="Percent 5 3 2 2 2 2 2" xfId="21580" xr:uid="{00000000-0005-0000-0000-00009F540000}"/>
    <cellStyle name="Percent 5 3 2 2 2 2 3" xfId="21581" xr:uid="{00000000-0005-0000-0000-0000A0540000}"/>
    <cellStyle name="Percent 5 3 2 2 2 3" xfId="21582" xr:uid="{00000000-0005-0000-0000-0000A1540000}"/>
    <cellStyle name="Percent 5 3 2 2 2 4" xfId="21583" xr:uid="{00000000-0005-0000-0000-0000A2540000}"/>
    <cellStyle name="Percent 5 3 2 2 3" xfId="21584" xr:uid="{00000000-0005-0000-0000-0000A3540000}"/>
    <cellStyle name="Percent 5 3 2 2 3 2" xfId="21585" xr:uid="{00000000-0005-0000-0000-0000A4540000}"/>
    <cellStyle name="Percent 5 3 2 2 3 3" xfId="21586" xr:uid="{00000000-0005-0000-0000-0000A5540000}"/>
    <cellStyle name="Percent 5 3 2 2 4" xfId="21587" xr:uid="{00000000-0005-0000-0000-0000A6540000}"/>
    <cellStyle name="Percent 5 3 2 2 5" xfId="21588" xr:uid="{00000000-0005-0000-0000-0000A7540000}"/>
    <cellStyle name="Percent 5 3 2 3" xfId="21589" xr:uid="{00000000-0005-0000-0000-0000A8540000}"/>
    <cellStyle name="Percent 5 3 2 3 2" xfId="21590" xr:uid="{00000000-0005-0000-0000-0000A9540000}"/>
    <cellStyle name="Percent 5 3 2 3 2 2" xfId="21591" xr:uid="{00000000-0005-0000-0000-0000AA540000}"/>
    <cellStyle name="Percent 5 3 2 3 2 3" xfId="21592" xr:uid="{00000000-0005-0000-0000-0000AB540000}"/>
    <cellStyle name="Percent 5 3 2 3 3" xfId="21593" xr:uid="{00000000-0005-0000-0000-0000AC540000}"/>
    <cellStyle name="Percent 5 3 2 3 4" xfId="21594" xr:uid="{00000000-0005-0000-0000-0000AD540000}"/>
    <cellStyle name="Percent 5 3 2 4" xfId="21595" xr:uid="{00000000-0005-0000-0000-0000AE540000}"/>
    <cellStyle name="Percent 5 3 2 4 2" xfId="21596" xr:uid="{00000000-0005-0000-0000-0000AF540000}"/>
    <cellStyle name="Percent 5 3 2 4 3" xfId="21597" xr:uid="{00000000-0005-0000-0000-0000B0540000}"/>
    <cellStyle name="Percent 5 3 2 5" xfId="21598" xr:uid="{00000000-0005-0000-0000-0000B1540000}"/>
    <cellStyle name="Percent 5 3 2 6" xfId="21599" xr:uid="{00000000-0005-0000-0000-0000B2540000}"/>
    <cellStyle name="Percent 5 3 3" xfId="21600" xr:uid="{00000000-0005-0000-0000-0000B3540000}"/>
    <cellStyle name="Percent 5 3 4" xfId="21601" xr:uid="{00000000-0005-0000-0000-0000B4540000}"/>
    <cellStyle name="Percent 5 3 4 2" xfId="21602" xr:uid="{00000000-0005-0000-0000-0000B5540000}"/>
    <cellStyle name="Percent 5 3 4 2 2" xfId="21603" xr:uid="{00000000-0005-0000-0000-0000B6540000}"/>
    <cellStyle name="Percent 5 3 4 2 2 2" xfId="21604" xr:uid="{00000000-0005-0000-0000-0000B7540000}"/>
    <cellStyle name="Percent 5 3 4 2 2 3" xfId="21605" xr:uid="{00000000-0005-0000-0000-0000B8540000}"/>
    <cellStyle name="Percent 5 3 4 2 3" xfId="21606" xr:uid="{00000000-0005-0000-0000-0000B9540000}"/>
    <cellStyle name="Percent 5 3 4 2 4" xfId="21607" xr:uid="{00000000-0005-0000-0000-0000BA540000}"/>
    <cellStyle name="Percent 5 3 4 3" xfId="21608" xr:uid="{00000000-0005-0000-0000-0000BB540000}"/>
    <cellStyle name="Percent 5 3 4 3 2" xfId="21609" xr:uid="{00000000-0005-0000-0000-0000BC540000}"/>
    <cellStyle name="Percent 5 3 4 3 3" xfId="21610" xr:uid="{00000000-0005-0000-0000-0000BD540000}"/>
    <cellStyle name="Percent 5 3 4 4" xfId="21611" xr:uid="{00000000-0005-0000-0000-0000BE540000}"/>
    <cellStyle name="Percent 5 3 4 5" xfId="21612" xr:uid="{00000000-0005-0000-0000-0000BF540000}"/>
    <cellStyle name="Percent 5 3 5" xfId="21613" xr:uid="{00000000-0005-0000-0000-0000C0540000}"/>
    <cellStyle name="Percent 5 3 5 2" xfId="21614" xr:uid="{00000000-0005-0000-0000-0000C1540000}"/>
    <cellStyle name="Percent 5 3 5 2 2" xfId="21615" xr:uid="{00000000-0005-0000-0000-0000C2540000}"/>
    <cellStyle name="Percent 5 3 5 2 3" xfId="21616" xr:uid="{00000000-0005-0000-0000-0000C3540000}"/>
    <cellStyle name="Percent 5 3 5 3" xfId="21617" xr:uid="{00000000-0005-0000-0000-0000C4540000}"/>
    <cellStyle name="Percent 5 3 5 4" xfId="21618" xr:uid="{00000000-0005-0000-0000-0000C5540000}"/>
    <cellStyle name="Percent 5 3 6" xfId="21619" xr:uid="{00000000-0005-0000-0000-0000C6540000}"/>
    <cellStyle name="Percent 5 3 6 2" xfId="21620" xr:uid="{00000000-0005-0000-0000-0000C7540000}"/>
    <cellStyle name="Percent 5 3 6 3" xfId="21621" xr:uid="{00000000-0005-0000-0000-0000C8540000}"/>
    <cellStyle name="Percent 5 3 7" xfId="21622" xr:uid="{00000000-0005-0000-0000-0000C9540000}"/>
    <cellStyle name="Percent 5 3 7 2" xfId="21623" xr:uid="{00000000-0005-0000-0000-0000CA540000}"/>
    <cellStyle name="Percent 5 3 7 3" xfId="21624" xr:uid="{00000000-0005-0000-0000-0000CB540000}"/>
    <cellStyle name="Percent 5 3 8" xfId="21625" xr:uid="{00000000-0005-0000-0000-0000CC540000}"/>
    <cellStyle name="Percent 5 3 9" xfId="21626" xr:uid="{00000000-0005-0000-0000-0000CD540000}"/>
    <cellStyle name="Percent 5 4" xfId="21627" xr:uid="{00000000-0005-0000-0000-0000CE540000}"/>
    <cellStyle name="Percent 5 4 2" xfId="21628" xr:uid="{00000000-0005-0000-0000-0000CF540000}"/>
    <cellStyle name="Percent 5 4 2 2" xfId="21629" xr:uid="{00000000-0005-0000-0000-0000D0540000}"/>
    <cellStyle name="Percent 5 4 2 2 2" xfId="21630" xr:uid="{00000000-0005-0000-0000-0000D1540000}"/>
    <cellStyle name="Percent 5 4 2 2 2 2" xfId="21631" xr:uid="{00000000-0005-0000-0000-0000D2540000}"/>
    <cellStyle name="Percent 5 4 2 2 2 3" xfId="21632" xr:uid="{00000000-0005-0000-0000-0000D3540000}"/>
    <cellStyle name="Percent 5 4 2 2 3" xfId="21633" xr:uid="{00000000-0005-0000-0000-0000D4540000}"/>
    <cellStyle name="Percent 5 4 2 2 4" xfId="21634" xr:uid="{00000000-0005-0000-0000-0000D5540000}"/>
    <cellStyle name="Percent 5 4 2 3" xfId="21635" xr:uid="{00000000-0005-0000-0000-0000D6540000}"/>
    <cellStyle name="Percent 5 4 2 3 2" xfId="21636" xr:uid="{00000000-0005-0000-0000-0000D7540000}"/>
    <cellStyle name="Percent 5 4 2 3 3" xfId="21637" xr:uid="{00000000-0005-0000-0000-0000D8540000}"/>
    <cellStyle name="Percent 5 4 2 4" xfId="21638" xr:uid="{00000000-0005-0000-0000-0000D9540000}"/>
    <cellStyle name="Percent 5 4 2 5" xfId="21639" xr:uid="{00000000-0005-0000-0000-0000DA540000}"/>
    <cellStyle name="Percent 5 4 3" xfId="21640" xr:uid="{00000000-0005-0000-0000-0000DB540000}"/>
    <cellStyle name="Percent 5 4 3 2" xfId="21641" xr:uid="{00000000-0005-0000-0000-0000DC540000}"/>
    <cellStyle name="Percent 5 4 3 2 2" xfId="21642" xr:uid="{00000000-0005-0000-0000-0000DD540000}"/>
    <cellStyle name="Percent 5 4 3 2 3" xfId="21643" xr:uid="{00000000-0005-0000-0000-0000DE540000}"/>
    <cellStyle name="Percent 5 4 3 3" xfId="21644" xr:uid="{00000000-0005-0000-0000-0000DF540000}"/>
    <cellStyle name="Percent 5 4 3 4" xfId="21645" xr:uid="{00000000-0005-0000-0000-0000E0540000}"/>
    <cellStyle name="Percent 5 4 4" xfId="21646" xr:uid="{00000000-0005-0000-0000-0000E1540000}"/>
    <cellStyle name="Percent 5 4 4 2" xfId="21647" xr:uid="{00000000-0005-0000-0000-0000E2540000}"/>
    <cellStyle name="Percent 5 4 4 3" xfId="21648" xr:uid="{00000000-0005-0000-0000-0000E3540000}"/>
    <cellStyle name="Percent 5 4 5" xfId="21649" xr:uid="{00000000-0005-0000-0000-0000E4540000}"/>
    <cellStyle name="Percent 5 4 6" xfId="21650" xr:uid="{00000000-0005-0000-0000-0000E5540000}"/>
    <cellStyle name="Percent 5 5" xfId="21651" xr:uid="{00000000-0005-0000-0000-0000E6540000}"/>
    <cellStyle name="Percent 5 6" xfId="21652" xr:uid="{00000000-0005-0000-0000-0000E7540000}"/>
    <cellStyle name="Percent 5 6 2" xfId="21653" xr:uid="{00000000-0005-0000-0000-0000E8540000}"/>
    <cellStyle name="Percent 5 6 2 2" xfId="21654" xr:uid="{00000000-0005-0000-0000-0000E9540000}"/>
    <cellStyle name="Percent 5 6 2 2 2" xfId="21655" xr:uid="{00000000-0005-0000-0000-0000EA540000}"/>
    <cellStyle name="Percent 5 6 2 2 3" xfId="21656" xr:uid="{00000000-0005-0000-0000-0000EB540000}"/>
    <cellStyle name="Percent 5 6 2 3" xfId="21657" xr:uid="{00000000-0005-0000-0000-0000EC540000}"/>
    <cellStyle name="Percent 5 6 2 4" xfId="21658" xr:uid="{00000000-0005-0000-0000-0000ED540000}"/>
    <cellStyle name="Percent 5 6 3" xfId="21659" xr:uid="{00000000-0005-0000-0000-0000EE540000}"/>
    <cellStyle name="Percent 5 6 3 2" xfId="21660" xr:uid="{00000000-0005-0000-0000-0000EF540000}"/>
    <cellStyle name="Percent 5 6 3 3" xfId="21661" xr:uid="{00000000-0005-0000-0000-0000F0540000}"/>
    <cellStyle name="Percent 5 6 4" xfId="21662" xr:uid="{00000000-0005-0000-0000-0000F1540000}"/>
    <cellStyle name="Percent 5 6 5" xfId="21663" xr:uid="{00000000-0005-0000-0000-0000F2540000}"/>
    <cellStyle name="Percent 5 7" xfId="21664" xr:uid="{00000000-0005-0000-0000-0000F3540000}"/>
    <cellStyle name="Percent 5 7 2" xfId="21665" xr:uid="{00000000-0005-0000-0000-0000F4540000}"/>
    <cellStyle name="Percent 5 7 2 2" xfId="21666" xr:uid="{00000000-0005-0000-0000-0000F5540000}"/>
    <cellStyle name="Percent 5 7 2 3" xfId="21667" xr:uid="{00000000-0005-0000-0000-0000F6540000}"/>
    <cellStyle name="Percent 5 7 3" xfId="21668" xr:uid="{00000000-0005-0000-0000-0000F7540000}"/>
    <cellStyle name="Percent 5 7 4" xfId="21669" xr:uid="{00000000-0005-0000-0000-0000F8540000}"/>
    <cellStyle name="Percent 5 8" xfId="21670" xr:uid="{00000000-0005-0000-0000-0000F9540000}"/>
    <cellStyle name="Percent 5 8 2" xfId="21671" xr:uid="{00000000-0005-0000-0000-0000FA540000}"/>
    <cellStyle name="Percent 5 8 3" xfId="21672" xr:uid="{00000000-0005-0000-0000-0000FB540000}"/>
    <cellStyle name="Percent 5 9" xfId="21673" xr:uid="{00000000-0005-0000-0000-0000FC540000}"/>
    <cellStyle name="Percent 5 9 2" xfId="21674" xr:uid="{00000000-0005-0000-0000-0000FD540000}"/>
    <cellStyle name="Percent 5 9 3" xfId="21675" xr:uid="{00000000-0005-0000-0000-0000FE540000}"/>
    <cellStyle name="Percent 50" xfId="21676" xr:uid="{00000000-0005-0000-0000-0000FF540000}"/>
    <cellStyle name="Percent 51" xfId="21677" xr:uid="{00000000-0005-0000-0000-000000550000}"/>
    <cellStyle name="Percent 52" xfId="21678" xr:uid="{00000000-0005-0000-0000-000001550000}"/>
    <cellStyle name="Percent 53" xfId="21679" xr:uid="{00000000-0005-0000-0000-000002550000}"/>
    <cellStyle name="Percent 54" xfId="21680" xr:uid="{00000000-0005-0000-0000-000003550000}"/>
    <cellStyle name="Percent 55" xfId="21681" xr:uid="{00000000-0005-0000-0000-000004550000}"/>
    <cellStyle name="Percent 56" xfId="21682" xr:uid="{00000000-0005-0000-0000-000005550000}"/>
    <cellStyle name="Percent 57" xfId="21683" xr:uid="{00000000-0005-0000-0000-000006550000}"/>
    <cellStyle name="Percent 58" xfId="21684" xr:uid="{00000000-0005-0000-0000-000007550000}"/>
    <cellStyle name="Percent 59" xfId="21685" xr:uid="{00000000-0005-0000-0000-000008550000}"/>
    <cellStyle name="Percent 6" xfId="21686" xr:uid="{00000000-0005-0000-0000-000009550000}"/>
    <cellStyle name="Percent 6 2" xfId="21687" xr:uid="{00000000-0005-0000-0000-00000A550000}"/>
    <cellStyle name="Percent 6 2 2" xfId="21688" xr:uid="{00000000-0005-0000-0000-00000B550000}"/>
    <cellStyle name="Percent 6 2 3" xfId="21689" xr:uid="{00000000-0005-0000-0000-00000C550000}"/>
    <cellStyle name="Percent 6 3" xfId="21690" xr:uid="{00000000-0005-0000-0000-00000D550000}"/>
    <cellStyle name="Percent 6 4" xfId="21691" xr:uid="{00000000-0005-0000-0000-00000E550000}"/>
    <cellStyle name="Percent 6 5" xfId="21692" xr:uid="{00000000-0005-0000-0000-00000F550000}"/>
    <cellStyle name="Percent 60" xfId="21693" xr:uid="{00000000-0005-0000-0000-000010550000}"/>
    <cellStyle name="Percent 61" xfId="21694" xr:uid="{00000000-0005-0000-0000-000011550000}"/>
    <cellStyle name="Percent 62" xfId="21695" xr:uid="{00000000-0005-0000-0000-000012550000}"/>
    <cellStyle name="Percent 63" xfId="21696" xr:uid="{00000000-0005-0000-0000-000013550000}"/>
    <cellStyle name="Percent 64" xfId="21697" xr:uid="{00000000-0005-0000-0000-000014550000}"/>
    <cellStyle name="Percent 65" xfId="21698" xr:uid="{00000000-0005-0000-0000-000015550000}"/>
    <cellStyle name="Percent 66" xfId="21699" xr:uid="{00000000-0005-0000-0000-000016550000}"/>
    <cellStyle name="Percent 67" xfId="21700" xr:uid="{00000000-0005-0000-0000-000017550000}"/>
    <cellStyle name="Percent 68" xfId="21701" xr:uid="{00000000-0005-0000-0000-000018550000}"/>
    <cellStyle name="Percent 69" xfId="21702" xr:uid="{00000000-0005-0000-0000-000019550000}"/>
    <cellStyle name="Percent 7" xfId="21703" xr:uid="{00000000-0005-0000-0000-00001A550000}"/>
    <cellStyle name="Percent 7 2" xfId="21704" xr:uid="{00000000-0005-0000-0000-00001B550000}"/>
    <cellStyle name="Percent 7 2 2" xfId="21705" xr:uid="{00000000-0005-0000-0000-00001C550000}"/>
    <cellStyle name="Percent 7 2 3" xfId="21706" xr:uid="{00000000-0005-0000-0000-00001D550000}"/>
    <cellStyle name="Percent 7 3" xfId="21707" xr:uid="{00000000-0005-0000-0000-00001E550000}"/>
    <cellStyle name="Percent 7 4" xfId="21708" xr:uid="{00000000-0005-0000-0000-00001F550000}"/>
    <cellStyle name="Percent 70" xfId="21709" xr:uid="{00000000-0005-0000-0000-000020550000}"/>
    <cellStyle name="Percent 71" xfId="21710" xr:uid="{00000000-0005-0000-0000-000021550000}"/>
    <cellStyle name="Percent 72" xfId="21711" xr:uid="{00000000-0005-0000-0000-000022550000}"/>
    <cellStyle name="Percent 73" xfId="21712" xr:uid="{00000000-0005-0000-0000-000023550000}"/>
    <cellStyle name="Percent 74" xfId="21713" xr:uid="{00000000-0005-0000-0000-000024550000}"/>
    <cellStyle name="Percent 75" xfId="21714" xr:uid="{00000000-0005-0000-0000-000025550000}"/>
    <cellStyle name="Percent 76" xfId="21715" xr:uid="{00000000-0005-0000-0000-000026550000}"/>
    <cellStyle name="Percent 77" xfId="21716" xr:uid="{00000000-0005-0000-0000-000027550000}"/>
    <cellStyle name="Percent 78" xfId="21717" xr:uid="{00000000-0005-0000-0000-000028550000}"/>
    <cellStyle name="Percent 79" xfId="21718" xr:uid="{00000000-0005-0000-0000-000029550000}"/>
    <cellStyle name="Percent 8" xfId="21719" xr:uid="{00000000-0005-0000-0000-00002A550000}"/>
    <cellStyle name="Percent 8 2" xfId="21720" xr:uid="{00000000-0005-0000-0000-00002B550000}"/>
    <cellStyle name="Percent 8 2 2" xfId="21721" xr:uid="{00000000-0005-0000-0000-00002C550000}"/>
    <cellStyle name="Percent 8 2 3" xfId="21722" xr:uid="{00000000-0005-0000-0000-00002D550000}"/>
    <cellStyle name="Percent 8 2 4" xfId="21723" xr:uid="{00000000-0005-0000-0000-00002E550000}"/>
    <cellStyle name="Percent 8 2 4 2" xfId="21724" xr:uid="{00000000-0005-0000-0000-00002F550000}"/>
    <cellStyle name="Percent 8 2 4 3" xfId="21725" xr:uid="{00000000-0005-0000-0000-000030550000}"/>
    <cellStyle name="Percent 8 3" xfId="21726" xr:uid="{00000000-0005-0000-0000-000031550000}"/>
    <cellStyle name="Percent 8 3 2" xfId="21727" xr:uid="{00000000-0005-0000-0000-000032550000}"/>
    <cellStyle name="Percent 8 3 3" xfId="21728" xr:uid="{00000000-0005-0000-0000-000033550000}"/>
    <cellStyle name="Percent 80" xfId="21729" xr:uid="{00000000-0005-0000-0000-000034550000}"/>
    <cellStyle name="Percent 81" xfId="21730" xr:uid="{00000000-0005-0000-0000-000035550000}"/>
    <cellStyle name="Percent 82" xfId="21731" xr:uid="{00000000-0005-0000-0000-000036550000}"/>
    <cellStyle name="Percent 83" xfId="21732" xr:uid="{00000000-0005-0000-0000-000037550000}"/>
    <cellStyle name="Percent 84" xfId="21733" xr:uid="{00000000-0005-0000-0000-000038550000}"/>
    <cellStyle name="Percent 85" xfId="21734" xr:uid="{00000000-0005-0000-0000-000039550000}"/>
    <cellStyle name="Percent 86" xfId="21735" xr:uid="{00000000-0005-0000-0000-00003A550000}"/>
    <cellStyle name="Percent 87" xfId="21736" xr:uid="{00000000-0005-0000-0000-00003B550000}"/>
    <cellStyle name="Percent 88" xfId="21737" xr:uid="{00000000-0005-0000-0000-00003C550000}"/>
    <cellStyle name="Percent 89" xfId="21738" xr:uid="{00000000-0005-0000-0000-00003D550000}"/>
    <cellStyle name="Percent 9" xfId="21739" xr:uid="{00000000-0005-0000-0000-00003E550000}"/>
    <cellStyle name="Percent 9 2" xfId="21740" xr:uid="{00000000-0005-0000-0000-00003F550000}"/>
    <cellStyle name="Percent 9 2 2" xfId="21741" xr:uid="{00000000-0005-0000-0000-000040550000}"/>
    <cellStyle name="Percent 9 2 3" xfId="21742" xr:uid="{00000000-0005-0000-0000-000041550000}"/>
    <cellStyle name="Percent 90" xfId="21743" xr:uid="{00000000-0005-0000-0000-000042550000}"/>
    <cellStyle name="Percent 91" xfId="21744" xr:uid="{00000000-0005-0000-0000-000043550000}"/>
    <cellStyle name="Percent 92" xfId="21745" xr:uid="{00000000-0005-0000-0000-000044550000}"/>
    <cellStyle name="Percent 93" xfId="21746" xr:uid="{00000000-0005-0000-0000-000045550000}"/>
    <cellStyle name="Percent 94" xfId="21747" xr:uid="{00000000-0005-0000-0000-000046550000}"/>
    <cellStyle name="Percent 95" xfId="21748" xr:uid="{00000000-0005-0000-0000-000047550000}"/>
    <cellStyle name="Percent 96" xfId="21749" xr:uid="{00000000-0005-0000-0000-000048550000}"/>
    <cellStyle name="Percent 97" xfId="21750" xr:uid="{00000000-0005-0000-0000-000049550000}"/>
    <cellStyle name="Percent 98" xfId="21751" xr:uid="{00000000-0005-0000-0000-00004A550000}"/>
    <cellStyle name="Percent 99" xfId="21752" xr:uid="{00000000-0005-0000-0000-00004B550000}"/>
    <cellStyle name="placeholder" xfId="21753" xr:uid="{00000000-0005-0000-0000-00004C550000}"/>
    <cellStyle name="PS_Comma" xfId="43" xr:uid="{00000000-0005-0000-0000-00004D550000}"/>
    <cellStyle name="PSChar" xfId="44" xr:uid="{00000000-0005-0000-0000-00004E550000}"/>
    <cellStyle name="PSDate" xfId="45" xr:uid="{00000000-0005-0000-0000-00004F550000}"/>
    <cellStyle name="PSDec" xfId="46" xr:uid="{00000000-0005-0000-0000-000050550000}"/>
    <cellStyle name="PSHeading" xfId="47" xr:uid="{00000000-0005-0000-0000-000051550000}"/>
    <cellStyle name="PSInt" xfId="48" xr:uid="{00000000-0005-0000-0000-000052550000}"/>
    <cellStyle name="PSSpacer" xfId="49" xr:uid="{00000000-0005-0000-0000-000053550000}"/>
    <cellStyle name="ReportTitlePrompt" xfId="21754" xr:uid="{00000000-0005-0000-0000-000054550000}"/>
    <cellStyle name="ReportTitleValue" xfId="21755" xr:uid="{00000000-0005-0000-0000-000055550000}"/>
    <cellStyle name="Row Lvl 1" xfId="21756" xr:uid="{00000000-0005-0000-0000-000056550000}"/>
    <cellStyle name="Row Lvl 2" xfId="21757" xr:uid="{00000000-0005-0000-0000-000057550000}"/>
    <cellStyle name="RowAcctAbovePrompt" xfId="21758" xr:uid="{00000000-0005-0000-0000-000058550000}"/>
    <cellStyle name="RowAcctSOBAbovePrompt" xfId="21759" xr:uid="{00000000-0005-0000-0000-000059550000}"/>
    <cellStyle name="RowAcctSOBValue" xfId="21760" xr:uid="{00000000-0005-0000-0000-00005A550000}"/>
    <cellStyle name="RowAcctValue" xfId="21761" xr:uid="{00000000-0005-0000-0000-00005B550000}"/>
    <cellStyle name="RowAttrAbovePrompt" xfId="21762" xr:uid="{00000000-0005-0000-0000-00005C550000}"/>
    <cellStyle name="RowAttrValue" xfId="21763" xr:uid="{00000000-0005-0000-0000-00005D550000}"/>
    <cellStyle name="RowColSetAbovePrompt" xfId="21764" xr:uid="{00000000-0005-0000-0000-00005E550000}"/>
    <cellStyle name="RowColSetLeftPrompt" xfId="21765" xr:uid="{00000000-0005-0000-0000-00005F550000}"/>
    <cellStyle name="RowColSetValue" xfId="21766" xr:uid="{00000000-0005-0000-0000-000060550000}"/>
    <cellStyle name="RowLeftPrompt" xfId="21767" xr:uid="{00000000-0005-0000-0000-000061550000}"/>
    <cellStyle name="SampleUsingFormatMask" xfId="21768" xr:uid="{00000000-0005-0000-0000-000062550000}"/>
    <cellStyle name="SampleWithNoFormatMask" xfId="21769" xr:uid="{00000000-0005-0000-0000-000063550000}"/>
    <cellStyle name="STYLE1" xfId="21770" xr:uid="{00000000-0005-0000-0000-000064550000}"/>
    <cellStyle name="STYLE1 2" xfId="21771" xr:uid="{00000000-0005-0000-0000-000065550000}"/>
    <cellStyle name="STYLE1 2 2" xfId="21772" xr:uid="{00000000-0005-0000-0000-000066550000}"/>
    <cellStyle name="STYLE1 2 3" xfId="21773" xr:uid="{00000000-0005-0000-0000-000067550000}"/>
    <cellStyle name="STYLE1 3" xfId="21774" xr:uid="{00000000-0005-0000-0000-000068550000}"/>
    <cellStyle name="STYLE1 4" xfId="21775" xr:uid="{00000000-0005-0000-0000-000069550000}"/>
    <cellStyle name="STYLE1 5" xfId="21776" xr:uid="{00000000-0005-0000-0000-00006A550000}"/>
    <cellStyle name="STYLE2" xfId="21777" xr:uid="{00000000-0005-0000-0000-00006B550000}"/>
    <cellStyle name="STYLE2 2" xfId="21778" xr:uid="{00000000-0005-0000-0000-00006C550000}"/>
    <cellStyle name="STYLE2 2 2" xfId="21779" xr:uid="{00000000-0005-0000-0000-00006D550000}"/>
    <cellStyle name="STYLE2 2 3" xfId="21780" xr:uid="{00000000-0005-0000-0000-00006E550000}"/>
    <cellStyle name="STYLE2 3" xfId="21781" xr:uid="{00000000-0005-0000-0000-00006F550000}"/>
    <cellStyle name="STYLE2 4" xfId="21782" xr:uid="{00000000-0005-0000-0000-000070550000}"/>
    <cellStyle name="STYLE3" xfId="21783" xr:uid="{00000000-0005-0000-0000-000071550000}"/>
    <cellStyle name="STYLE3 2" xfId="21784" xr:uid="{00000000-0005-0000-0000-000072550000}"/>
    <cellStyle name="STYLE3 2 2" xfId="21785" xr:uid="{00000000-0005-0000-0000-000073550000}"/>
    <cellStyle name="STYLE3 2 3" xfId="21786" xr:uid="{00000000-0005-0000-0000-000074550000}"/>
    <cellStyle name="STYLE3 3" xfId="21787" xr:uid="{00000000-0005-0000-0000-000075550000}"/>
    <cellStyle name="STYLE3 4" xfId="21788" xr:uid="{00000000-0005-0000-0000-000076550000}"/>
    <cellStyle name="STYLE3 5" xfId="21789" xr:uid="{00000000-0005-0000-0000-000077550000}"/>
    <cellStyle name="STYLE4" xfId="21790" xr:uid="{00000000-0005-0000-0000-000078550000}"/>
    <cellStyle name="STYLE4 2" xfId="21791" xr:uid="{00000000-0005-0000-0000-000079550000}"/>
    <cellStyle name="STYLE4 3" xfId="21792" xr:uid="{00000000-0005-0000-0000-00007A550000}"/>
    <cellStyle name="STYLE5" xfId="21793" xr:uid="{00000000-0005-0000-0000-00007B550000}"/>
    <cellStyle name="STYLE6" xfId="21794" xr:uid="{00000000-0005-0000-0000-00007C550000}"/>
    <cellStyle name="STYLE7" xfId="21795" xr:uid="{00000000-0005-0000-0000-00007D550000}"/>
    <cellStyle name="Title" xfId="21890" builtinId="15" customBuiltin="1"/>
    <cellStyle name="Title 2" xfId="21796" xr:uid="{00000000-0005-0000-0000-00007F550000}"/>
    <cellStyle name="Title 2 2" xfId="21797" xr:uid="{00000000-0005-0000-0000-000080550000}"/>
    <cellStyle name="Title 3" xfId="21798" xr:uid="{00000000-0005-0000-0000-000081550000}"/>
    <cellStyle name="Title 4" xfId="21799" xr:uid="{00000000-0005-0000-0000-000082550000}"/>
    <cellStyle name="Title 5" xfId="21800" xr:uid="{00000000-0005-0000-0000-000083550000}"/>
    <cellStyle name="Title 6" xfId="21801" xr:uid="{00000000-0005-0000-0000-000084550000}"/>
    <cellStyle name="Title Left" xfId="21802" xr:uid="{00000000-0005-0000-0000-000085550000}"/>
    <cellStyle name="Total" xfId="21905" builtinId="25" customBuiltin="1"/>
    <cellStyle name="Total 2" xfId="21803" xr:uid="{00000000-0005-0000-0000-000087550000}"/>
    <cellStyle name="Total 3" xfId="21804" xr:uid="{00000000-0005-0000-0000-000088550000}"/>
    <cellStyle name="Total 4" xfId="21805" xr:uid="{00000000-0005-0000-0000-000089550000}"/>
    <cellStyle name="Total 5" xfId="21806" xr:uid="{00000000-0005-0000-0000-00008A550000}"/>
    <cellStyle name="Total 5 2" xfId="21807" xr:uid="{00000000-0005-0000-0000-00008B550000}"/>
    <cellStyle name="Total 5 2 2" xfId="21808" xr:uid="{00000000-0005-0000-0000-00008C550000}"/>
    <cellStyle name="Total 5 3" xfId="21809" xr:uid="{00000000-0005-0000-0000-00008D550000}"/>
    <cellStyle name="Total 5 3 2" xfId="21810" xr:uid="{00000000-0005-0000-0000-00008E550000}"/>
    <cellStyle name="Total 5 4" xfId="21811" xr:uid="{00000000-0005-0000-0000-00008F550000}"/>
    <cellStyle name="Total 5 4 2" xfId="21812" xr:uid="{00000000-0005-0000-0000-000090550000}"/>
    <cellStyle name="Total 5 5" xfId="21813" xr:uid="{00000000-0005-0000-0000-000091550000}"/>
    <cellStyle name="Total 5 5 2" xfId="21814" xr:uid="{00000000-0005-0000-0000-000092550000}"/>
    <cellStyle name="Total 5 6" xfId="21815" xr:uid="{00000000-0005-0000-0000-000093550000}"/>
    <cellStyle name="Total 6" xfId="21816" xr:uid="{00000000-0005-0000-0000-000094550000}"/>
    <cellStyle name="Total 6 2" xfId="21817" xr:uid="{00000000-0005-0000-0000-000095550000}"/>
    <cellStyle name="Total 6 2 2" xfId="21818" xr:uid="{00000000-0005-0000-0000-000096550000}"/>
    <cellStyle name="Total 6 3" xfId="21819" xr:uid="{00000000-0005-0000-0000-000097550000}"/>
    <cellStyle name="Total 6 3 2" xfId="21820" xr:uid="{00000000-0005-0000-0000-000098550000}"/>
    <cellStyle name="Total 6 4" xfId="21821" xr:uid="{00000000-0005-0000-0000-000099550000}"/>
    <cellStyle name="Total 6 4 2" xfId="21822" xr:uid="{00000000-0005-0000-0000-00009A550000}"/>
    <cellStyle name="Total 6 5" xfId="21823" xr:uid="{00000000-0005-0000-0000-00009B550000}"/>
    <cellStyle name="Total 6 5 2" xfId="21824" xr:uid="{00000000-0005-0000-0000-00009C550000}"/>
    <cellStyle name="Total 6 6" xfId="21825" xr:uid="{00000000-0005-0000-0000-00009D550000}"/>
    <cellStyle name="UploadThisRowValue" xfId="21826" xr:uid="{00000000-0005-0000-0000-00009E550000}"/>
    <cellStyle name="Warning Text" xfId="21903" builtinId="11" customBuiltin="1"/>
    <cellStyle name="Warning Text 2" xfId="21827" xr:uid="{00000000-0005-0000-0000-0000A0550000}"/>
    <cellStyle name="Warning Text 3" xfId="21828" xr:uid="{00000000-0005-0000-0000-0000A1550000}"/>
    <cellStyle name="Warning Text 4" xfId="21829" xr:uid="{00000000-0005-0000-0000-0000A2550000}"/>
    <cellStyle name="Warning Text 5" xfId="21830" xr:uid="{00000000-0005-0000-0000-0000A3550000}"/>
    <cellStyle name="warnings" xfId="21831" xr:uid="{00000000-0005-0000-0000-0000A4550000}"/>
    <cellStyle name="WM_STANDARD" xfId="50" xr:uid="{00000000-0005-0000-0000-0000A5550000}"/>
    <cellStyle name="WMI_Standard" xfId="51" xr:uid="{00000000-0005-0000-0000-0000A6550000}"/>
    <cellStyle name="XComma" xfId="21832" xr:uid="{00000000-0005-0000-0000-0000A7550000}"/>
    <cellStyle name="XComma 0.0" xfId="21833" xr:uid="{00000000-0005-0000-0000-0000A8550000}"/>
    <cellStyle name="XComma 0.00" xfId="21834" xr:uid="{00000000-0005-0000-0000-0000A9550000}"/>
    <cellStyle name="XComma 0.000" xfId="21835" xr:uid="{00000000-0005-0000-0000-0000AA550000}"/>
    <cellStyle name="XCurrency" xfId="21836" xr:uid="{00000000-0005-0000-0000-0000AB550000}"/>
    <cellStyle name="XCurrency 0.0" xfId="21837" xr:uid="{00000000-0005-0000-0000-0000AC550000}"/>
    <cellStyle name="XCurrency 0.00" xfId="21838" xr:uid="{00000000-0005-0000-0000-0000AD550000}"/>
    <cellStyle name="XCurrency 0.000" xfId="21839" xr:uid="{00000000-0005-0000-0000-0000AE550000}"/>
    <cellStyle name="xstyle" xfId="21840" xr:uid="{00000000-0005-0000-0000-0000AF550000}"/>
  </cellStyles>
  <dxfs count="6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OE\ID\2014%20ID%20Rate%20Case\Electric\RS-RD\ID%20Elec%20Revenue%20Model%20-%204.14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Adjustments\Adjustments\PF%20-%20Revenue%20&amp;%20Gas%20Cost\WA%20Elec%20Revenue%20-%20Rev%20Adj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Adjustments\Adjustments\PF-Revenue&amp;Gas%20Cost\WA%20Elec%20Rev%20-%20Rev%20Adj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2019_%20WA%20Elec%20and%20Gas%20General%20Rate%20Case\Cost%20of%20Service%20Study\Demand%2012CP%2012.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2012-12%20CBR\Adjustments\Weather%20Normalization\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Bill Determ"/>
      <sheetName val="ID Sch 25"/>
      <sheetName val="ROR"/>
      <sheetName val="Lighting summary"/>
      <sheetName val="St Lts"/>
      <sheetName val="Area Lts"/>
      <sheetName val="Block Data"/>
      <sheetName val="Rev Runs 12ME122013"/>
      <sheetName val="Rev Runs 12ME062012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7">
          <cell r="E37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>
        <row r="8">
          <cell r="D8">
            <v>101892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D45">
            <v>158134847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Generation Level Energy"/>
      <sheetName val="WA DemEst"/>
      <sheetName val="ID DemEst"/>
      <sheetName val="PT Ratio"/>
      <sheetName val="Electric Factors "/>
      <sheetName val="2018 Daylight"/>
      <sheetName val="Schedule Shifting Adj - ID"/>
      <sheetName val="Losses"/>
      <sheetName val="WA Sch 25 (12.2018)"/>
      <sheetName val="ID Sch 25 (12.2018)"/>
      <sheetName val="12.2018 WA Usage"/>
      <sheetName val="12.2018 ID Usage"/>
      <sheetName val="Load Sha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H43">
            <v>6.2E-2</v>
          </cell>
        </row>
      </sheetData>
      <sheetData sheetId="11">
        <row r="5">
          <cell r="D5">
            <v>606597</v>
          </cell>
        </row>
      </sheetData>
      <sheetData sheetId="12"/>
      <sheetData sheetId="13">
        <row r="114">
          <cell r="C114">
            <v>9858642</v>
          </cell>
        </row>
      </sheetData>
      <sheetData sheetId="14"/>
      <sheetData sheetId="15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4815-E229-4D0E-83A6-8611C137C49F}">
  <dimension ref="A1:A5"/>
  <sheetViews>
    <sheetView tabSelected="1" workbookViewId="0">
      <selection activeCell="J23" sqref="J23"/>
    </sheetView>
  </sheetViews>
  <sheetFormatPr defaultRowHeight="12.75"/>
  <sheetData>
    <row r="1" spans="1:1">
      <c r="A1" s="184" t="s">
        <v>2587</v>
      </c>
    </row>
    <row r="3" spans="1:1">
      <c r="A3" s="19" t="s">
        <v>2588</v>
      </c>
    </row>
    <row r="5" spans="1:1">
      <c r="A5" s="19" t="s">
        <v>2589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E518-9342-4CAA-AB0F-D2FDF505360F}">
  <dimension ref="A3:Q35"/>
  <sheetViews>
    <sheetView workbookViewId="0">
      <selection activeCell="A21" sqref="A21"/>
    </sheetView>
  </sheetViews>
  <sheetFormatPr defaultRowHeight="12.75"/>
  <cols>
    <col min="2" max="2" width="16" customWidth="1"/>
    <col min="3" max="3" width="14.6640625" customWidth="1"/>
    <col min="6" max="6" width="11.6640625" customWidth="1"/>
    <col min="7" max="7" width="9.6640625" bestFit="1" customWidth="1"/>
    <col min="8" max="8" width="13.6640625" customWidth="1"/>
    <col min="9" max="9" width="13" customWidth="1"/>
    <col min="10" max="10" width="13.5" customWidth="1"/>
    <col min="11" max="11" width="13" customWidth="1"/>
    <col min="12" max="12" width="11.33203125" customWidth="1"/>
    <col min="13" max="13" width="12.1640625" customWidth="1"/>
  </cols>
  <sheetData>
    <row r="3" spans="1:17">
      <c r="A3" s="3" t="s">
        <v>2586</v>
      </c>
      <c r="F3" s="261" t="s">
        <v>277</v>
      </c>
      <c r="G3" s="261" t="s">
        <v>2573</v>
      </c>
      <c r="H3" s="261" t="s">
        <v>2574</v>
      </c>
      <c r="I3" s="261" t="s">
        <v>2575</v>
      </c>
      <c r="J3" s="261" t="s">
        <v>2576</v>
      </c>
      <c r="K3" s="261" t="s">
        <v>2536</v>
      </c>
      <c r="L3" s="261" t="s">
        <v>2577</v>
      </c>
      <c r="M3" s="261" t="s">
        <v>2578</v>
      </c>
      <c r="N3" s="261" t="s">
        <v>2579</v>
      </c>
      <c r="O3" s="261" t="s">
        <v>2580</v>
      </c>
      <c r="P3" s="261" t="s">
        <v>2581</v>
      </c>
      <c r="Q3" s="261" t="s">
        <v>2582</v>
      </c>
    </row>
    <row r="4" spans="1:17">
      <c r="A4" s="3" t="s">
        <v>2571</v>
      </c>
    </row>
    <row r="5" spans="1:17">
      <c r="B5" s="184" t="s">
        <v>422</v>
      </c>
      <c r="C5" s="464">
        <f>'Peak Calc CP'!C71</f>
        <v>43480</v>
      </c>
      <c r="D5" s="465">
        <f>'Peak Calc CP'!C72</f>
        <v>0.33333333333333331</v>
      </c>
      <c r="F5" s="132">
        <f>SUM(G5:Q5)</f>
        <v>939999.99999999977</v>
      </c>
      <c r="G5" s="132">
        <f>'Peak Calc CP'!C$85</f>
        <v>463406.17226124182</v>
      </c>
      <c r="H5" s="132">
        <f>'Peak Calc CP'!C$86</f>
        <v>108010.03545247561</v>
      </c>
      <c r="I5" s="132">
        <f>'Peak Calc CP'!C$87</f>
        <v>198011.97425071284</v>
      </c>
      <c r="J5" s="132">
        <f>'Peak Calc CP'!C$88</f>
        <v>14715.631345629952</v>
      </c>
      <c r="K5" s="132">
        <f>SUM('Peak Calc CP'!C$93:C$95)</f>
        <v>147307.50509999998</v>
      </c>
      <c r="L5" s="132">
        <f>'Peak Calc CP'!C$89</f>
        <v>6191.2445125414479</v>
      </c>
      <c r="M5" s="132">
        <f>SUM('Peak Calc CP'!C$90:C$91)</f>
        <v>2357.4370773981705</v>
      </c>
    </row>
    <row r="6" spans="1:17">
      <c r="B6" s="184" t="s">
        <v>432</v>
      </c>
      <c r="C6" s="464">
        <f>'Peak Calc CP'!D71</f>
        <v>43503</v>
      </c>
      <c r="D6" s="465">
        <f>'Peak Calc CP'!D72</f>
        <v>0.33333333333333331</v>
      </c>
      <c r="F6" s="132">
        <f t="shared" ref="F6:F17" si="0">SUM(G6:Q6)</f>
        <v>1018000</v>
      </c>
      <c r="G6" s="132">
        <f>'Peak Calc CP'!D$85</f>
        <v>546866.8542508824</v>
      </c>
      <c r="H6" s="132">
        <f>'Peak Calc CP'!D$86</f>
        <v>109757.20470115285</v>
      </c>
      <c r="I6" s="132">
        <f>'Peak Calc CP'!D$87</f>
        <v>197937.94557906239</v>
      </c>
      <c r="J6" s="132">
        <f>'Peak Calc CP'!D$88</f>
        <v>13841.489617515095</v>
      </c>
      <c r="K6" s="132">
        <f>SUM('Peak Calc CP'!D$93:D$95)</f>
        <v>141149.64555700001</v>
      </c>
      <c r="L6" s="132">
        <f>'Peak Calc CP'!D$89</f>
        <v>7931.1709337062794</v>
      </c>
      <c r="M6" s="132">
        <f>SUM('Peak Calc CP'!D$90:D$91)</f>
        <v>515.68936068085327</v>
      </c>
    </row>
    <row r="7" spans="1:17">
      <c r="B7" s="184" t="s">
        <v>433</v>
      </c>
      <c r="C7" s="464">
        <f>'Peak Calc CP'!E71</f>
        <v>43525</v>
      </c>
      <c r="D7" s="465">
        <f>'Peak Calc CP'!E72</f>
        <v>0.33333333333333331</v>
      </c>
      <c r="F7" s="132">
        <f t="shared" si="0"/>
        <v>968000</v>
      </c>
      <c r="G7" s="132">
        <f>'Peak Calc CP'!E$85</f>
        <v>542154.06070356828</v>
      </c>
      <c r="H7" s="132">
        <f>'Peak Calc CP'!E$86</f>
        <v>89892.225170453312</v>
      </c>
      <c r="I7" s="132">
        <f>'Peak Calc CP'!E$87</f>
        <v>175234.42162435374</v>
      </c>
      <c r="J7" s="132">
        <f>'Peak Calc CP'!E$88</f>
        <v>12951.490105706624</v>
      </c>
      <c r="K7" s="132">
        <f>SUM('Peak Calc CP'!E$93:E$95)</f>
        <v>142135.89720000001</v>
      </c>
      <c r="L7" s="132">
        <f>'Peak Calc CP'!E$89</f>
        <v>5631.9051959180824</v>
      </c>
      <c r="M7" s="132">
        <f>SUM('Peak Calc CP'!E$90:E$91)</f>
        <v>0</v>
      </c>
    </row>
    <row r="8" spans="1:17">
      <c r="B8" s="184" t="s">
        <v>434</v>
      </c>
      <c r="C8" s="464">
        <f>'Peak Calc CP'!F71</f>
        <v>43566</v>
      </c>
      <c r="D8" s="465">
        <f>'Peak Calc CP'!F72</f>
        <v>0.33333333333333331</v>
      </c>
      <c r="F8" s="132">
        <f t="shared" si="0"/>
        <v>740000</v>
      </c>
      <c r="G8" s="132">
        <f>'Peak Calc CP'!F$85</f>
        <v>344668.14086898882</v>
      </c>
      <c r="H8" s="132">
        <f>'Peak Calc CP'!F$86</f>
        <v>74555.636700908304</v>
      </c>
      <c r="I8" s="132">
        <f>'Peak Calc CP'!F$87</f>
        <v>165428.90251335996</v>
      </c>
      <c r="J8" s="132">
        <f>'Peak Calc CP'!F$88</f>
        <v>12730.454366835887</v>
      </c>
      <c r="K8" s="132">
        <f>SUM('Peak Calc CP'!F$93:F$95)</f>
        <v>135326.62582320001</v>
      </c>
      <c r="L8" s="132">
        <f>'Peak Calc CP'!F$89</f>
        <v>7290.2397267069437</v>
      </c>
      <c r="M8" s="132">
        <f>SUM('Peak Calc CP'!F$90:F$91)</f>
        <v>0</v>
      </c>
    </row>
    <row r="9" spans="1:17">
      <c r="B9" s="184" t="s">
        <v>265</v>
      </c>
      <c r="C9" s="464">
        <f>'Peak Calc CP'!G71</f>
        <v>43615</v>
      </c>
      <c r="D9" s="465">
        <f>'Peak Calc CP'!G72</f>
        <v>0.70833333333333337</v>
      </c>
      <c r="F9" s="132">
        <f t="shared" si="0"/>
        <v>833999.99999999988</v>
      </c>
      <c r="G9" s="132">
        <f>'Peak Calc CP'!G$85</f>
        <v>306220.23369794391</v>
      </c>
      <c r="H9" s="132">
        <f>'Peak Calc CP'!G$86</f>
        <v>109754.86297342283</v>
      </c>
      <c r="I9" s="132">
        <f>'Peak Calc CP'!G$87</f>
        <v>233744.53316409118</v>
      </c>
      <c r="J9" s="132">
        <f>'Peak Calc CP'!G$88</f>
        <v>15263.357863912401</v>
      </c>
      <c r="K9" s="132">
        <f>SUM('Peak Calc CP'!G$93:G$95)</f>
        <v>148794.29812077151</v>
      </c>
      <c r="L9" s="132">
        <f>'Peak Calc CP'!G$89</f>
        <v>20222.714179858081</v>
      </c>
      <c r="M9" s="132">
        <f>SUM('Peak Calc CP'!G$90:G$91)</f>
        <v>0</v>
      </c>
    </row>
    <row r="10" spans="1:17">
      <c r="B10" s="184" t="s">
        <v>435</v>
      </c>
      <c r="C10" s="464">
        <f>'Peak Calc CP'!H71</f>
        <v>43629</v>
      </c>
      <c r="D10" s="465">
        <f>'Peak Calc CP'!H72</f>
        <v>0.66666666666666663</v>
      </c>
      <c r="F10" s="132">
        <f t="shared" si="0"/>
        <v>954000.00000000012</v>
      </c>
      <c r="G10" s="132">
        <f>'Peak Calc CP'!H$85</f>
        <v>372935.28989187384</v>
      </c>
      <c r="H10" s="132">
        <f>'Peak Calc CP'!H$86</f>
        <v>130662.03578985237</v>
      </c>
      <c r="I10" s="132">
        <f>'Peak Calc CP'!H$87</f>
        <v>253209.76674168144</v>
      </c>
      <c r="J10" s="132">
        <f>'Peak Calc CP'!H$88</f>
        <v>16130.542673658982</v>
      </c>
      <c r="K10" s="132">
        <f>SUM('Peak Calc CP'!H$93:H$95)</f>
        <v>152376.39865700001</v>
      </c>
      <c r="L10" s="132">
        <f>'Peak Calc CP'!H$89</f>
        <v>28685.966245933538</v>
      </c>
      <c r="M10" s="132">
        <f>SUM('Peak Calc CP'!H$90:H$91)</f>
        <v>0</v>
      </c>
    </row>
    <row r="11" spans="1:17">
      <c r="B11" s="184" t="s">
        <v>436</v>
      </c>
      <c r="C11" s="464">
        <f>'Peak Calc CP'!I71</f>
        <v>43669</v>
      </c>
      <c r="D11" s="465">
        <f>'Peak Calc CP'!I72</f>
        <v>0.70833333333333337</v>
      </c>
      <c r="F11" s="132">
        <f t="shared" si="0"/>
        <v>1025999.9999999999</v>
      </c>
      <c r="G11" s="132">
        <f>'Peak Calc CP'!I$85</f>
        <v>496080.81421467866</v>
      </c>
      <c r="H11" s="132">
        <f>'Peak Calc CP'!I$86</f>
        <v>116869.46728364237</v>
      </c>
      <c r="I11" s="132">
        <f>'Peak Calc CP'!I$87</f>
        <v>223392.45543869064</v>
      </c>
      <c r="J11" s="132">
        <f>'Peak Calc CP'!I$88</f>
        <v>13578.960841168169</v>
      </c>
      <c r="K11" s="132">
        <f>SUM('Peak Calc CP'!I$93:I$95)</f>
        <v>145444.99340000001</v>
      </c>
      <c r="L11" s="132">
        <f>'Peak Calc CP'!I$89</f>
        <v>30633.308821820105</v>
      </c>
      <c r="M11" s="132">
        <f>SUM('Peak Calc CP'!I$90:I$91)</f>
        <v>0</v>
      </c>
    </row>
    <row r="12" spans="1:17">
      <c r="B12" s="184" t="s">
        <v>437</v>
      </c>
      <c r="C12" s="464">
        <f>'Peak Calc CP'!J71</f>
        <v>43684</v>
      </c>
      <c r="D12" s="465">
        <f>'Peak Calc CP'!J72</f>
        <v>0.70833333333333337</v>
      </c>
      <c r="F12" s="132">
        <f t="shared" si="0"/>
        <v>1073000</v>
      </c>
      <c r="G12" s="132">
        <f>'Peak Calc CP'!J$85</f>
        <v>531416.02939534781</v>
      </c>
      <c r="H12" s="132">
        <f>'Peak Calc CP'!J$86</f>
        <v>119469.74090187514</v>
      </c>
      <c r="I12" s="132">
        <f>'Peak Calc CP'!J$87</f>
        <v>220994.29655563063</v>
      </c>
      <c r="J12" s="132">
        <f>'Peak Calc CP'!J$88</f>
        <v>13816.84539096962</v>
      </c>
      <c r="K12" s="132">
        <f>SUM('Peak Calc CP'!J$93:J$95)</f>
        <v>155000.26809999999</v>
      </c>
      <c r="L12" s="132">
        <f>'Peak Calc CP'!J$89</f>
        <v>32302.819656176758</v>
      </c>
      <c r="M12" s="132">
        <f>SUM('Peak Calc CP'!J$90:J$91)</f>
        <v>0</v>
      </c>
    </row>
    <row r="13" spans="1:17">
      <c r="B13" s="184" t="s">
        <v>438</v>
      </c>
      <c r="C13" s="464">
        <f>'Peak Calc CP'!K71</f>
        <v>43712</v>
      </c>
      <c r="D13" s="465">
        <f>'Peak Calc CP'!K72</f>
        <v>0.75</v>
      </c>
      <c r="F13" s="132">
        <f t="shared" si="0"/>
        <v>878999.99999999977</v>
      </c>
      <c r="G13" s="132">
        <f>'Peak Calc CP'!K$85</f>
        <v>386161.06544210657</v>
      </c>
      <c r="H13" s="132">
        <f>'Peak Calc CP'!K$86</f>
        <v>88934.182359832281</v>
      </c>
      <c r="I13" s="132">
        <f>'Peak Calc CP'!K$87</f>
        <v>210369.76429583383</v>
      </c>
      <c r="J13" s="132">
        <f>'Peak Calc CP'!K$88</f>
        <v>16308.258861938701</v>
      </c>
      <c r="K13" s="132">
        <f>SUM('Peak Calc CP'!K$93:K$95)</f>
        <v>139067.60709999996</v>
      </c>
      <c r="L13" s="132">
        <f>'Peak Calc CP'!K$89</f>
        <v>38159.121940288467</v>
      </c>
      <c r="M13" s="132">
        <f>SUM('Peak Calc CP'!K$90:K$91)</f>
        <v>0</v>
      </c>
    </row>
    <row r="14" spans="1:17">
      <c r="B14" s="184" t="s">
        <v>439</v>
      </c>
      <c r="C14" s="464">
        <f>'Peak Calc CP'!L71</f>
        <v>43768</v>
      </c>
      <c r="D14" s="465">
        <f>'Peak Calc CP'!L72</f>
        <v>0.33333333333333331</v>
      </c>
      <c r="F14" s="132">
        <f t="shared" si="0"/>
        <v>977000</v>
      </c>
      <c r="G14" s="132">
        <f>'Peak Calc CP'!L$85</f>
        <v>487080.45538768871</v>
      </c>
      <c r="H14" s="132">
        <f>'Peak Calc CP'!L$86</f>
        <v>101762.04158661445</v>
      </c>
      <c r="I14" s="132">
        <f>'Peak Calc CP'!L$87</f>
        <v>204360.35159228489</v>
      </c>
      <c r="J14" s="132">
        <f>'Peak Calc CP'!L$88</f>
        <v>14691.378231417293</v>
      </c>
      <c r="K14" s="132">
        <f>SUM('Peak Calc CP'!L$93:L$95)</f>
        <v>148361.45705833333</v>
      </c>
      <c r="L14" s="132">
        <f>'Peak Calc CP'!L$89</f>
        <v>18607.888792269299</v>
      </c>
      <c r="M14" s="132">
        <f>SUM('Peak Calc CP'!L$90:L$91)</f>
        <v>2136.4273513920939</v>
      </c>
    </row>
    <row r="15" spans="1:17">
      <c r="B15" s="184" t="s">
        <v>440</v>
      </c>
      <c r="C15" s="464">
        <f>'Peak Calc CP'!M71</f>
        <v>43770</v>
      </c>
      <c r="D15" s="465">
        <f>'Peak Calc CP'!M72</f>
        <v>0.33333333333333331</v>
      </c>
      <c r="F15" s="132">
        <f t="shared" si="0"/>
        <v>907000</v>
      </c>
      <c r="G15" s="132">
        <f>'Peak Calc CP'!M$85</f>
        <v>442178.73450537625</v>
      </c>
      <c r="H15" s="132">
        <f>'Peak Calc CP'!M$86</f>
        <v>93804.096611363013</v>
      </c>
      <c r="I15" s="132">
        <f>'Peak Calc CP'!M$87</f>
        <v>206430.86053160726</v>
      </c>
      <c r="J15" s="132">
        <f>'Peak Calc CP'!M$88</f>
        <v>17072.835713795528</v>
      </c>
      <c r="K15" s="132">
        <f>SUM('Peak Calc CP'!M$93:M$95)</f>
        <v>137866.84346796115</v>
      </c>
      <c r="L15" s="132">
        <f>'Peak Calc CP'!M$89</f>
        <v>7289.1920924985552</v>
      </c>
      <c r="M15" s="132">
        <f>SUM('Peak Calc CP'!M$90:M$91)</f>
        <v>2357.4370773981705</v>
      </c>
    </row>
    <row r="16" spans="1:17">
      <c r="B16" s="184" t="s">
        <v>441</v>
      </c>
      <c r="C16" s="464">
        <f>'Peak Calc CP'!N71</f>
        <v>43815</v>
      </c>
      <c r="D16" s="465">
        <f>'Peak Calc CP'!N72</f>
        <v>0.75</v>
      </c>
      <c r="F16" s="132">
        <f t="shared" si="0"/>
        <v>922999.99999999988</v>
      </c>
      <c r="G16" s="132">
        <f>'Peak Calc CP'!N$85</f>
        <v>481348.49035983562</v>
      </c>
      <c r="H16" s="132">
        <f>'Peak Calc CP'!N$86</f>
        <v>97786.274771745331</v>
      </c>
      <c r="I16" s="132">
        <f>'Peak Calc CP'!N$87</f>
        <v>189375.34760717014</v>
      </c>
      <c r="J16" s="132">
        <f>'Peak Calc CP'!N$88</f>
        <v>11936.780635795711</v>
      </c>
      <c r="K16" s="132">
        <f>SUM('Peak Calc CP'!N$93:N$95)</f>
        <v>132530.76702284947</v>
      </c>
      <c r="L16" s="132">
        <f>'Peak Calc CP'!N$89</f>
        <v>5602.145082482115</v>
      </c>
      <c r="M16" s="132">
        <f>SUM('Peak Calc CP'!N$90:N$91)</f>
        <v>4420.194520121564</v>
      </c>
    </row>
    <row r="17" spans="1:17">
      <c r="B17" s="263" t="s">
        <v>2572</v>
      </c>
      <c r="C17" s="464"/>
      <c r="F17" s="466">
        <f t="shared" si="0"/>
        <v>936583.33333333326</v>
      </c>
      <c r="G17" s="466">
        <f>AVERAGE(G5:G16)</f>
        <v>450043.02841496101</v>
      </c>
      <c r="H17" s="466">
        <f t="shared" ref="H17:M17" si="1">AVERAGE(H5:H16)</f>
        <v>103438.1503586115</v>
      </c>
      <c r="I17" s="466">
        <f t="shared" si="1"/>
        <v>206540.88499120658</v>
      </c>
      <c r="J17" s="466">
        <f t="shared" si="1"/>
        <v>14419.835470695331</v>
      </c>
      <c r="K17" s="466">
        <f t="shared" si="1"/>
        <v>143780.19221725961</v>
      </c>
      <c r="L17" s="466">
        <f t="shared" si="1"/>
        <v>17378.976431683306</v>
      </c>
      <c r="M17" s="466">
        <f t="shared" si="1"/>
        <v>982.26544891590436</v>
      </c>
      <c r="N17" s="466"/>
      <c r="O17" s="466"/>
      <c r="P17" s="466"/>
      <c r="Q17" s="466"/>
    </row>
    <row r="18" spans="1:17">
      <c r="B18" s="263"/>
    </row>
    <row r="20" spans="1:17">
      <c r="F20" s="261" t="s">
        <v>277</v>
      </c>
      <c r="G20" s="261" t="s">
        <v>2573</v>
      </c>
      <c r="H20" s="261" t="s">
        <v>2574</v>
      </c>
      <c r="I20" s="261" t="s">
        <v>2575</v>
      </c>
      <c r="J20" s="261" t="s">
        <v>2576</v>
      </c>
      <c r="K20" s="261" t="s">
        <v>2536</v>
      </c>
      <c r="L20" s="261" t="s">
        <v>2577</v>
      </c>
      <c r="M20" s="261" t="s">
        <v>2578</v>
      </c>
      <c r="N20" s="261" t="s">
        <v>2579</v>
      </c>
      <c r="O20" s="261" t="s">
        <v>2580</v>
      </c>
      <c r="P20" s="261" t="s">
        <v>2581</v>
      </c>
      <c r="Q20" s="261" t="s">
        <v>2582</v>
      </c>
    </row>
    <row r="21" spans="1:17">
      <c r="A21" s="3" t="s">
        <v>2586</v>
      </c>
    </row>
    <row r="22" spans="1:17">
      <c r="A22" s="263" t="s">
        <v>2585</v>
      </c>
    </row>
    <row r="23" spans="1:17">
      <c r="B23" s="184" t="s">
        <v>422</v>
      </c>
      <c r="C23" s="464"/>
      <c r="F23" s="132">
        <f>SUM(G23:Q23)</f>
        <v>1044513.7983426874</v>
      </c>
      <c r="G23" s="132">
        <f>'Peak Calc NCP'!$C$122</f>
        <v>523955.56741609582</v>
      </c>
      <c r="H23" s="132">
        <f>'Peak Calc NCP'!$C$123</f>
        <v>118936.22528395786</v>
      </c>
      <c r="I23" s="132">
        <f>'Peak Calc NCP'!$C$124</f>
        <v>217341.19993485411</v>
      </c>
      <c r="J23" s="132">
        <f>'Peak Calc NCP'!$C$125</f>
        <v>19151.977971051554</v>
      </c>
      <c r="K23" s="132">
        <f>SUM('Peak Calc NCP'!$C$130:$C$132)</f>
        <v>149807.9541</v>
      </c>
      <c r="L23" s="132">
        <f>'Peak Calc NCP'!$C$126</f>
        <v>10900.679116606441</v>
      </c>
      <c r="M23" s="132">
        <f>'Peak Calc NCP'!$C$127+'Peak Calc NCP'!$C$128</f>
        <v>4420.194520121564</v>
      </c>
    </row>
    <row r="24" spans="1:17">
      <c r="B24" s="184" t="s">
        <v>432</v>
      </c>
      <c r="C24" s="464"/>
      <c r="F24" s="132">
        <f t="shared" ref="F24:F35" si="2">SUM(G24:Q24)</f>
        <v>1175562.9073034381</v>
      </c>
      <c r="G24" s="132">
        <f>'Peak Calc NCP'!$D$122</f>
        <v>619214.17831905745</v>
      </c>
      <c r="H24" s="132">
        <f>'Peak Calc NCP'!$D$123</f>
        <v>141831.05427674935</v>
      </c>
      <c r="I24" s="132">
        <f>'Peak Calc NCP'!$D$124</f>
        <v>230168.69385284092</v>
      </c>
      <c r="J24" s="132">
        <f>'Peak Calc NCP'!$D$125</f>
        <v>17762.447731968918</v>
      </c>
      <c r="K24" s="132">
        <f>SUM('Peak Calc NCP'!$D$130:$D$132)</f>
        <v>151045.67809999999</v>
      </c>
      <c r="L24" s="132">
        <f>'Peak Calc NCP'!$D$126</f>
        <v>11120.66050269968</v>
      </c>
      <c r="M24" s="132">
        <f>'Peak Calc NCP'!$D$127+'Peak Calc NCP'!$D$128</f>
        <v>4420.194520121564</v>
      </c>
    </row>
    <row r="25" spans="1:17">
      <c r="B25" s="184" t="s">
        <v>433</v>
      </c>
      <c r="C25" s="464"/>
      <c r="F25" s="132">
        <f t="shared" si="2"/>
        <v>1246477.7138413319</v>
      </c>
      <c r="G25" s="132">
        <f>'Peak Calc NCP'!$E$122</f>
        <v>715479.69847414643</v>
      </c>
      <c r="H25" s="132">
        <f>'Peak Calc NCP'!$E$123</f>
        <v>131718.22438087908</v>
      </c>
      <c r="I25" s="132">
        <f>'Peak Calc NCP'!$E$124</f>
        <v>212763.15396780631</v>
      </c>
      <c r="J25" s="132">
        <f>'Peak Calc NCP'!$E$125</f>
        <v>18732.708519367985</v>
      </c>
      <c r="K25" s="132">
        <f>SUM('Peak Calc NCP'!$E$130:$E$132)</f>
        <v>153856.73565700001</v>
      </c>
      <c r="L25" s="132">
        <f>'Peak Calc NCP'!$E$126</f>
        <v>9506.9983220106133</v>
      </c>
      <c r="M25" s="132">
        <f>'Peak Calc NCP'!$E$127+'Peak Calc NCP'!$E$128</f>
        <v>4420.194520121564</v>
      </c>
    </row>
    <row r="26" spans="1:17">
      <c r="B26" s="184" t="s">
        <v>434</v>
      </c>
      <c r="C26" s="464"/>
      <c r="F26" s="132">
        <f t="shared" si="2"/>
        <v>922544.23695570789</v>
      </c>
      <c r="G26" s="132">
        <f>'Peak Calc NCP'!$F$122</f>
        <v>400869.26532359846</v>
      </c>
      <c r="H26" s="132">
        <f>'Peak Calc NCP'!$F$123</f>
        <v>109344.94821820396</v>
      </c>
      <c r="I26" s="132">
        <f>'Peak Calc NCP'!$F$124</f>
        <v>222635.96009863369</v>
      </c>
      <c r="J26" s="132">
        <f>'Peak Calc NCP'!$F$125</f>
        <v>18991.215953234976</v>
      </c>
      <c r="K26" s="132">
        <f>SUM('Peak Calc NCP'!$F$130:$F$132)</f>
        <v>149893.74472319998</v>
      </c>
      <c r="L26" s="132">
        <f>'Peak Calc NCP'!$F$126</f>
        <v>16388.908118715284</v>
      </c>
      <c r="M26" s="132">
        <f>'Peak Calc NCP'!$F$127+'Peak Calc NCP'!$F$128</f>
        <v>4420.194520121564</v>
      </c>
    </row>
    <row r="27" spans="1:17">
      <c r="B27" s="184" t="s">
        <v>265</v>
      </c>
      <c r="C27" s="464"/>
      <c r="F27" s="132">
        <f t="shared" si="2"/>
        <v>881167.3669600524</v>
      </c>
      <c r="G27" s="132">
        <f>'Peak Calc NCP'!$G$122</f>
        <v>338863.14559125749</v>
      </c>
      <c r="H27" s="132">
        <f>'Peak Calc NCP'!$G$123</f>
        <v>108732.9399509846</v>
      </c>
      <c r="I27" s="132">
        <f>'Peak Calc NCP'!$G$124</f>
        <v>220419.94627451163</v>
      </c>
      <c r="J27" s="132">
        <f>'Peak Calc NCP'!$G$125</f>
        <v>19367.22424908468</v>
      </c>
      <c r="K27" s="132">
        <f>SUM('Peak Calc NCP'!$G$130:$G$132)</f>
        <v>152960.28842077151</v>
      </c>
      <c r="L27" s="132">
        <f>'Peak Calc NCP'!$G$126</f>
        <v>36403.627953320865</v>
      </c>
      <c r="M27" s="132">
        <f>'Peak Calc NCP'!$G$127+'Peak Calc NCP'!$G$128</f>
        <v>4420.194520121564</v>
      </c>
    </row>
    <row r="28" spans="1:17">
      <c r="B28" s="184" t="s">
        <v>435</v>
      </c>
      <c r="C28" s="464"/>
      <c r="F28" s="132">
        <f t="shared" si="2"/>
        <v>938528.50532102201</v>
      </c>
      <c r="G28" s="132">
        <f>'Peak Calc NCP'!$H$122</f>
        <v>366860.57243069675</v>
      </c>
      <c r="H28" s="132">
        <f>'Peak Calc NCP'!$H$123</f>
        <v>113325.00887529449</v>
      </c>
      <c r="I28" s="132">
        <f>'Peak Calc NCP'!$H$124</f>
        <v>228902.73043263148</v>
      </c>
      <c r="J28" s="132">
        <f>'Peak Calc NCP'!$H$125</f>
        <v>19931.294682323398</v>
      </c>
      <c r="K28" s="132">
        <f>SUM('Peak Calc NCP'!$H$130:$H$132)</f>
        <v>160707.79150000002</v>
      </c>
      <c r="L28" s="132">
        <f>'Peak Calc NCP'!$H$126</f>
        <v>44380.912879954303</v>
      </c>
      <c r="M28" s="132">
        <f>'Peak Calc NCP'!$H$127+'Peak Calc NCP'!$H$128</f>
        <v>4420.194520121564</v>
      </c>
    </row>
    <row r="29" spans="1:17">
      <c r="B29" s="184" t="s">
        <v>436</v>
      </c>
      <c r="C29" s="464"/>
      <c r="F29" s="132">
        <f t="shared" si="2"/>
        <v>1002719.1195952799</v>
      </c>
      <c r="G29" s="132">
        <f>'Peak Calc NCP'!$I$122</f>
        <v>428576.12643965846</v>
      </c>
      <c r="H29" s="132">
        <f>'Peak Calc NCP'!$I$123</f>
        <v>116704.0175110401</v>
      </c>
      <c r="I29" s="132">
        <f>'Peak Calc NCP'!$I$124</f>
        <v>227289.30453714167</v>
      </c>
      <c r="J29" s="132">
        <f>'Peak Calc NCP'!$I$125</f>
        <v>19541.628833240058</v>
      </c>
      <c r="K29" s="132">
        <f>SUM('Peak Calc NCP'!$I$130:$I$132)</f>
        <v>157551.8082</v>
      </c>
      <c r="L29" s="132">
        <f>'Peak Calc NCP'!$I$126</f>
        <v>48636.039554078103</v>
      </c>
      <c r="M29" s="132">
        <f>'Peak Calc NCP'!$I$127+'Peak Calc NCP'!$I$128</f>
        <v>4420.194520121564</v>
      </c>
    </row>
    <row r="30" spans="1:17">
      <c r="B30" s="184" t="s">
        <v>437</v>
      </c>
      <c r="C30" s="464"/>
      <c r="F30" s="132">
        <f t="shared" si="2"/>
        <v>1043606.3900460697</v>
      </c>
      <c r="G30" s="132">
        <f>'Peak Calc NCP'!$J$122</f>
        <v>464629.95114565198</v>
      </c>
      <c r="H30" s="132">
        <f>'Peak Calc NCP'!$J$123</f>
        <v>119894.94454866427</v>
      </c>
      <c r="I30" s="132">
        <f>'Peak Calc NCP'!$J$124</f>
        <v>221931.17241065457</v>
      </c>
      <c r="J30" s="132">
        <f>'Peak Calc NCP'!$J$125</f>
        <v>20542.110942042556</v>
      </c>
      <c r="K30" s="132">
        <f>SUM('Peak Calc NCP'!$J$130:$J$132)</f>
        <v>162046.62959999999</v>
      </c>
      <c r="L30" s="132">
        <f>'Peak Calc NCP'!$J$126</f>
        <v>50141.38687893482</v>
      </c>
      <c r="M30" s="132">
        <f>'Peak Calc NCP'!$J$127+'Peak Calc NCP'!$J$128</f>
        <v>4420.194520121564</v>
      </c>
    </row>
    <row r="31" spans="1:17">
      <c r="B31" s="184" t="s">
        <v>438</v>
      </c>
      <c r="C31" s="464"/>
      <c r="F31" s="132">
        <f t="shared" si="2"/>
        <v>1144443.1029178079</v>
      </c>
      <c r="G31" s="132">
        <f>'Peak Calc NCP'!$K$122</f>
        <v>509753.68647729332</v>
      </c>
      <c r="H31" s="132">
        <f>'Peak Calc NCP'!$K$123</f>
        <v>121621.76601133657</v>
      </c>
      <c r="I31" s="132">
        <f>'Peak Calc NCP'!$K$124</f>
        <v>256936.67485528448</v>
      </c>
      <c r="J31" s="132">
        <f>'Peak Calc NCP'!$K$125</f>
        <v>23152.024218237668</v>
      </c>
      <c r="K31" s="132">
        <f>SUM('Peak Calc NCP'!$K$130:$K$132)</f>
        <v>154284.39750000002</v>
      </c>
      <c r="L31" s="132">
        <f>'Peak Calc NCP'!$K$126</f>
        <v>74274.359335534216</v>
      </c>
      <c r="M31" s="132">
        <f>'Peak Calc NCP'!$K$127+'Peak Calc NCP'!$K$128</f>
        <v>4420.194520121564</v>
      </c>
    </row>
    <row r="32" spans="1:17">
      <c r="B32" s="184" t="s">
        <v>439</v>
      </c>
      <c r="C32" s="464"/>
      <c r="F32" s="132">
        <f t="shared" si="2"/>
        <v>863266.31797002652</v>
      </c>
      <c r="G32" s="132">
        <f>'Peak Calc NCP'!$L$122</f>
        <v>363857.55233235605</v>
      </c>
      <c r="H32" s="132">
        <f>'Peak Calc NCP'!$L$123</f>
        <v>95076.349916878113</v>
      </c>
      <c r="I32" s="132">
        <f>'Peak Calc NCP'!$L$124</f>
        <v>204344.53476056966</v>
      </c>
      <c r="J32" s="132">
        <f>'Peak Calc NCP'!$L$125</f>
        <v>17122.748454021592</v>
      </c>
      <c r="K32" s="132">
        <f>SUM('Peak Calc NCP'!$L$130:$L$132)</f>
        <v>152453.19745833331</v>
      </c>
      <c r="L32" s="132">
        <f>'Peak Calc NCP'!$L$126</f>
        <v>25991.740527746115</v>
      </c>
      <c r="M32" s="132">
        <f>'Peak Calc NCP'!$L$127+'Peak Calc NCP'!$L$128</f>
        <v>4420.194520121564</v>
      </c>
    </row>
    <row r="33" spans="2:13">
      <c r="B33" s="184" t="s">
        <v>440</v>
      </c>
      <c r="C33" s="464"/>
      <c r="F33" s="132">
        <f t="shared" si="2"/>
        <v>931712.51998335565</v>
      </c>
      <c r="G33" s="132">
        <f>'Peak Calc NCP'!$M$122</f>
        <v>442867.91459476907</v>
      </c>
      <c r="H33" s="132">
        <f>'Peak Calc NCP'!$M$123</f>
        <v>104787.24000071162</v>
      </c>
      <c r="I33" s="132">
        <f>'Peak Calc NCP'!$M$124</f>
        <v>201787.94930137569</v>
      </c>
      <c r="J33" s="132">
        <f>'Peak Calc NCP'!$M$125</f>
        <v>19039.396822392275</v>
      </c>
      <c r="K33" s="132">
        <f>SUM('Peak Calc NCP'!$M$130:$M$132)</f>
        <v>148780.94616796117</v>
      </c>
      <c r="L33" s="132">
        <f>'Peak Calc NCP'!$M$126</f>
        <v>10028.878576024315</v>
      </c>
      <c r="M33" s="132">
        <f>'Peak Calc NCP'!$M$127+'Peak Calc NCP'!$M$128</f>
        <v>4420.194520121564</v>
      </c>
    </row>
    <row r="34" spans="2:13">
      <c r="B34" s="184" t="s">
        <v>441</v>
      </c>
      <c r="C34" s="464"/>
      <c r="F34" s="132">
        <f t="shared" si="2"/>
        <v>1124600.0826318169</v>
      </c>
      <c r="G34" s="132">
        <f>'Peak Calc NCP'!$N$122</f>
        <v>586303.72585303604</v>
      </c>
      <c r="H34" s="132">
        <f>'Peak Calc NCP'!$N$123</f>
        <v>121393.3149658731</v>
      </c>
      <c r="I34" s="132">
        <f>'Peak Calc NCP'!$N$124</f>
        <v>231565.68301531134</v>
      </c>
      <c r="J34" s="132">
        <f>'Peak Calc NCP'!$N$125</f>
        <v>18773.373365896299</v>
      </c>
      <c r="K34" s="132">
        <f>SUM('Peak Calc NCP'!$N$130:$N$132)</f>
        <v>151835.2003228495</v>
      </c>
      <c r="L34" s="132">
        <f>'Peak Calc NCP'!$N$126</f>
        <v>10308.590588728992</v>
      </c>
      <c r="M34" s="132">
        <f>'Peak Calc NCP'!$N$127+'Peak Calc NCP'!$N$128</f>
        <v>4420.194520121564</v>
      </c>
    </row>
    <row r="35" spans="2:13">
      <c r="B35" s="263" t="s">
        <v>2572</v>
      </c>
      <c r="F35" s="466">
        <f t="shared" si="2"/>
        <v>1026595.1718223828</v>
      </c>
      <c r="G35" s="466">
        <f>AVERAGE(G23:G34)</f>
        <v>480102.61536646815</v>
      </c>
      <c r="H35" s="466">
        <f t="shared" ref="H35:M35" si="3">AVERAGE(H23:H34)</f>
        <v>116947.16949504775</v>
      </c>
      <c r="I35" s="466">
        <f t="shared" si="3"/>
        <v>223007.25028680125</v>
      </c>
      <c r="J35" s="466">
        <f t="shared" si="3"/>
        <v>19342.345978571826</v>
      </c>
      <c r="K35" s="466">
        <f t="shared" si="3"/>
        <v>153768.69764584297</v>
      </c>
      <c r="L35" s="466">
        <f t="shared" si="3"/>
        <v>29006.898529529481</v>
      </c>
      <c r="M35" s="466">
        <f t="shared" si="3"/>
        <v>4420.194520121564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O121"/>
  <sheetViews>
    <sheetView topLeftCell="A71" workbookViewId="0">
      <selection activeCell="A14" sqref="A14"/>
    </sheetView>
  </sheetViews>
  <sheetFormatPr defaultRowHeight="12.75"/>
  <cols>
    <col min="1" max="1" width="35.83203125" customWidth="1"/>
    <col min="2" max="2" width="14.5" customWidth="1"/>
    <col min="3" max="3" width="12.6640625" customWidth="1"/>
    <col min="4" max="4" width="13.1640625" customWidth="1"/>
    <col min="5" max="5" width="12.6640625" customWidth="1"/>
    <col min="6" max="6" width="12.83203125" customWidth="1"/>
    <col min="7" max="7" width="13.33203125" customWidth="1"/>
    <col min="8" max="8" width="13.1640625" customWidth="1"/>
    <col min="9" max="9" width="12.1640625" customWidth="1"/>
    <col min="10" max="12" width="13.33203125" customWidth="1"/>
    <col min="13" max="13" width="12.6640625" customWidth="1"/>
    <col min="14" max="14" width="12.1640625" customWidth="1"/>
    <col min="15" max="15" width="10.5" bestFit="1" customWidth="1"/>
  </cols>
  <sheetData>
    <row r="1" spans="1:15">
      <c r="A1" t="s">
        <v>319</v>
      </c>
    </row>
    <row r="2" spans="1:15">
      <c r="A2" s="12" t="s">
        <v>378</v>
      </c>
    </row>
    <row r="3" spans="1:15">
      <c r="A3" s="164" t="s">
        <v>2501</v>
      </c>
    </row>
    <row r="4" spans="1:15">
      <c r="A4" t="s">
        <v>250</v>
      </c>
    </row>
    <row r="5" spans="1:15" ht="3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3.75" customHeight="1">
      <c r="A6" s="77"/>
      <c r="B6" s="77"/>
      <c r="C6" s="78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79" t="s">
        <v>274</v>
      </c>
      <c r="B7" s="7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77"/>
    </row>
    <row r="8" spans="1:15">
      <c r="A8" s="79" t="s">
        <v>252</v>
      </c>
      <c r="B8" s="77"/>
      <c r="C8" s="80" t="s">
        <v>261</v>
      </c>
      <c r="D8" s="80" t="s">
        <v>262</v>
      </c>
      <c r="E8" s="80" t="s">
        <v>263</v>
      </c>
      <c r="F8" s="80" t="s">
        <v>264</v>
      </c>
      <c r="G8" s="80" t="s">
        <v>265</v>
      </c>
      <c r="H8" s="80" t="s">
        <v>266</v>
      </c>
      <c r="I8" s="80" t="s">
        <v>267</v>
      </c>
      <c r="J8" s="80" t="s">
        <v>268</v>
      </c>
      <c r="K8" s="80" t="s">
        <v>269</v>
      </c>
      <c r="L8" s="80" t="s">
        <v>270</v>
      </c>
      <c r="M8" s="80" t="s">
        <v>271</v>
      </c>
      <c r="N8" s="80" t="s">
        <v>272</v>
      </c>
      <c r="O8" s="77"/>
    </row>
    <row r="9" spans="1:15">
      <c r="A9" s="61" t="s">
        <v>2583</v>
      </c>
      <c r="B9" s="61"/>
      <c r="C9" s="81">
        <f>'WA DemEst'!D16</f>
        <v>434070.78577102139</v>
      </c>
      <c r="D9" s="81">
        <f>'WA DemEst'!E16</f>
        <v>499083.32629927591</v>
      </c>
      <c r="E9" s="81">
        <f>'WA DemEst'!F16</f>
        <v>588918.47525569133</v>
      </c>
      <c r="F9" s="81">
        <f>'WA DemEst'!G16</f>
        <v>337545.63870660617</v>
      </c>
      <c r="G9" s="81">
        <f>'WA DemEst'!H16</f>
        <v>238481.22634431801</v>
      </c>
      <c r="H9" s="81">
        <f>'WA DemEst'!I16</f>
        <v>312449.53121143166</v>
      </c>
      <c r="I9" s="81">
        <f>'WA DemEst'!J16</f>
        <v>470968.23303547141</v>
      </c>
      <c r="J9" s="81">
        <f>'WA DemEst'!K16</f>
        <v>527182.80339267559</v>
      </c>
      <c r="K9" s="81">
        <f>'WA DemEst'!L16</f>
        <v>306106.7814342003</v>
      </c>
      <c r="L9" s="81">
        <f>'WA DemEst'!M16</f>
        <v>421749.96883883944</v>
      </c>
      <c r="M9" s="81">
        <f>'WA DemEst'!N16</f>
        <v>353159.07379576785</v>
      </c>
      <c r="N9" s="81">
        <f>'WA DemEst'!O16</f>
        <v>440758.73813294672</v>
      </c>
      <c r="O9" s="1"/>
    </row>
    <row r="10" spans="1:15">
      <c r="A10" s="77" t="s">
        <v>254</v>
      </c>
      <c r="B10" s="139">
        <v>2</v>
      </c>
      <c r="C10" s="81">
        <f>CHOOSE($B10,'WA DemEst'!D41,'WA DemEst'!D49)</f>
        <v>101172.58631070079</v>
      </c>
      <c r="D10" s="81">
        <f>CHOOSE($B10,'WA DemEst'!E41,'WA DemEst'!E49)</f>
        <v>100166.96090056276</v>
      </c>
      <c r="E10" s="81">
        <f>CHOOSE($B10,'WA DemEst'!F41,'WA DemEst'!F49)</f>
        <v>97646.030938187556</v>
      </c>
      <c r="F10" s="81">
        <f>CHOOSE($B10,'WA DemEst'!G41,'WA DemEst'!G49)</f>
        <v>73014.95852194693</v>
      </c>
      <c r="G10" s="81">
        <f>CHOOSE($B10,'WA DemEst'!H41,'WA DemEst'!H49)</f>
        <v>85475.979177042231</v>
      </c>
      <c r="H10" s="81">
        <f>CHOOSE($B10,'WA DemEst'!I41,'WA DemEst'!I49)</f>
        <v>109470.17602305018</v>
      </c>
      <c r="I10" s="81">
        <f>CHOOSE($B10,'WA DemEst'!J41,'WA DemEst'!J49)</f>
        <v>110953.30624609599</v>
      </c>
      <c r="J10" s="81">
        <f>CHOOSE($B10,'WA DemEst'!K41,'WA DemEst'!K49)</f>
        <v>118518.05260919459</v>
      </c>
      <c r="K10" s="81">
        <f>CHOOSE($B10,'WA DemEst'!L41,'WA DemEst'!L49)</f>
        <v>70497.413535160827</v>
      </c>
      <c r="L10" s="81">
        <f>CHOOSE($B10,'WA DemEst'!M41,'WA DemEst'!M49)</f>
        <v>88113.036344213193</v>
      </c>
      <c r="M10" s="81">
        <f>CHOOSE($B10,'WA DemEst'!N41,'WA DemEst'!N49)</f>
        <v>74919.40541775398</v>
      </c>
      <c r="N10" s="81">
        <f>CHOOSE($B10,'WA DemEst'!O41,'WA DemEst'!O49)</f>
        <v>89540.438867682416</v>
      </c>
      <c r="O10" s="1"/>
    </row>
    <row r="11" spans="1:15">
      <c r="A11" s="77" t="s">
        <v>320</v>
      </c>
      <c r="B11" s="61"/>
      <c r="C11" s="81">
        <f>'WA DemEst'!D70+'WA DemEst'!D65+'WA DemEst'!D57</f>
        <v>185477.05749293262</v>
      </c>
      <c r="D11" s="81">
        <f>'WA DemEst'!E70+'WA DemEst'!E65+'WA DemEst'!E57</f>
        <v>180642.74240165125</v>
      </c>
      <c r="E11" s="81">
        <f>'WA DemEst'!F70+'WA DemEst'!F65+'WA DemEst'!F57</f>
        <v>190349.56274495745</v>
      </c>
      <c r="F11" s="81">
        <f>'WA DemEst'!G70+'WA DemEst'!G65+'WA DemEst'!G57</f>
        <v>162010.34542566014</v>
      </c>
      <c r="G11" s="81">
        <f>'WA DemEst'!H70+'WA DemEst'!H65+'WA DemEst'!H57</f>
        <v>182037.88249746498</v>
      </c>
      <c r="H11" s="81">
        <f>'WA DemEst'!I70+'WA DemEst'!I65+'WA DemEst'!I57</f>
        <v>212142.09290714332</v>
      </c>
      <c r="I11" s="81">
        <f>'WA DemEst'!J70+'WA DemEst'!J65+'WA DemEst'!J57</f>
        <v>212083.89237541755</v>
      </c>
      <c r="J11" s="81">
        <f>'WA DemEst'!K70+'WA DemEst'!K65+'WA DemEst'!K57</f>
        <v>219233.8701648686</v>
      </c>
      <c r="K11" s="81">
        <f>'WA DemEst'!L70+'WA DemEst'!L65+'WA DemEst'!L57</f>
        <v>166758.42601051467</v>
      </c>
      <c r="L11" s="81">
        <f>'WA DemEst'!M70+'WA DemEst'!M65+'WA DemEst'!M57</f>
        <v>176950.17519711162</v>
      </c>
      <c r="M11" s="81">
        <f>'WA DemEst'!N70+'WA DemEst'!N65+'WA DemEst'!N57</f>
        <v>164872.08863573096</v>
      </c>
      <c r="N11" s="81">
        <f>'WA DemEst'!O70+'WA DemEst'!O65+'WA DemEst'!O57</f>
        <v>173406.25537731865</v>
      </c>
      <c r="O11" s="1"/>
    </row>
    <row r="12" spans="1:15">
      <c r="A12" s="77" t="s">
        <v>273</v>
      </c>
      <c r="B12" s="61"/>
      <c r="C12" s="81">
        <f>'WA DemEst'!D75</f>
        <v>13955.880841993929</v>
      </c>
      <c r="D12" s="81">
        <f>'WA DemEst'!E75</f>
        <v>12789.509843659513</v>
      </c>
      <c r="E12" s="81">
        <f>'WA DemEst'!F75</f>
        <v>14243.994979069354</v>
      </c>
      <c r="F12" s="81">
        <f>'WA DemEst'!G75</f>
        <v>12622.775949089517</v>
      </c>
      <c r="G12" s="81">
        <f>'WA DemEst'!H75</f>
        <v>12035.108481973517</v>
      </c>
      <c r="H12" s="81">
        <f>'WA DemEst'!I75</f>
        <v>13682.800163280015</v>
      </c>
      <c r="I12" s="81">
        <f>'WA DemEst'!J75</f>
        <v>13052.248370019444</v>
      </c>
      <c r="J12" s="81">
        <f>'WA DemEst'!K75</f>
        <v>13877.623239622264</v>
      </c>
      <c r="K12" s="81">
        <f>'WA DemEst'!L75</f>
        <v>13088.554120273182</v>
      </c>
      <c r="L12" s="81">
        <f>'WA DemEst'!M75</f>
        <v>12879.425917776638</v>
      </c>
      <c r="M12" s="81">
        <f>'WA DemEst'!N75</f>
        <v>13805.679525251568</v>
      </c>
      <c r="N12" s="81">
        <f>'WA DemEst'!O75</f>
        <v>11066.445245368375</v>
      </c>
      <c r="O12" s="1"/>
    </row>
    <row r="13" spans="1:15">
      <c r="A13" s="61" t="s">
        <v>2584</v>
      </c>
      <c r="B13" s="61"/>
      <c r="C13" s="81">
        <f>'WA DemEst'!D80</f>
        <v>5799.3150098664782</v>
      </c>
      <c r="D13" s="81">
        <f>'WA DemEst'!E80</f>
        <v>7238.1698401972171</v>
      </c>
      <c r="E13" s="81">
        <f>'WA DemEst'!F80</f>
        <v>6117.6946944941574</v>
      </c>
      <c r="F13" s="81">
        <f>'WA DemEst'!G80</f>
        <v>7139.5882969378799</v>
      </c>
      <c r="G13" s="81">
        <f>'WA DemEst'!H80</f>
        <v>15749.245630778078</v>
      </c>
      <c r="H13" s="81">
        <f>'WA DemEst'!I80</f>
        <v>24033.436761877721</v>
      </c>
      <c r="I13" s="81">
        <f>'WA DemEst'!J80</f>
        <v>29082.590808680463</v>
      </c>
      <c r="J13" s="81">
        <f>'WA DemEst'!K80</f>
        <v>32045.497466848465</v>
      </c>
      <c r="K13" s="81">
        <f>'WA DemEst'!L80</f>
        <v>30248.43011069448</v>
      </c>
      <c r="L13" s="81">
        <f>'WA DemEst'!M80</f>
        <v>16112.074363668928</v>
      </c>
      <c r="M13" s="81">
        <f>'WA DemEst'!N80</f>
        <v>5821.7280190685551</v>
      </c>
      <c r="N13" s="81">
        <f>'WA DemEst'!O80</f>
        <v>5129.7437238177372</v>
      </c>
      <c r="O13" s="1"/>
    </row>
    <row r="14" spans="1:15">
      <c r="A14" s="77" t="s">
        <v>275</v>
      </c>
      <c r="B14" s="81">
        <f>SUM('12.2019 WA Usage'!O98:O102)</f>
        <v>10729842.53655</v>
      </c>
      <c r="C14" s="81">
        <f>$B14/'2019 Daylight'!Hrs_Darkness*'2019 Daylight'!B$59</f>
        <v>1333.5726926228315</v>
      </c>
      <c r="D14" s="81">
        <f>$B14/'2019 Daylight'!Hrs_Darkness*'2019 Daylight'!C$59</f>
        <v>291.71902651124634</v>
      </c>
      <c r="E14" s="81">
        <f>$B14/'2019 Daylight'!Hrs_Darkness*'2019 Daylight'!D$59</f>
        <v>0</v>
      </c>
      <c r="F14" s="81">
        <f>$B14/'2019 Daylight'!Hrs_Darkness*'2019 Daylight'!E$59</f>
        <v>0</v>
      </c>
      <c r="G14" s="81">
        <f>$B14/'2019 Daylight'!Hrs_Darkness*'2019 Daylight'!F$59</f>
        <v>0</v>
      </c>
      <c r="H14" s="81">
        <f>$B14/'2019 Daylight'!Hrs_Darkness*'2019 Daylight'!G$59</f>
        <v>0</v>
      </c>
      <c r="I14" s="81">
        <f>$B14/'2019 Daylight'!Hrs_Darkness*'2019 Daylight'!H$59</f>
        <v>0</v>
      </c>
      <c r="J14" s="81">
        <f>$B14/'2019 Daylight'!Hrs_Darkness*'2019 Daylight'!I$59</f>
        <v>0</v>
      </c>
      <c r="K14" s="81">
        <f>$B14/'2019 Daylight'!Hrs_Darkness*'2019 Daylight'!J$59</f>
        <v>0</v>
      </c>
      <c r="L14" s="81">
        <f>$B14/'2019 Daylight'!Hrs_Darkness*'2019 Daylight'!K$59</f>
        <v>1208.550252689442</v>
      </c>
      <c r="M14" s="81">
        <f>$B14/'2019 Daylight'!Hrs_Darkness*'2019 Daylight'!L$59</f>
        <v>1333.5726926228315</v>
      </c>
      <c r="N14" s="81">
        <f>$B14/'2019 Daylight'!Hrs_Darkness*'2019 Daylight'!M$59</f>
        <v>2500.4487986678059</v>
      </c>
      <c r="O14" s="1"/>
    </row>
    <row r="15" spans="1:15">
      <c r="A15" s="77" t="s">
        <v>276</v>
      </c>
      <c r="B15" s="81">
        <f>SUM('12.2019 WA Usage'!O103:O104)</f>
        <v>7232081.1234200001</v>
      </c>
      <c r="C15" s="81">
        <f>$B15/'2019 Daylight'!Hrs_Darkness*'2019 Daylight'!B$59</f>
        <v>898.84878218604206</v>
      </c>
      <c r="D15" s="81">
        <f>$B15/'2019 Daylight'!Hrs_Darkness*'2019 Daylight'!C$59</f>
        <v>196.62317110319802</v>
      </c>
      <c r="E15" s="81">
        <f>$B15/'2019 Daylight'!Hrs_Darkness*'2019 Daylight'!D$59</f>
        <v>0</v>
      </c>
      <c r="F15" s="81">
        <f>$B15/'2019 Daylight'!Hrs_Darkness*'2019 Daylight'!E$59</f>
        <v>0</v>
      </c>
      <c r="G15" s="81">
        <f>$B15/'2019 Daylight'!Hrs_Darkness*'2019 Daylight'!F$59</f>
        <v>0</v>
      </c>
      <c r="H15" s="81">
        <f>$B15/'2019 Daylight'!Hrs_Darkness*'2019 Daylight'!G$59</f>
        <v>0</v>
      </c>
      <c r="I15" s="81">
        <f>$B15/'2019 Daylight'!Hrs_Darkness*'2019 Daylight'!H$59</f>
        <v>0</v>
      </c>
      <c r="J15" s="81">
        <f>$B15/'2019 Daylight'!Hrs_Darkness*'2019 Daylight'!I$59</f>
        <v>0</v>
      </c>
      <c r="K15" s="81">
        <f>$B15/'2019 Daylight'!Hrs_Darkness*'2019 Daylight'!J$59</f>
        <v>0</v>
      </c>
      <c r="L15" s="81">
        <f>$B15/'2019 Daylight'!Hrs_Darkness*'2019 Daylight'!K$59</f>
        <v>814.58170885610127</v>
      </c>
      <c r="M15" s="81">
        <f>$B15/'2019 Daylight'!Hrs_Darkness*'2019 Daylight'!L$59</f>
        <v>898.84878218604206</v>
      </c>
      <c r="N15" s="81">
        <f>$B15/'2019 Daylight'!Hrs_Darkness*'2019 Daylight'!M$59</f>
        <v>1685.3414665988269</v>
      </c>
      <c r="O15" s="1"/>
    </row>
    <row r="16" spans="1:15" hidden="1">
      <c r="A16" s="185" t="s">
        <v>2364</v>
      </c>
      <c r="B16" s="61"/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1"/>
    </row>
    <row r="17" spans="1:15">
      <c r="A17" s="77" t="s">
        <v>2336</v>
      </c>
      <c r="B17" s="61"/>
      <c r="C17" s="235">
        <v>52272</v>
      </c>
      <c r="D17" s="235">
        <v>53064</v>
      </c>
      <c r="E17" s="235">
        <v>53892</v>
      </c>
      <c r="F17" s="235">
        <v>53352</v>
      </c>
      <c r="G17" s="235">
        <v>53892</v>
      </c>
      <c r="H17" s="235">
        <v>52848</v>
      </c>
      <c r="I17" s="235">
        <v>55872</v>
      </c>
      <c r="J17" s="235">
        <v>57276</v>
      </c>
      <c r="K17" s="235">
        <v>52308</v>
      </c>
      <c r="L17" s="235">
        <v>54396</v>
      </c>
      <c r="M17" s="235">
        <v>46368</v>
      </c>
      <c r="N17" s="235">
        <v>55584</v>
      </c>
      <c r="O17" s="122"/>
    </row>
    <row r="18" spans="1:15">
      <c r="A18" s="77" t="s">
        <v>2335</v>
      </c>
      <c r="B18" s="61"/>
      <c r="C18" s="235">
        <v>79488.899999999994</v>
      </c>
      <c r="D18" s="235">
        <v>71942.999000000011</v>
      </c>
      <c r="E18" s="235">
        <v>72646.8</v>
      </c>
      <c r="F18" s="235">
        <v>67863.242400000017</v>
      </c>
      <c r="G18" s="235">
        <v>77367.822551075253</v>
      </c>
      <c r="H18" s="235">
        <v>81172.699000000008</v>
      </c>
      <c r="I18" s="235">
        <v>72601</v>
      </c>
      <c r="J18" s="235">
        <v>78593.899999999994</v>
      </c>
      <c r="K18" s="235">
        <v>68282.899999999994</v>
      </c>
      <c r="L18" s="235">
        <v>74386.441666666666</v>
      </c>
      <c r="M18" s="235">
        <v>72707.229403606092</v>
      </c>
      <c r="N18" s="235">
        <v>62667.84489247312</v>
      </c>
      <c r="O18" s="122"/>
    </row>
    <row r="19" spans="1:15">
      <c r="A19" s="77" t="s">
        <v>411</v>
      </c>
      <c r="B19" s="61"/>
      <c r="C19" s="235">
        <v>10000.4</v>
      </c>
      <c r="D19" s="235">
        <v>10849.599999999999</v>
      </c>
      <c r="E19" s="235">
        <v>10280.799999999999</v>
      </c>
      <c r="F19" s="235">
        <v>9084</v>
      </c>
      <c r="G19" s="235">
        <v>11923.2</v>
      </c>
      <c r="H19" s="235">
        <v>12575.599999999999</v>
      </c>
      <c r="I19" s="235">
        <v>11528.4</v>
      </c>
      <c r="J19" s="235">
        <v>13288.4</v>
      </c>
      <c r="K19" s="235">
        <v>13230.4</v>
      </c>
      <c r="L19" s="235">
        <v>13966.4</v>
      </c>
      <c r="M19" s="235">
        <v>13517.2</v>
      </c>
      <c r="N19" s="235">
        <v>9390.7999999999993</v>
      </c>
      <c r="O19" s="122"/>
    </row>
    <row r="20" spans="1:15" ht="4.5" customHeight="1">
      <c r="A20" s="77"/>
      <c r="B20" s="6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61"/>
    </row>
    <row r="21" spans="1:15">
      <c r="A21" s="79" t="s">
        <v>258</v>
      </c>
      <c r="B21" s="61"/>
      <c r="C21" s="67" t="s">
        <v>261</v>
      </c>
      <c r="D21" s="67" t="s">
        <v>262</v>
      </c>
      <c r="E21" s="67" t="s">
        <v>263</v>
      </c>
      <c r="F21" s="67" t="s">
        <v>264</v>
      </c>
      <c r="G21" s="67" t="s">
        <v>265</v>
      </c>
      <c r="H21" s="67" t="s">
        <v>266</v>
      </c>
      <c r="I21" s="67" t="s">
        <v>267</v>
      </c>
      <c r="J21" s="67" t="s">
        <v>268</v>
      </c>
      <c r="K21" s="67" t="s">
        <v>269</v>
      </c>
      <c r="L21" s="67" t="s">
        <v>270</v>
      </c>
      <c r="M21" s="67" t="s">
        <v>271</v>
      </c>
      <c r="N21" s="67" t="s">
        <v>272</v>
      </c>
      <c r="O21" s="61"/>
    </row>
    <row r="22" spans="1:15">
      <c r="A22" s="77" t="s">
        <v>253</v>
      </c>
      <c r="B22" s="61"/>
      <c r="C22" s="81">
        <f>'ID DemEst'!D16</f>
        <v>218390.77233903107</v>
      </c>
      <c r="D22" s="81">
        <f>'ID DemEst'!E16</f>
        <v>254846.96392481026</v>
      </c>
      <c r="E22" s="81">
        <f>'ID DemEst'!F16</f>
        <v>258638.21850123556</v>
      </c>
      <c r="F22" s="81">
        <f>'ID DemEst'!G16</f>
        <v>159900.84716069757</v>
      </c>
      <c r="G22" s="81">
        <f>'ID DemEst'!H16</f>
        <v>111378.21081528132</v>
      </c>
      <c r="H22" s="81">
        <f>'ID DemEst'!I16</f>
        <v>153470.58063937441</v>
      </c>
      <c r="I22" s="81">
        <f>'ID DemEst'!J16</f>
        <v>226598.82651238094</v>
      </c>
      <c r="J22" s="81">
        <f>'ID DemEst'!K16</f>
        <v>249827.87694896865</v>
      </c>
      <c r="K22" s="81">
        <f>'ID DemEst'!L16</f>
        <v>159108.5001579333</v>
      </c>
      <c r="L22" s="81">
        <f>'ID DemEst'!M16</f>
        <v>203355.85057612049</v>
      </c>
      <c r="M22" s="81">
        <f>'ID DemEst'!N16</f>
        <v>159548.35970979612</v>
      </c>
      <c r="N22" s="81">
        <f>'ID DemEst'!O16</f>
        <v>237926.47756466473</v>
      </c>
      <c r="O22" s="1"/>
    </row>
    <row r="23" spans="1:15" ht="14.45" customHeight="1">
      <c r="A23" s="160" t="s">
        <v>2339</v>
      </c>
      <c r="B23" s="139">
        <v>2</v>
      </c>
      <c r="C23" s="81">
        <f>CHOOSE($B23,'ID DemEst'!D41,'ID DemEst'!D49)-C24</f>
        <v>57749.638666725325</v>
      </c>
      <c r="D23" s="81">
        <f>CHOOSE($B23,'ID DemEst'!E41,'ID DemEst'!E49)-D24</f>
        <v>58707.425648573779</v>
      </c>
      <c r="E23" s="81">
        <f>CHOOSE($B23,'ID DemEst'!F41,'ID DemEst'!F49)-E24</f>
        <v>58133.419966337678</v>
      </c>
      <c r="F23" s="81">
        <f>CHOOSE($B23,'ID DemEst'!G41,'ID DemEst'!G49)-F24</f>
        <v>42696.187110476123</v>
      </c>
      <c r="G23" s="81">
        <f>CHOOSE($B23,'ID DemEst'!H41,'ID DemEst'!H49)-G24</f>
        <v>51799.005364452067</v>
      </c>
      <c r="H23" s="81">
        <f>CHOOSE($B23,'ID DemEst'!I41,'ID DemEst'!I49)-H24</f>
        <v>68761.234040780633</v>
      </c>
      <c r="I23" s="81">
        <f>CHOOSE($B23,'ID DemEst'!J41,'ID DemEst'!J49)-I24</f>
        <v>72347.253123923554</v>
      </c>
      <c r="J23" s="81">
        <f>CHOOSE($B23,'ID DemEst'!K41,'ID DemEst'!K49)-J24</f>
        <v>78275.484936783789</v>
      </c>
      <c r="K23" s="81">
        <f>CHOOSE($B23,'ID DemEst'!L41,'ID DemEst'!L49)-K24</f>
        <v>45506.833723531912</v>
      </c>
      <c r="L23" s="81">
        <f>CHOOSE($B23,'ID DemEst'!M41,'ID DemEst'!M49)-L24</f>
        <v>48137.711304478435</v>
      </c>
      <c r="M23" s="81">
        <f>CHOOSE($B23,'ID DemEst'!N41,'ID DemEst'!N49)-M24</f>
        <v>43195.155141207339</v>
      </c>
      <c r="N23" s="81">
        <f>CHOOSE($B23,'ID DemEst'!O41,'ID DemEst'!O49)-N24</f>
        <v>54486.739066234542</v>
      </c>
      <c r="O23" s="1"/>
    </row>
    <row r="24" spans="1:15" hidden="1">
      <c r="A24" s="77" t="s">
        <v>379</v>
      </c>
      <c r="B24" s="61"/>
      <c r="C24" s="81">
        <f>CHOOSE($B23,'ID DemEst'!D41,'ID DemEst'!D49)*'12.2019 ID Usage'!C134/SUM('12.2019 ID Usage'!C104:C105)</f>
        <v>0</v>
      </c>
      <c r="D24" s="81">
        <f>CHOOSE($B23,'ID DemEst'!E41,'ID DemEst'!E49)*'12.2019 ID Usage'!D134/SUM('12.2019 ID Usage'!D104:D105)</f>
        <v>0</v>
      </c>
      <c r="E24" s="81">
        <f>CHOOSE($B23,'ID DemEst'!F41,'ID DemEst'!F49)*'12.2019 ID Usage'!E134/SUM('12.2019 ID Usage'!E104:E105)</f>
        <v>0</v>
      </c>
      <c r="F24" s="81">
        <f>CHOOSE($B23,'ID DemEst'!G41,'ID DemEst'!G49)*'12.2019 ID Usage'!F134/SUM('12.2019 ID Usage'!F104:F105)</f>
        <v>0</v>
      </c>
      <c r="G24" s="81">
        <f>CHOOSE($B23,'ID DemEst'!H41,'ID DemEst'!H49)*'12.2019 ID Usage'!G134/SUM('12.2019 ID Usage'!G104:G105)</f>
        <v>0</v>
      </c>
      <c r="H24" s="81">
        <f>CHOOSE($B23,'ID DemEst'!I41,'ID DemEst'!I49)*'12.2019 ID Usage'!H134/SUM('12.2019 ID Usage'!H104:H105)</f>
        <v>0</v>
      </c>
      <c r="I24" s="81">
        <f>CHOOSE($B23,'ID DemEst'!J41,'ID DemEst'!J49)*'12.2019 ID Usage'!I134/SUM('12.2019 ID Usage'!I104:I105)</f>
        <v>0</v>
      </c>
      <c r="J24" s="81">
        <f>CHOOSE($B23,'ID DemEst'!K41,'ID DemEst'!K49)*'12.2019 ID Usage'!J134/SUM('12.2019 ID Usage'!J104:J105)</f>
        <v>0</v>
      </c>
      <c r="K24" s="81">
        <f>CHOOSE($B23,'ID DemEst'!L41,'ID DemEst'!L49)*'12.2019 ID Usage'!K134/SUM('12.2019 ID Usage'!K104:K105)</f>
        <v>0</v>
      </c>
      <c r="L24" s="81">
        <f>CHOOSE($B23,'ID DemEst'!M41,'ID DemEst'!M49)*'12.2019 ID Usage'!L134/SUM('12.2019 ID Usage'!L104:L105)</f>
        <v>0</v>
      </c>
      <c r="M24" s="81">
        <f>CHOOSE($B23,'ID DemEst'!N41,'ID DemEst'!N49)*'12.2019 ID Usage'!M134/SUM('12.2019 ID Usage'!M104:M105)</f>
        <v>0</v>
      </c>
      <c r="N24" s="81">
        <f>CHOOSE($B23,'ID DemEst'!O41,'ID DemEst'!O49)*'12.2019 ID Usage'!N134/SUM('12.2019 ID Usage'!N104:N105)</f>
        <v>0</v>
      </c>
      <c r="O24" s="1"/>
    </row>
    <row r="25" spans="1:15">
      <c r="A25" s="77" t="s">
        <v>321</v>
      </c>
      <c r="B25" s="61"/>
      <c r="C25" s="81">
        <f>'ID DemEst'!D78+'ID DemEst'!D73+'ID DemEst'!D65+'ID DemEst'!D57</f>
        <v>87073.625098078672</v>
      </c>
      <c r="D25" s="81">
        <f>'ID DemEst'!E78+'ID DemEst'!E73+'ID DemEst'!E65+'ID DemEst'!E57</f>
        <v>88453.990109033854</v>
      </c>
      <c r="E25" s="81">
        <f>'ID DemEst'!F78+'ID DemEst'!F73+'ID DemEst'!F65+'ID DemEst'!F57</f>
        <v>88817.174012286836</v>
      </c>
      <c r="F25" s="81">
        <f>'ID DemEst'!G78+'ID DemEst'!G73+'ID DemEst'!G65+'ID DemEst'!G57</f>
        <v>74962.733584206915</v>
      </c>
      <c r="G25" s="81">
        <f>'ID DemEst'!H78+'ID DemEst'!H73+'ID DemEst'!H65+'ID DemEst'!H57</f>
        <v>78660.704686072975</v>
      </c>
      <c r="H25" s="81">
        <f>'ID DemEst'!I78+'ID DemEst'!I73+'ID DemEst'!I65+'ID DemEst'!I57</f>
        <v>95338.684129292844</v>
      </c>
      <c r="I25" s="81">
        <f>'ID DemEst'!J78+'ID DemEst'!J73+'ID DemEst'!J65+'ID DemEst'!J57</f>
        <v>95069.266418410611</v>
      </c>
      <c r="J25" s="81">
        <f>'ID DemEst'!K78+'ID DemEst'!K73+'ID DemEst'!K65+'ID DemEst'!K57</f>
        <v>95760.48009209946</v>
      </c>
      <c r="K25" s="81">
        <f>'ID DemEst'!L78+'ID DemEst'!L73+'ID DemEst'!L65+'ID DemEst'!L57</f>
        <v>75701.95456380934</v>
      </c>
      <c r="L25" s="81">
        <f>'ID DemEst'!M78+'ID DemEst'!M73+'ID DemEst'!M65+'ID DemEst'!M57</f>
        <v>76242.828497315306</v>
      </c>
      <c r="M25" s="81">
        <f>'ID DemEst'!N78+'ID DemEst'!N73+'ID DemEst'!N65+'ID DemEst'!N57</f>
        <v>73676.670476177547</v>
      </c>
      <c r="N25" s="81">
        <f>'ID DemEst'!O78+'ID DemEst'!O73+'ID DemEst'!O65+'ID DemEst'!O57</f>
        <v>76390.116799748881</v>
      </c>
      <c r="O25" s="1"/>
    </row>
    <row r="26" spans="1:15">
      <c r="A26" s="77" t="s">
        <v>273</v>
      </c>
      <c r="B26" s="61"/>
      <c r="C26" s="81">
        <f>'ID DemEst'!D83</f>
        <v>8048.8431373848098</v>
      </c>
      <c r="D26" s="81">
        <f>'ID DemEst'!E83</f>
        <v>8981.1180617483005</v>
      </c>
      <c r="E26" s="81">
        <f>'ID DemEst'!F83</f>
        <v>7945.5977836442034</v>
      </c>
      <c r="F26" s="81">
        <f>'ID DemEst'!G83</f>
        <v>7454.4892801754568</v>
      </c>
      <c r="G26" s="81">
        <f>'ID DemEst'!H83</f>
        <v>4852.4518817778244</v>
      </c>
      <c r="H26" s="81">
        <f>'ID DemEst'!I83</f>
        <v>6280.8913717189262</v>
      </c>
      <c r="I26" s="81">
        <f>'ID DemEst'!J83</f>
        <v>4865.0575535184471</v>
      </c>
      <c r="J26" s="81">
        <f>'ID DemEst'!K83</f>
        <v>5102.1631516859416</v>
      </c>
      <c r="K26" s="81">
        <f>'ID DemEst'!L83</f>
        <v>5091.2307862979142</v>
      </c>
      <c r="L26" s="81">
        <f>'ID DemEst'!M83</f>
        <v>6266.7504816425308</v>
      </c>
      <c r="M26" s="81">
        <f>'ID DemEst'!N83</f>
        <v>6622.3941511543717</v>
      </c>
      <c r="N26" s="81">
        <f>'ID DemEst'!O83</f>
        <v>5204.6913077033378</v>
      </c>
      <c r="O26" s="1"/>
    </row>
    <row r="27" spans="1:15">
      <c r="A27" s="77" t="s">
        <v>256</v>
      </c>
      <c r="B27" s="61"/>
      <c r="C27" s="81">
        <f>'ID DemEst'!D88</f>
        <v>5832.202744960653</v>
      </c>
      <c r="D27" s="81">
        <f>'ID DemEst'!E88</f>
        <v>5324.059472963655</v>
      </c>
      <c r="E27" s="81">
        <f>'ID DemEst'!F88</f>
        <v>5396.7674317119809</v>
      </c>
      <c r="F27" s="81">
        <f>'ID DemEst'!G88</f>
        <v>5383.0435643364326</v>
      </c>
      <c r="G27" s="81">
        <f>'ID DemEst'!H88</f>
        <v>4876.773230755678</v>
      </c>
      <c r="H27" s="81">
        <f>'ID DemEst'!I88</f>
        <v>6873.795694964957</v>
      </c>
      <c r="I27" s="81">
        <f>'ID DemEst'!J88</f>
        <v>8950.896539673513</v>
      </c>
      <c r="J27" s="81">
        <f>'ID DemEst'!K88</f>
        <v>8263.1343082274743</v>
      </c>
      <c r="K27" s="81">
        <f>'ID DemEst'!L88</f>
        <v>7276.7050968268941</v>
      </c>
      <c r="L27" s="81">
        <f>'ID DemEst'!M88</f>
        <v>6606.6383892432341</v>
      </c>
      <c r="M27" s="81">
        <f>'ID DemEst'!N88</f>
        <v>5579.5369470629494</v>
      </c>
      <c r="N27" s="81">
        <f>'ID DemEst'!O88</f>
        <v>5894.968862803209</v>
      </c>
      <c r="O27" s="1"/>
    </row>
    <row r="28" spans="1:15">
      <c r="A28" s="77" t="s">
        <v>275</v>
      </c>
      <c r="B28" s="81">
        <f>SUM('12.2019 ID Usage'!O115:O120)</f>
        <v>7243308.4059299994</v>
      </c>
      <c r="C28" s="81">
        <f>$B28/'2019 Daylight'!Hrs_Darkness*'2019 Daylight'!B$59</f>
        <v>900.24417986468427</v>
      </c>
      <c r="D28" s="81">
        <f>$B28/'2019 Daylight'!Hrs_Darkness*'2019 Daylight'!C$59</f>
        <v>196.92841434540099</v>
      </c>
      <c r="E28" s="81">
        <f>$B28/'2019 Daylight'!Hrs_Darkness*'2019 Daylight'!D$59</f>
        <v>0</v>
      </c>
      <c r="F28" s="81">
        <f>$B28/'2019 Daylight'!Hrs_Darkness*'2019 Daylight'!E$59</f>
        <v>0</v>
      </c>
      <c r="G28" s="81">
        <f>$B28/'2019 Daylight'!Hrs_Darkness*'2019 Daylight'!F$59</f>
        <v>0</v>
      </c>
      <c r="H28" s="81">
        <f>$B28/'2019 Daylight'!Hrs_Darkness*'2019 Daylight'!G$59</f>
        <v>0</v>
      </c>
      <c r="I28" s="81">
        <f>$B28/'2019 Daylight'!Hrs_Darkness*'2019 Daylight'!H$59</f>
        <v>0</v>
      </c>
      <c r="J28" s="81">
        <f>$B28/'2019 Daylight'!Hrs_Darkness*'2019 Daylight'!I$59</f>
        <v>0</v>
      </c>
      <c r="K28" s="81">
        <f>$B28/'2019 Daylight'!Hrs_Darkness*'2019 Daylight'!J$59</f>
        <v>0</v>
      </c>
      <c r="L28" s="81">
        <f>$B28/'2019 Daylight'!Hrs_Darkness*'2019 Daylight'!K$59</f>
        <v>815.84628800237067</v>
      </c>
      <c r="M28" s="81">
        <f>$B28/'2019 Daylight'!Hrs_Darkness*'2019 Daylight'!L$59</f>
        <v>900.24417986468427</v>
      </c>
      <c r="N28" s="81">
        <f>$B28/'2019 Daylight'!Hrs_Darkness*'2019 Daylight'!M$59</f>
        <v>1687.9578372462809</v>
      </c>
      <c r="O28" s="1"/>
    </row>
    <row r="29" spans="1:15">
      <c r="A29" s="77" t="s">
        <v>276</v>
      </c>
      <c r="B29" s="81">
        <f>SUM('12.2019 ID Usage'!O121:O123)</f>
        <v>3809164.0015500002</v>
      </c>
      <c r="C29" s="81">
        <f>$B29/'2019 Daylight'!Hrs_Darkness*'2019 Daylight'!B$59</f>
        <v>473.42699362877289</v>
      </c>
      <c r="D29" s="81">
        <f>$B29/'2019 Daylight'!Hrs_Darkness*'2019 Daylight'!C$59</f>
        <v>103.56215485629475</v>
      </c>
      <c r="E29" s="81">
        <f>$B29/'2019 Daylight'!Hrs_Darkness*'2019 Daylight'!D$59</f>
        <v>0</v>
      </c>
      <c r="F29" s="81">
        <f>$B29/'2019 Daylight'!Hrs_Darkness*'2019 Daylight'!E$59</f>
        <v>0</v>
      </c>
      <c r="G29" s="81">
        <f>$B29/'2019 Daylight'!Hrs_Darkness*'2019 Daylight'!F$59</f>
        <v>0</v>
      </c>
      <c r="H29" s="81">
        <f>$B29/'2019 Daylight'!Hrs_Darkness*'2019 Daylight'!G$59</f>
        <v>0</v>
      </c>
      <c r="I29" s="81">
        <f>$B29/'2019 Daylight'!Hrs_Darkness*'2019 Daylight'!H$59</f>
        <v>0</v>
      </c>
      <c r="J29" s="81">
        <f>$B29/'2019 Daylight'!Hrs_Darkness*'2019 Daylight'!I$59</f>
        <v>0</v>
      </c>
      <c r="K29" s="81">
        <f>$B29/'2019 Daylight'!Hrs_Darkness*'2019 Daylight'!J$59</f>
        <v>0</v>
      </c>
      <c r="L29" s="81">
        <f>$B29/'2019 Daylight'!Hrs_Darkness*'2019 Daylight'!K$59</f>
        <v>429.04321297607572</v>
      </c>
      <c r="M29" s="81">
        <f>$B29/'2019 Daylight'!Hrs_Darkness*'2019 Daylight'!L$59</f>
        <v>473.42699362877289</v>
      </c>
      <c r="N29" s="81">
        <f>$B29/'2019 Daylight'!Hrs_Darkness*'2019 Daylight'!M$59</f>
        <v>887.67561305394804</v>
      </c>
      <c r="O29" s="1"/>
    </row>
    <row r="30" spans="1:15">
      <c r="A30" s="160" t="s">
        <v>2335</v>
      </c>
      <c r="B30" s="61"/>
      <c r="C30" s="235">
        <v>44574.75499999999</v>
      </c>
      <c r="D30" s="235">
        <v>44110.408999999992</v>
      </c>
      <c r="E30" s="235">
        <v>43923.593000000001</v>
      </c>
      <c r="F30" s="235">
        <v>41861.555</v>
      </c>
      <c r="G30" s="235">
        <v>37116.245999999999</v>
      </c>
      <c r="H30" s="235">
        <v>36485.015999999996</v>
      </c>
      <c r="I30" s="235">
        <v>38816.008000000002</v>
      </c>
      <c r="J30" s="235">
        <v>39855.851698924722</v>
      </c>
      <c r="K30" s="235">
        <v>39639.445388888897</v>
      </c>
      <c r="L30" s="235">
        <v>44934.971999999994</v>
      </c>
      <c r="M30" s="235">
        <v>42801.466</v>
      </c>
      <c r="N30" s="235">
        <v>42306.941999999995</v>
      </c>
      <c r="O30" s="122"/>
    </row>
    <row r="31" spans="1:15">
      <c r="A31" s="160" t="s">
        <v>411</v>
      </c>
      <c r="B31" s="61"/>
      <c r="C31" s="235">
        <v>628.79999999999995</v>
      </c>
      <c r="D31" s="235">
        <v>489.6</v>
      </c>
      <c r="E31" s="235">
        <v>403.2</v>
      </c>
      <c r="F31" s="235">
        <v>648</v>
      </c>
      <c r="G31" s="235">
        <v>441.6</v>
      </c>
      <c r="H31" s="235">
        <v>528</v>
      </c>
      <c r="I31" s="235">
        <v>566.4</v>
      </c>
      <c r="J31" s="235">
        <v>398.4</v>
      </c>
      <c r="K31" s="235">
        <v>379.2</v>
      </c>
      <c r="L31" s="235">
        <v>542.4</v>
      </c>
      <c r="M31" s="235">
        <v>144</v>
      </c>
      <c r="N31" s="235">
        <v>940.8</v>
      </c>
      <c r="O31" s="122"/>
    </row>
    <row r="32" spans="1:15">
      <c r="A32" s="160" t="s">
        <v>2338</v>
      </c>
      <c r="B32" s="61"/>
      <c r="C32" s="235">
        <v>47620</v>
      </c>
      <c r="D32" s="235">
        <v>47080</v>
      </c>
      <c r="E32" s="235">
        <v>42300</v>
      </c>
      <c r="F32" s="235">
        <v>42350</v>
      </c>
      <c r="G32" s="235">
        <v>46980</v>
      </c>
      <c r="H32" s="235">
        <v>47220</v>
      </c>
      <c r="I32" s="235">
        <v>40550</v>
      </c>
      <c r="J32" s="235">
        <v>46400</v>
      </c>
      <c r="K32" s="235">
        <v>37620.000000000007</v>
      </c>
      <c r="L32" s="235">
        <v>39730.000000000007</v>
      </c>
      <c r="M32" s="235">
        <v>38769.999999999993</v>
      </c>
      <c r="N32" s="235">
        <v>44240</v>
      </c>
      <c r="O32" s="122"/>
    </row>
    <row r="33" spans="1:15">
      <c r="A33" s="160" t="s">
        <v>2337</v>
      </c>
      <c r="B33" s="61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122"/>
    </row>
    <row r="34" spans="1:15" ht="6.75" customHeight="1">
      <c r="A34" s="160"/>
      <c r="B34" s="6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61"/>
    </row>
    <row r="35" spans="1:15">
      <c r="A35" s="77" t="s">
        <v>313</v>
      </c>
      <c r="B35" s="61"/>
      <c r="C35" s="81">
        <f t="shared" ref="C35:N35" si="0">SUM(C9:C19)</f>
        <v>884469.34690132411</v>
      </c>
      <c r="D35" s="81">
        <f t="shared" si="0"/>
        <v>936265.65048296109</v>
      </c>
      <c r="E35" s="81">
        <f t="shared" si="0"/>
        <v>1034095.3586123998</v>
      </c>
      <c r="F35" s="81">
        <f t="shared" si="0"/>
        <v>722632.54930024059</v>
      </c>
      <c r="G35" s="81">
        <f t="shared" si="0"/>
        <v>676962.46468265203</v>
      </c>
      <c r="H35" s="81">
        <f t="shared" si="0"/>
        <v>818374.33606678282</v>
      </c>
      <c r="I35" s="81">
        <f t="shared" si="0"/>
        <v>976141.67083568498</v>
      </c>
      <c r="J35" s="81">
        <f t="shared" si="0"/>
        <v>1060016.1468732096</v>
      </c>
      <c r="K35" s="81">
        <f t="shared" si="0"/>
        <v>720520.90521084354</v>
      </c>
      <c r="L35" s="81">
        <f t="shared" si="0"/>
        <v>860576.65428982186</v>
      </c>
      <c r="M35" s="81">
        <f t="shared" si="0"/>
        <v>747402.82627198799</v>
      </c>
      <c r="N35" s="81">
        <f t="shared" si="0"/>
        <v>851730.05650487356</v>
      </c>
      <c r="O35" s="61"/>
    </row>
    <row r="36" spans="1:15">
      <c r="A36" s="77" t="s">
        <v>314</v>
      </c>
      <c r="B36" s="61"/>
      <c r="C36" s="81">
        <f>SUM(C22:C33)</f>
        <v>471292.30815967405</v>
      </c>
      <c r="D36" s="81">
        <f t="shared" ref="D36:N36" si="1">SUM(D22:D33)</f>
        <v>508294.05678633146</v>
      </c>
      <c r="E36" s="81">
        <f t="shared" si="1"/>
        <v>505557.97069521621</v>
      </c>
      <c r="F36" s="81">
        <f t="shared" si="1"/>
        <v>375256.85569989251</v>
      </c>
      <c r="G36" s="81">
        <f t="shared" si="1"/>
        <v>336104.99197833985</v>
      </c>
      <c r="H36" s="81">
        <f t="shared" si="1"/>
        <v>414958.2018761317</v>
      </c>
      <c r="I36" s="81">
        <f t="shared" si="1"/>
        <v>487763.70814790705</v>
      </c>
      <c r="J36" s="81">
        <f t="shared" si="1"/>
        <v>523883.39113669004</v>
      </c>
      <c r="K36" s="81">
        <f t="shared" si="1"/>
        <v>370323.8697172883</v>
      </c>
      <c r="L36" s="81">
        <f t="shared" si="1"/>
        <v>427062.04074977851</v>
      </c>
      <c r="M36" s="81">
        <f t="shared" si="1"/>
        <v>371711.25359889184</v>
      </c>
      <c r="N36" s="81">
        <f t="shared" si="1"/>
        <v>469966.36905145494</v>
      </c>
      <c r="O36" s="61"/>
    </row>
    <row r="37" spans="1:15">
      <c r="A37" s="77" t="s">
        <v>277</v>
      </c>
      <c r="B37" s="61"/>
      <c r="C37" s="83">
        <f>C35+C36</f>
        <v>1355761.6550609982</v>
      </c>
      <c r="D37" s="83">
        <f t="shared" ref="D37:N37" si="2">D35+D36</f>
        <v>1444559.7072692926</v>
      </c>
      <c r="E37" s="83">
        <f t="shared" si="2"/>
        <v>1539653.329307616</v>
      </c>
      <c r="F37" s="83">
        <f t="shared" si="2"/>
        <v>1097889.405000133</v>
      </c>
      <c r="G37" s="83">
        <f t="shared" si="2"/>
        <v>1013067.4566609919</v>
      </c>
      <c r="H37" s="83">
        <f t="shared" si="2"/>
        <v>1233332.5379429145</v>
      </c>
      <c r="I37" s="83">
        <f t="shared" si="2"/>
        <v>1463905.3789835921</v>
      </c>
      <c r="J37" s="83">
        <f t="shared" si="2"/>
        <v>1583899.5380098997</v>
      </c>
      <c r="K37" s="83">
        <f t="shared" si="2"/>
        <v>1090844.7749281318</v>
      </c>
      <c r="L37" s="83">
        <f t="shared" si="2"/>
        <v>1287638.6950396004</v>
      </c>
      <c r="M37" s="83">
        <f t="shared" si="2"/>
        <v>1119114.0798708799</v>
      </c>
      <c r="N37" s="83">
        <f t="shared" si="2"/>
        <v>1321696.4255563286</v>
      </c>
      <c r="O37" s="61"/>
    </row>
    <row r="38" spans="1:15" ht="4.5" customHeight="1">
      <c r="A38" s="77"/>
      <c r="B38" s="61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1"/>
    </row>
    <row r="39" spans="1:15">
      <c r="A39" s="79" t="s">
        <v>279</v>
      </c>
      <c r="B39" s="61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1"/>
    </row>
    <row r="40" spans="1:15">
      <c r="A40" s="79" t="s">
        <v>252</v>
      </c>
      <c r="B40" s="61"/>
      <c r="C40" s="67" t="s">
        <v>261</v>
      </c>
      <c r="D40" s="67" t="s">
        <v>262</v>
      </c>
      <c r="E40" s="67" t="s">
        <v>263</v>
      </c>
      <c r="F40" s="67" t="s">
        <v>264</v>
      </c>
      <c r="G40" s="67" t="s">
        <v>265</v>
      </c>
      <c r="H40" s="67" t="s">
        <v>266</v>
      </c>
      <c r="I40" s="67" t="s">
        <v>267</v>
      </c>
      <c r="J40" s="67" t="s">
        <v>268</v>
      </c>
      <c r="K40" s="67" t="s">
        <v>269</v>
      </c>
      <c r="L40" s="67" t="s">
        <v>270</v>
      </c>
      <c r="M40" s="67" t="s">
        <v>271</v>
      </c>
      <c r="N40" s="67" t="s">
        <v>272</v>
      </c>
      <c r="O40" s="61"/>
    </row>
    <row r="41" spans="1:15">
      <c r="A41" s="77" t="str">
        <f t="shared" ref="A41:A51" si="3">A9</f>
        <v>Schedule 1/2</v>
      </c>
      <c r="B41" s="161">
        <f>1+Loss_Sec</f>
        <v>1.056</v>
      </c>
      <c r="C41" s="83">
        <f>C9*$B41</f>
        <v>458378.74977419863</v>
      </c>
      <c r="D41" s="83">
        <f t="shared" ref="D41:N41" si="4">D9*$B41</f>
        <v>527031.99257203541</v>
      </c>
      <c r="E41" s="83">
        <f t="shared" si="4"/>
        <v>621897.9098700101</v>
      </c>
      <c r="F41" s="83">
        <f t="shared" si="4"/>
        <v>356448.19447417615</v>
      </c>
      <c r="G41" s="83">
        <f t="shared" si="4"/>
        <v>251836.17501959985</v>
      </c>
      <c r="H41" s="83">
        <f t="shared" si="4"/>
        <v>329946.70495927182</v>
      </c>
      <c r="I41" s="83">
        <f t="shared" si="4"/>
        <v>497342.45408545784</v>
      </c>
      <c r="J41" s="83">
        <f t="shared" si="4"/>
        <v>556705.04038266547</v>
      </c>
      <c r="K41" s="83">
        <f t="shared" si="4"/>
        <v>323248.76119451551</v>
      </c>
      <c r="L41" s="83">
        <f t="shared" si="4"/>
        <v>445367.96709381446</v>
      </c>
      <c r="M41" s="83">
        <f t="shared" si="4"/>
        <v>372935.98192833085</v>
      </c>
      <c r="N41" s="83">
        <f t="shared" si="4"/>
        <v>465441.22746839176</v>
      </c>
      <c r="O41" s="61"/>
    </row>
    <row r="42" spans="1:15">
      <c r="A42" s="77" t="str">
        <f t="shared" si="3"/>
        <v>Schedule 11/12</v>
      </c>
      <c r="B42" s="161">
        <f>1+Loss_Sec</f>
        <v>1.056</v>
      </c>
      <c r="C42" s="83">
        <f t="shared" ref="C42:N42" si="5">C10*$B42</f>
        <v>106838.25114410004</v>
      </c>
      <c r="D42" s="83">
        <f t="shared" si="5"/>
        <v>105776.31071099428</v>
      </c>
      <c r="E42" s="83">
        <f t="shared" si="5"/>
        <v>103114.20867072606</v>
      </c>
      <c r="F42" s="83">
        <f t="shared" si="5"/>
        <v>77103.796199175966</v>
      </c>
      <c r="G42" s="83">
        <f t="shared" si="5"/>
        <v>90262.634010956594</v>
      </c>
      <c r="H42" s="83">
        <f t="shared" si="5"/>
        <v>115600.50588034099</v>
      </c>
      <c r="I42" s="83">
        <f t="shared" si="5"/>
        <v>117166.69139587737</v>
      </c>
      <c r="J42" s="83">
        <f t="shared" si="5"/>
        <v>125155.06355530949</v>
      </c>
      <c r="K42" s="83">
        <f t="shared" si="5"/>
        <v>74445.268693129838</v>
      </c>
      <c r="L42" s="83">
        <f t="shared" si="5"/>
        <v>93047.366379489133</v>
      </c>
      <c r="M42" s="83">
        <f t="shared" si="5"/>
        <v>79114.892121148208</v>
      </c>
      <c r="N42" s="83">
        <f t="shared" si="5"/>
        <v>94554.703444272629</v>
      </c>
      <c r="O42" s="61"/>
    </row>
    <row r="43" spans="1:15">
      <c r="A43" s="77" t="str">
        <f t="shared" si="3"/>
        <v>Schedule 21/22  Secondary</v>
      </c>
      <c r="B43" s="161">
        <f>1+Loss_Sec</f>
        <v>1.056</v>
      </c>
      <c r="C43" s="83">
        <f t="shared" ref="C43:N43" si="6">C11*$B43</f>
        <v>195863.77271253685</v>
      </c>
      <c r="D43" s="83">
        <f t="shared" si="6"/>
        <v>190758.73597614374</v>
      </c>
      <c r="E43" s="83">
        <f t="shared" si="6"/>
        <v>201009.13825867508</v>
      </c>
      <c r="F43" s="83">
        <f t="shared" si="6"/>
        <v>171082.92476949713</v>
      </c>
      <c r="G43" s="83">
        <f t="shared" si="6"/>
        <v>192232.00391732302</v>
      </c>
      <c r="H43" s="83">
        <f t="shared" si="6"/>
        <v>224022.05010994335</v>
      </c>
      <c r="I43" s="83">
        <f t="shared" si="6"/>
        <v>223960.59034844095</v>
      </c>
      <c r="J43" s="83">
        <f t="shared" si="6"/>
        <v>231510.96689410124</v>
      </c>
      <c r="K43" s="83">
        <f t="shared" si="6"/>
        <v>176096.89786710349</v>
      </c>
      <c r="L43" s="83">
        <f t="shared" si="6"/>
        <v>186859.38500814987</v>
      </c>
      <c r="M43" s="83">
        <f t="shared" si="6"/>
        <v>174104.92559933191</v>
      </c>
      <c r="N43" s="83">
        <f t="shared" si="6"/>
        <v>183117.00567844851</v>
      </c>
      <c r="O43" s="61"/>
    </row>
    <row r="44" spans="1:15">
      <c r="A44" s="77" t="str">
        <f t="shared" si="3"/>
        <v>Schedule 21 Primary</v>
      </c>
      <c r="B44" s="161">
        <f>1+Loss_Prim</f>
        <v>1.0429999999999999</v>
      </c>
      <c r="C44" s="83">
        <f t="shared" ref="C44:N44" si="7">C12*$B44</f>
        <v>14555.983718199666</v>
      </c>
      <c r="D44" s="83">
        <f t="shared" si="7"/>
        <v>13339.45876693687</v>
      </c>
      <c r="E44" s="83">
        <f t="shared" si="7"/>
        <v>14856.486763169334</v>
      </c>
      <c r="F44" s="83">
        <f t="shared" si="7"/>
        <v>13165.555314900364</v>
      </c>
      <c r="G44" s="83">
        <f t="shared" si="7"/>
        <v>12552.618146698378</v>
      </c>
      <c r="H44" s="83">
        <f t="shared" si="7"/>
        <v>14271.160570301055</v>
      </c>
      <c r="I44" s="83">
        <f t="shared" si="7"/>
        <v>13613.495049930279</v>
      </c>
      <c r="J44" s="83">
        <f t="shared" si="7"/>
        <v>14474.361038926021</v>
      </c>
      <c r="K44" s="83">
        <f t="shared" si="7"/>
        <v>13651.361947444928</v>
      </c>
      <c r="L44" s="83">
        <f t="shared" si="7"/>
        <v>13433.241232241033</v>
      </c>
      <c r="M44" s="83">
        <f t="shared" si="7"/>
        <v>14399.323744837384</v>
      </c>
      <c r="N44" s="83">
        <f t="shared" si="7"/>
        <v>11542.302390919214</v>
      </c>
      <c r="O44" s="61"/>
    </row>
    <row r="45" spans="1:15">
      <c r="A45" s="77" t="str">
        <f t="shared" si="3"/>
        <v>Schedule 30/31/32</v>
      </c>
      <c r="B45" s="161">
        <f>1+Loss_Sec</f>
        <v>1.056</v>
      </c>
      <c r="C45" s="83">
        <f t="shared" ref="C45:N45" si="8">C13*$B45</f>
        <v>6124.0766504190015</v>
      </c>
      <c r="D45" s="83">
        <f t="shared" si="8"/>
        <v>7643.5073512482613</v>
      </c>
      <c r="E45" s="83">
        <f t="shared" si="8"/>
        <v>6460.2855973858304</v>
      </c>
      <c r="F45" s="83">
        <f t="shared" si="8"/>
        <v>7539.4052415664019</v>
      </c>
      <c r="G45" s="83">
        <f t="shared" si="8"/>
        <v>16631.20338610165</v>
      </c>
      <c r="H45" s="83">
        <f t="shared" si="8"/>
        <v>25379.309220542877</v>
      </c>
      <c r="I45" s="83">
        <f t="shared" si="8"/>
        <v>30711.215893966571</v>
      </c>
      <c r="J45" s="83">
        <f t="shared" si="8"/>
        <v>33840.045324991981</v>
      </c>
      <c r="K45" s="83">
        <f t="shared" si="8"/>
        <v>31942.342196893373</v>
      </c>
      <c r="L45" s="83">
        <f t="shared" si="8"/>
        <v>17014.350528034389</v>
      </c>
      <c r="M45" s="83">
        <f t="shared" si="8"/>
        <v>6147.7447881363942</v>
      </c>
      <c r="N45" s="83">
        <f t="shared" si="8"/>
        <v>5417.0093723515311</v>
      </c>
      <c r="O45" s="61"/>
    </row>
    <row r="46" spans="1:15">
      <c r="A46" s="77" t="str">
        <f t="shared" si="3"/>
        <v>Street Lights</v>
      </c>
      <c r="B46" s="161">
        <f>1+Loss_Sec</f>
        <v>1.056</v>
      </c>
      <c r="C46" s="83">
        <f t="shared" ref="C46:N46" si="9">C14*$B46</f>
        <v>1408.25276340971</v>
      </c>
      <c r="D46" s="83">
        <f t="shared" si="9"/>
        <v>308.05529199587613</v>
      </c>
      <c r="E46" s="83">
        <f t="shared" si="9"/>
        <v>0</v>
      </c>
      <c r="F46" s="83">
        <f t="shared" si="9"/>
        <v>0</v>
      </c>
      <c r="G46" s="83">
        <f t="shared" si="9"/>
        <v>0</v>
      </c>
      <c r="H46" s="83">
        <f t="shared" si="9"/>
        <v>0</v>
      </c>
      <c r="I46" s="83">
        <f t="shared" si="9"/>
        <v>0</v>
      </c>
      <c r="J46" s="83">
        <f t="shared" si="9"/>
        <v>0</v>
      </c>
      <c r="K46" s="83">
        <f t="shared" si="9"/>
        <v>0</v>
      </c>
      <c r="L46" s="83">
        <f t="shared" si="9"/>
        <v>1276.2290668400508</v>
      </c>
      <c r="M46" s="83">
        <f t="shared" si="9"/>
        <v>1408.25276340971</v>
      </c>
      <c r="N46" s="83">
        <f t="shared" si="9"/>
        <v>2640.4739313932032</v>
      </c>
      <c r="O46" s="61"/>
    </row>
    <row r="47" spans="1:15">
      <c r="A47" s="77" t="str">
        <f t="shared" si="3"/>
        <v>Area Lights</v>
      </c>
      <c r="B47" s="161">
        <f>1+Loss_Sec</f>
        <v>1.056</v>
      </c>
      <c r="C47" s="83">
        <f t="shared" ref="C47:N47" si="10">C15*$B47</f>
        <v>949.18431398846042</v>
      </c>
      <c r="D47" s="83">
        <f t="shared" si="10"/>
        <v>207.63406868497711</v>
      </c>
      <c r="E47" s="83">
        <f t="shared" si="10"/>
        <v>0</v>
      </c>
      <c r="F47" s="83">
        <f t="shared" si="10"/>
        <v>0</v>
      </c>
      <c r="G47" s="83">
        <f t="shared" si="10"/>
        <v>0</v>
      </c>
      <c r="H47" s="83">
        <f t="shared" si="10"/>
        <v>0</v>
      </c>
      <c r="I47" s="83">
        <f t="shared" si="10"/>
        <v>0</v>
      </c>
      <c r="J47" s="83">
        <f t="shared" si="10"/>
        <v>0</v>
      </c>
      <c r="K47" s="83">
        <f t="shared" si="10"/>
        <v>0</v>
      </c>
      <c r="L47" s="83">
        <f t="shared" si="10"/>
        <v>860.19828455204299</v>
      </c>
      <c r="M47" s="83">
        <f t="shared" si="10"/>
        <v>949.18431398846042</v>
      </c>
      <c r="N47" s="83">
        <f t="shared" si="10"/>
        <v>1779.7205887283612</v>
      </c>
      <c r="O47" s="61"/>
    </row>
    <row r="48" spans="1:15" hidden="1">
      <c r="A48" s="77" t="str">
        <f t="shared" si="3"/>
        <v>Schedule 21 Transmission</v>
      </c>
      <c r="B48" s="162">
        <f>1+Loss_Transm</f>
        <v>1.03</v>
      </c>
      <c r="C48" s="83">
        <f t="shared" ref="C48:N48" si="11">C16*$B48</f>
        <v>0</v>
      </c>
      <c r="D48" s="83">
        <f t="shared" si="11"/>
        <v>0</v>
      </c>
      <c r="E48" s="83">
        <f t="shared" si="11"/>
        <v>0</v>
      </c>
      <c r="F48" s="83">
        <f t="shared" si="11"/>
        <v>0</v>
      </c>
      <c r="G48" s="83">
        <f t="shared" si="11"/>
        <v>0</v>
      </c>
      <c r="H48" s="83">
        <f t="shared" si="11"/>
        <v>0</v>
      </c>
      <c r="I48" s="83">
        <f t="shared" si="11"/>
        <v>0</v>
      </c>
      <c r="J48" s="83">
        <f t="shared" si="11"/>
        <v>0</v>
      </c>
      <c r="K48" s="83">
        <f t="shared" si="11"/>
        <v>0</v>
      </c>
      <c r="L48" s="83">
        <f t="shared" si="11"/>
        <v>0</v>
      </c>
      <c r="M48" s="83">
        <f t="shared" si="11"/>
        <v>0</v>
      </c>
      <c r="N48" s="83">
        <f t="shared" si="11"/>
        <v>0</v>
      </c>
      <c r="O48" s="61"/>
    </row>
    <row r="49" spans="1:15">
      <c r="A49" s="77" t="str">
        <f t="shared" si="3"/>
        <v>Schedule 25 Transmission</v>
      </c>
      <c r="B49" s="162">
        <f>1+Loss_Transm</f>
        <v>1.03</v>
      </c>
      <c r="C49" s="83">
        <f t="shared" ref="C49:N49" si="12">C17*$B49</f>
        <v>53840.160000000003</v>
      </c>
      <c r="D49" s="83">
        <f t="shared" si="12"/>
        <v>54655.92</v>
      </c>
      <c r="E49" s="83">
        <f t="shared" si="12"/>
        <v>55508.76</v>
      </c>
      <c r="F49" s="83">
        <f t="shared" si="12"/>
        <v>54952.560000000005</v>
      </c>
      <c r="G49" s="83">
        <f t="shared" si="12"/>
        <v>55508.76</v>
      </c>
      <c r="H49" s="83">
        <f t="shared" si="12"/>
        <v>54433.440000000002</v>
      </c>
      <c r="I49" s="83">
        <f t="shared" si="12"/>
        <v>57548.160000000003</v>
      </c>
      <c r="J49" s="83">
        <f t="shared" si="12"/>
        <v>58994.28</v>
      </c>
      <c r="K49" s="83">
        <f t="shared" si="12"/>
        <v>53877.24</v>
      </c>
      <c r="L49" s="83">
        <f t="shared" si="12"/>
        <v>56027.880000000005</v>
      </c>
      <c r="M49" s="83">
        <f t="shared" si="12"/>
        <v>47759.040000000001</v>
      </c>
      <c r="N49" s="83">
        <f t="shared" si="12"/>
        <v>57251.520000000004</v>
      </c>
      <c r="O49" s="61"/>
    </row>
    <row r="50" spans="1:15">
      <c r="A50" s="77" t="str">
        <f t="shared" si="3"/>
        <v>Schedule 25 Primary</v>
      </c>
      <c r="B50" s="161">
        <f>1+Loss_Prim</f>
        <v>1.0429999999999999</v>
      </c>
      <c r="C50" s="83">
        <f t="shared" ref="C50:N50" si="13">C18*$B50</f>
        <v>82906.922699999981</v>
      </c>
      <c r="D50" s="83">
        <f t="shared" si="13"/>
        <v>75036.547957000002</v>
      </c>
      <c r="E50" s="83">
        <f t="shared" si="13"/>
        <v>75770.612399999998</v>
      </c>
      <c r="F50" s="83">
        <f t="shared" si="13"/>
        <v>70781.361823200015</v>
      </c>
      <c r="G50" s="83">
        <f t="shared" si="13"/>
        <v>80694.638920771482</v>
      </c>
      <c r="H50" s="83">
        <f t="shared" si="13"/>
        <v>84663.125056999997</v>
      </c>
      <c r="I50" s="83">
        <f t="shared" si="13"/>
        <v>75722.842999999993</v>
      </c>
      <c r="J50" s="83">
        <f t="shared" si="13"/>
        <v>81973.437699999995</v>
      </c>
      <c r="K50" s="83">
        <f t="shared" si="13"/>
        <v>71219.064699999988</v>
      </c>
      <c r="L50" s="83">
        <f t="shared" si="13"/>
        <v>77585.058658333321</v>
      </c>
      <c r="M50" s="83">
        <f t="shared" si="13"/>
        <v>75833.640267961149</v>
      </c>
      <c r="N50" s="83">
        <f t="shared" si="13"/>
        <v>65362.562222849461</v>
      </c>
      <c r="O50" s="61"/>
    </row>
    <row r="51" spans="1:15">
      <c r="A51" s="77" t="str">
        <f t="shared" si="3"/>
        <v>Schedule 25 Secondary</v>
      </c>
      <c r="B51" s="161">
        <f>1+Loss_Sec</f>
        <v>1.056</v>
      </c>
      <c r="C51" s="83">
        <f t="shared" ref="C51:N51" si="14">C19*$B51</f>
        <v>10560.422399999999</v>
      </c>
      <c r="D51" s="83">
        <f t="shared" si="14"/>
        <v>11457.177599999999</v>
      </c>
      <c r="E51" s="83">
        <f t="shared" si="14"/>
        <v>10856.524799999999</v>
      </c>
      <c r="F51" s="83">
        <f t="shared" si="14"/>
        <v>9592.7039999999997</v>
      </c>
      <c r="G51" s="83">
        <f t="shared" si="14"/>
        <v>12590.899200000002</v>
      </c>
      <c r="H51" s="83">
        <f t="shared" si="14"/>
        <v>13279.8336</v>
      </c>
      <c r="I51" s="83">
        <f t="shared" si="14"/>
        <v>12173.990400000001</v>
      </c>
      <c r="J51" s="83">
        <f t="shared" si="14"/>
        <v>14032.5504</v>
      </c>
      <c r="K51" s="83">
        <f t="shared" si="14"/>
        <v>13971.3024</v>
      </c>
      <c r="L51" s="83">
        <f t="shared" si="14"/>
        <v>14748.518400000001</v>
      </c>
      <c r="M51" s="83">
        <f t="shared" si="14"/>
        <v>14274.163200000001</v>
      </c>
      <c r="N51" s="83">
        <f t="shared" si="14"/>
        <v>9916.6847999999991</v>
      </c>
      <c r="O51" s="61"/>
    </row>
    <row r="52" spans="1:15">
      <c r="A52" s="77" t="s">
        <v>280</v>
      </c>
      <c r="B52" s="61"/>
      <c r="C52" s="84">
        <f t="shared" ref="C52:N52" si="15">SUM(C41:C51)</f>
        <v>931425.77617685252</v>
      </c>
      <c r="D52" s="84">
        <f t="shared" si="15"/>
        <v>986215.34029503958</v>
      </c>
      <c r="E52" s="84">
        <f t="shared" si="15"/>
        <v>1089473.9263599664</v>
      </c>
      <c r="F52" s="84">
        <f t="shared" si="15"/>
        <v>760666.50182251609</v>
      </c>
      <c r="G52" s="84">
        <f t="shared" si="15"/>
        <v>712308.93260145106</v>
      </c>
      <c r="H52" s="84">
        <f t="shared" si="15"/>
        <v>861596.12939739996</v>
      </c>
      <c r="I52" s="84">
        <f t="shared" si="15"/>
        <v>1028239.4401736731</v>
      </c>
      <c r="J52" s="84">
        <f t="shared" si="15"/>
        <v>1116685.7452959942</v>
      </c>
      <c r="K52" s="84">
        <f t="shared" si="15"/>
        <v>758452.23899908725</v>
      </c>
      <c r="L52" s="84">
        <f t="shared" si="15"/>
        <v>906220.19465145422</v>
      </c>
      <c r="M52" s="84">
        <f t="shared" si="15"/>
        <v>786927.14872714411</v>
      </c>
      <c r="N52" s="84">
        <f t="shared" si="15"/>
        <v>897023.20989735471</v>
      </c>
      <c r="O52" s="61"/>
    </row>
    <row r="53" spans="1:15" ht="3.75" customHeight="1">
      <c r="A53" s="77"/>
      <c r="B53" s="61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61"/>
    </row>
    <row r="54" spans="1:15">
      <c r="A54" s="79" t="s">
        <v>258</v>
      </c>
      <c r="B54" s="61"/>
      <c r="C54" s="67" t="s">
        <v>261</v>
      </c>
      <c r="D54" s="67" t="s">
        <v>262</v>
      </c>
      <c r="E54" s="67" t="s">
        <v>263</v>
      </c>
      <c r="F54" s="67" t="s">
        <v>264</v>
      </c>
      <c r="G54" s="67" t="s">
        <v>265</v>
      </c>
      <c r="H54" s="67" t="s">
        <v>266</v>
      </c>
      <c r="I54" s="67" t="s">
        <v>267</v>
      </c>
      <c r="J54" s="67" t="s">
        <v>268</v>
      </c>
      <c r="K54" s="67" t="s">
        <v>269</v>
      </c>
      <c r="L54" s="67" t="s">
        <v>270</v>
      </c>
      <c r="M54" s="67" t="s">
        <v>271</v>
      </c>
      <c r="N54" s="67" t="s">
        <v>272</v>
      </c>
      <c r="O54" s="61"/>
    </row>
    <row r="55" spans="1:15">
      <c r="A55" s="77" t="str">
        <f t="shared" ref="A55:A63" si="16">A22</f>
        <v>Schedule 1</v>
      </c>
      <c r="B55" s="161">
        <f>1+Loss_Sec</f>
        <v>1.056</v>
      </c>
      <c r="C55" s="81">
        <f t="shared" ref="C55:N55" si="17">C22*$B55</f>
        <v>230620.65559001683</v>
      </c>
      <c r="D55" s="81">
        <f t="shared" si="17"/>
        <v>269118.39390459965</v>
      </c>
      <c r="E55" s="81">
        <f t="shared" si="17"/>
        <v>273121.95873730478</v>
      </c>
      <c r="F55" s="81">
        <f t="shared" si="17"/>
        <v>168855.29460169663</v>
      </c>
      <c r="G55" s="81">
        <f t="shared" si="17"/>
        <v>117615.39062093708</v>
      </c>
      <c r="H55" s="81">
        <f t="shared" si="17"/>
        <v>162064.9331551794</v>
      </c>
      <c r="I55" s="81">
        <f t="shared" si="17"/>
        <v>239288.36079707427</v>
      </c>
      <c r="J55" s="81">
        <f t="shared" si="17"/>
        <v>263818.23805811093</v>
      </c>
      <c r="K55" s="81">
        <f t="shared" si="17"/>
        <v>168018.57616677758</v>
      </c>
      <c r="L55" s="81">
        <f t="shared" si="17"/>
        <v>214743.77820838324</v>
      </c>
      <c r="M55" s="81">
        <f t="shared" si="17"/>
        <v>168483.06785354472</v>
      </c>
      <c r="N55" s="81">
        <f t="shared" si="17"/>
        <v>251250.36030828598</v>
      </c>
      <c r="O55" s="61"/>
    </row>
    <row r="56" spans="1:15">
      <c r="A56" s="77" t="str">
        <f t="shared" si="16"/>
        <v xml:space="preserve">Schedule 11/12 </v>
      </c>
      <c r="B56" s="161">
        <f>1+Loss_Sec</f>
        <v>1.056</v>
      </c>
      <c r="C56" s="81">
        <f t="shared" ref="C56:N56" si="18">C23*$B56</f>
        <v>60983.618432061943</v>
      </c>
      <c r="D56" s="81">
        <f t="shared" si="18"/>
        <v>61995.041484893911</v>
      </c>
      <c r="E56" s="81">
        <f t="shared" si="18"/>
        <v>61388.891484452593</v>
      </c>
      <c r="F56" s="81">
        <f t="shared" si="18"/>
        <v>45087.173588662787</v>
      </c>
      <c r="G56" s="81">
        <f t="shared" si="18"/>
        <v>54699.749664861381</v>
      </c>
      <c r="H56" s="81">
        <f t="shared" si="18"/>
        <v>72611.863147064345</v>
      </c>
      <c r="I56" s="81">
        <f t="shared" si="18"/>
        <v>76398.69929886327</v>
      </c>
      <c r="J56" s="81">
        <f t="shared" si="18"/>
        <v>82658.912093243678</v>
      </c>
      <c r="K56" s="81">
        <f t="shared" si="18"/>
        <v>48055.216412049704</v>
      </c>
      <c r="L56" s="81">
        <f t="shared" si="18"/>
        <v>50833.423137529229</v>
      </c>
      <c r="M56" s="81">
        <f t="shared" si="18"/>
        <v>45614.083829114948</v>
      </c>
      <c r="N56" s="81">
        <f t="shared" si="18"/>
        <v>57537.996453943677</v>
      </c>
      <c r="O56" s="61"/>
    </row>
    <row r="57" spans="1:15" hidden="1">
      <c r="A57" s="77" t="str">
        <f t="shared" si="16"/>
        <v>Schedule 11/12 demand metered</v>
      </c>
      <c r="B57" s="161">
        <f>1+Loss_Sec</f>
        <v>1.056</v>
      </c>
      <c r="C57" s="81">
        <f t="shared" ref="C57:N57" si="19">C24*$B57</f>
        <v>0</v>
      </c>
      <c r="D57" s="81">
        <f t="shared" si="19"/>
        <v>0</v>
      </c>
      <c r="E57" s="81">
        <f t="shared" si="19"/>
        <v>0</v>
      </c>
      <c r="F57" s="81">
        <f t="shared" si="19"/>
        <v>0</v>
      </c>
      <c r="G57" s="81">
        <f t="shared" si="19"/>
        <v>0</v>
      </c>
      <c r="H57" s="81">
        <f t="shared" si="19"/>
        <v>0</v>
      </c>
      <c r="I57" s="81">
        <f t="shared" si="19"/>
        <v>0</v>
      </c>
      <c r="J57" s="81">
        <f t="shared" si="19"/>
        <v>0</v>
      </c>
      <c r="K57" s="81">
        <f t="shared" si="19"/>
        <v>0</v>
      </c>
      <c r="L57" s="81">
        <f t="shared" si="19"/>
        <v>0</v>
      </c>
      <c r="M57" s="81">
        <f t="shared" si="19"/>
        <v>0</v>
      </c>
      <c r="N57" s="81">
        <f t="shared" si="19"/>
        <v>0</v>
      </c>
      <c r="O57" s="61"/>
    </row>
    <row r="58" spans="1:15">
      <c r="A58" s="77" t="str">
        <f t="shared" si="16"/>
        <v>Schedule 21/22 Secondary</v>
      </c>
      <c r="B58" s="161">
        <f>1+Loss_Sec</f>
        <v>1.056</v>
      </c>
      <c r="C58" s="81">
        <f>C25*$B58</f>
        <v>91949.748103571081</v>
      </c>
      <c r="D58" s="81">
        <f t="shared" ref="D58:N58" si="20">D25*$B58</f>
        <v>93407.413555139748</v>
      </c>
      <c r="E58" s="81">
        <f t="shared" si="20"/>
        <v>93790.935756974897</v>
      </c>
      <c r="F58" s="81">
        <f t="shared" si="20"/>
        <v>79160.646664922504</v>
      </c>
      <c r="G58" s="81">
        <f t="shared" si="20"/>
        <v>83065.704148493067</v>
      </c>
      <c r="H58" s="81">
        <f t="shared" si="20"/>
        <v>100677.65044053325</v>
      </c>
      <c r="I58" s="81">
        <f t="shared" si="20"/>
        <v>100393.1453378416</v>
      </c>
      <c r="J58" s="81">
        <f t="shared" si="20"/>
        <v>101123.06697725704</v>
      </c>
      <c r="K58" s="81">
        <f t="shared" si="20"/>
        <v>79941.264019382666</v>
      </c>
      <c r="L58" s="81">
        <f t="shared" si="20"/>
        <v>80512.426893164971</v>
      </c>
      <c r="M58" s="81">
        <f t="shared" si="20"/>
        <v>77802.564022843493</v>
      </c>
      <c r="N58" s="81">
        <f t="shared" si="20"/>
        <v>80667.963340534829</v>
      </c>
      <c r="O58" s="61"/>
    </row>
    <row r="59" spans="1:15">
      <c r="A59" s="77" t="str">
        <f t="shared" si="16"/>
        <v>Schedule 21 Primary</v>
      </c>
      <c r="B59" s="161">
        <f>1+Loss_Prim</f>
        <v>1.0429999999999999</v>
      </c>
      <c r="C59" s="81">
        <f t="shared" ref="C59:N59" si="21">C26*$B59</f>
        <v>8394.9433922923563</v>
      </c>
      <c r="D59" s="81">
        <f t="shared" si="21"/>
        <v>9367.3061384034772</v>
      </c>
      <c r="E59" s="81">
        <f t="shared" si="21"/>
        <v>8287.2584883409036</v>
      </c>
      <c r="F59" s="81">
        <f t="shared" si="21"/>
        <v>7775.0323192230007</v>
      </c>
      <c r="G59" s="81">
        <f t="shared" si="21"/>
        <v>5061.1073126942701</v>
      </c>
      <c r="H59" s="81">
        <f t="shared" si="21"/>
        <v>6550.9697007028399</v>
      </c>
      <c r="I59" s="81">
        <f t="shared" si="21"/>
        <v>5074.2550283197397</v>
      </c>
      <c r="J59" s="81">
        <f t="shared" si="21"/>
        <v>5321.5561672084368</v>
      </c>
      <c r="K59" s="81">
        <f t="shared" si="21"/>
        <v>5310.1537101087242</v>
      </c>
      <c r="L59" s="81">
        <f t="shared" si="21"/>
        <v>6536.2207523531588</v>
      </c>
      <c r="M59" s="81">
        <f t="shared" si="21"/>
        <v>6907.1570996540095</v>
      </c>
      <c r="N59" s="81">
        <f t="shared" si="21"/>
        <v>5428.493033934581</v>
      </c>
      <c r="O59" s="61"/>
    </row>
    <row r="60" spans="1:15">
      <c r="A60" s="77" t="str">
        <f t="shared" si="16"/>
        <v>Schedule 31/32</v>
      </c>
      <c r="B60" s="161">
        <f>1+Loss_Sec</f>
        <v>1.056</v>
      </c>
      <c r="C60" s="81">
        <f t="shared" ref="C60:N60" si="22">C27*$B60</f>
        <v>6158.8060986784503</v>
      </c>
      <c r="D60" s="81">
        <f t="shared" si="22"/>
        <v>5622.2068034496197</v>
      </c>
      <c r="E60" s="81">
        <f t="shared" si="22"/>
        <v>5698.9864078878518</v>
      </c>
      <c r="F60" s="81">
        <f t="shared" si="22"/>
        <v>5684.4940039392732</v>
      </c>
      <c r="G60" s="81">
        <f t="shared" si="22"/>
        <v>5149.8725316779964</v>
      </c>
      <c r="H60" s="81">
        <f t="shared" si="22"/>
        <v>7258.728253882995</v>
      </c>
      <c r="I60" s="81">
        <f t="shared" si="22"/>
        <v>9452.1467458952302</v>
      </c>
      <c r="J60" s="81">
        <f t="shared" si="22"/>
        <v>8725.8698294882124</v>
      </c>
      <c r="K60" s="81">
        <f t="shared" si="22"/>
        <v>7684.2005822492001</v>
      </c>
      <c r="L60" s="81">
        <f t="shared" si="22"/>
        <v>6976.6101390408558</v>
      </c>
      <c r="M60" s="81">
        <f t="shared" si="22"/>
        <v>5891.9910160984746</v>
      </c>
      <c r="N60" s="81">
        <f t="shared" si="22"/>
        <v>6225.0871191201886</v>
      </c>
      <c r="O60" s="61"/>
    </row>
    <row r="61" spans="1:15">
      <c r="A61" s="77" t="str">
        <f t="shared" si="16"/>
        <v>Street Lights</v>
      </c>
      <c r="B61" s="161">
        <f>1+Loss_Sec</f>
        <v>1.056</v>
      </c>
      <c r="C61" s="81">
        <f t="shared" ref="C61:N61" si="23">C28*$B61</f>
        <v>950.65785393710667</v>
      </c>
      <c r="D61" s="81">
        <f t="shared" si="23"/>
        <v>207.95640554874345</v>
      </c>
      <c r="E61" s="81">
        <f t="shared" si="23"/>
        <v>0</v>
      </c>
      <c r="F61" s="81">
        <f t="shared" si="23"/>
        <v>0</v>
      </c>
      <c r="G61" s="81">
        <f t="shared" si="23"/>
        <v>0</v>
      </c>
      <c r="H61" s="81">
        <f t="shared" si="23"/>
        <v>0</v>
      </c>
      <c r="I61" s="81">
        <f t="shared" si="23"/>
        <v>0</v>
      </c>
      <c r="J61" s="81">
        <f t="shared" si="23"/>
        <v>0</v>
      </c>
      <c r="K61" s="81">
        <f t="shared" si="23"/>
        <v>0</v>
      </c>
      <c r="L61" s="81">
        <f t="shared" si="23"/>
        <v>861.53368013050351</v>
      </c>
      <c r="M61" s="81">
        <f>M28*$B61</f>
        <v>950.65785393710667</v>
      </c>
      <c r="N61" s="81">
        <f t="shared" si="23"/>
        <v>1782.4834761320726</v>
      </c>
      <c r="O61" s="61"/>
    </row>
    <row r="62" spans="1:15">
      <c r="A62" s="77" t="str">
        <f t="shared" si="16"/>
        <v>Area Lights</v>
      </c>
      <c r="B62" s="161">
        <f>1+Loss_Sec</f>
        <v>1.056</v>
      </c>
      <c r="C62" s="81">
        <f t="shared" ref="C62:N62" si="24">C29*$B62</f>
        <v>499.9389052719842</v>
      </c>
      <c r="D62" s="81">
        <f t="shared" si="24"/>
        <v>109.36163552824726</v>
      </c>
      <c r="E62" s="81">
        <f t="shared" si="24"/>
        <v>0</v>
      </c>
      <c r="F62" s="81">
        <f t="shared" si="24"/>
        <v>0</v>
      </c>
      <c r="G62" s="81">
        <f t="shared" si="24"/>
        <v>0</v>
      </c>
      <c r="H62" s="81">
        <f t="shared" si="24"/>
        <v>0</v>
      </c>
      <c r="I62" s="81">
        <f t="shared" si="24"/>
        <v>0</v>
      </c>
      <c r="J62" s="81">
        <f t="shared" si="24"/>
        <v>0</v>
      </c>
      <c r="K62" s="81">
        <f t="shared" si="24"/>
        <v>0</v>
      </c>
      <c r="L62" s="81">
        <f t="shared" si="24"/>
        <v>453.06963290273598</v>
      </c>
      <c r="M62" s="81">
        <f t="shared" si="24"/>
        <v>499.9389052719842</v>
      </c>
      <c r="N62" s="81">
        <f t="shared" si="24"/>
        <v>937.38544738496921</v>
      </c>
      <c r="O62" s="61"/>
    </row>
    <row r="63" spans="1:15">
      <c r="A63" s="77" t="str">
        <f t="shared" si="16"/>
        <v>Schedule 25 Primary</v>
      </c>
      <c r="B63" s="161">
        <f>1+Loss_Prim</f>
        <v>1.0429999999999999</v>
      </c>
      <c r="C63" s="81">
        <f t="shared" ref="C63:N63" si="25">C30*$B63</f>
        <v>46491.469464999987</v>
      </c>
      <c r="D63" s="81">
        <f t="shared" si="25"/>
        <v>46007.15658699999</v>
      </c>
      <c r="E63" s="81">
        <f t="shared" si="25"/>
        <v>45812.307498999995</v>
      </c>
      <c r="F63" s="81">
        <f t="shared" si="25"/>
        <v>43661.601864999997</v>
      </c>
      <c r="G63" s="81">
        <f t="shared" si="25"/>
        <v>38712.244577999998</v>
      </c>
      <c r="H63" s="81">
        <f t="shared" si="25"/>
        <v>38053.871687999992</v>
      </c>
      <c r="I63" s="81">
        <f t="shared" si="25"/>
        <v>40485.096343999998</v>
      </c>
      <c r="J63" s="81">
        <f t="shared" si="25"/>
        <v>41569.653321978483</v>
      </c>
      <c r="K63" s="81">
        <f t="shared" si="25"/>
        <v>41343.941540611115</v>
      </c>
      <c r="L63" s="81">
        <f t="shared" si="25"/>
        <v>46867.175795999989</v>
      </c>
      <c r="M63" s="81">
        <f t="shared" si="25"/>
        <v>44641.929037999995</v>
      </c>
      <c r="N63" s="81">
        <f t="shared" si="25"/>
        <v>44126.140505999989</v>
      </c>
      <c r="O63" s="61"/>
    </row>
    <row r="64" spans="1:15">
      <c r="A64" s="77" t="str">
        <f t="shared" ref="A64:A66" si="26">A31</f>
        <v>Schedule 25 Secondary</v>
      </c>
      <c r="B64" s="161">
        <f>1+Loss_Sec</f>
        <v>1.056</v>
      </c>
      <c r="C64" s="81">
        <f t="shared" ref="C64:N64" si="27">C31*$B64</f>
        <v>664.01279999999997</v>
      </c>
      <c r="D64" s="81">
        <f t="shared" si="27"/>
        <v>517.01760000000002</v>
      </c>
      <c r="E64" s="81">
        <f t="shared" si="27"/>
        <v>425.7792</v>
      </c>
      <c r="F64" s="81">
        <f t="shared" si="27"/>
        <v>684.28800000000001</v>
      </c>
      <c r="G64" s="81">
        <f t="shared" si="27"/>
        <v>466.32960000000003</v>
      </c>
      <c r="H64" s="81">
        <f t="shared" si="27"/>
        <v>557.56799999999998</v>
      </c>
      <c r="I64" s="81">
        <f t="shared" si="27"/>
        <v>598.11839999999995</v>
      </c>
      <c r="J64" s="81">
        <f t="shared" si="27"/>
        <v>420.71039999999999</v>
      </c>
      <c r="K64" s="81">
        <f t="shared" si="27"/>
        <v>400.43520000000001</v>
      </c>
      <c r="L64" s="81">
        <f t="shared" si="27"/>
        <v>572.77440000000001</v>
      </c>
      <c r="M64" s="81">
        <f t="shared" si="27"/>
        <v>152.06400000000002</v>
      </c>
      <c r="N64" s="81">
        <f t="shared" si="27"/>
        <v>993.48479999999995</v>
      </c>
      <c r="O64" s="61"/>
    </row>
    <row r="65" spans="1:15">
      <c r="A65" s="77" t="str">
        <f t="shared" si="26"/>
        <v>Schedule 25P Primary</v>
      </c>
      <c r="B65" s="161">
        <f>1+Loss_Prim</f>
        <v>1.0429999999999999</v>
      </c>
      <c r="C65" s="81">
        <f>C32*$B65+'Schedule Shifting Adj - ID'!D7</f>
        <v>49667.659999999996</v>
      </c>
      <c r="D65" s="81">
        <f>D32*$B65+'Schedule Shifting Adj - ID'!E7</f>
        <v>49104.439999999995</v>
      </c>
      <c r="E65" s="81">
        <f>E32*$B65+'Schedule Shifting Adj - ID'!F7</f>
        <v>44118.899999999994</v>
      </c>
      <c r="F65" s="81">
        <f>F32*$B65+'Schedule Shifting Adj - ID'!G7</f>
        <v>43746.131799999996</v>
      </c>
      <c r="G65" s="81">
        <f>G32*$B65+'Schedule Shifting Adj - ID'!H7</f>
        <v>48741.684600000001</v>
      </c>
      <c r="H65" s="81">
        <f>H32*$B65+'Schedule Shifting Adj - ID'!I7</f>
        <v>49094.948700000001</v>
      </c>
      <c r="I65" s="81">
        <f>I32*$B65+'Schedule Shifting Adj - ID'!J7</f>
        <v>42109.664799999991</v>
      </c>
      <c r="J65" s="81">
        <f>J32*$B65+'Schedule Shifting Adj - ID'!K7</f>
        <v>48149.886399999996</v>
      </c>
      <c r="K65" s="81">
        <f>K32*$B65+'Schedule Shifting Adj - ID'!L7</f>
        <v>38019.853200000005</v>
      </c>
      <c r="L65" s="81">
        <f>L32*$B65+'Schedule Shifting Adj - ID'!M7</f>
        <v>39197.713100000008</v>
      </c>
      <c r="M65" s="81">
        <f>M32*$B65+'Schedule Shifting Adj - ID'!N7</f>
        <v>38498.694499999983</v>
      </c>
      <c r="N65" s="81">
        <f>N32*$B65+'Schedule Shifting Adj - ID'!O7</f>
        <v>44260.852299999999</v>
      </c>
      <c r="O65" s="61"/>
    </row>
    <row r="66" spans="1:15">
      <c r="A66" s="77" t="str">
        <f t="shared" si="26"/>
        <v>Schedule 25P Generation</v>
      </c>
      <c r="B66" s="162">
        <v>1</v>
      </c>
      <c r="C66" s="81">
        <f t="shared" ref="C66:N66" si="28">C33*$B66</f>
        <v>0</v>
      </c>
      <c r="D66" s="81">
        <f t="shared" si="28"/>
        <v>0</v>
      </c>
      <c r="E66" s="81">
        <f t="shared" si="28"/>
        <v>0</v>
      </c>
      <c r="F66" s="81">
        <f t="shared" si="28"/>
        <v>0</v>
      </c>
      <c r="G66" s="81">
        <f t="shared" si="28"/>
        <v>0</v>
      </c>
      <c r="H66" s="81">
        <f t="shared" si="28"/>
        <v>0</v>
      </c>
      <c r="I66" s="81">
        <f t="shared" si="28"/>
        <v>0</v>
      </c>
      <c r="J66" s="81">
        <f t="shared" si="28"/>
        <v>0</v>
      </c>
      <c r="K66" s="81">
        <f t="shared" si="28"/>
        <v>0</v>
      </c>
      <c r="L66" s="81">
        <f t="shared" si="28"/>
        <v>0</v>
      </c>
      <c r="M66" s="81">
        <f t="shared" si="28"/>
        <v>0</v>
      </c>
      <c r="N66" s="81">
        <f t="shared" si="28"/>
        <v>0</v>
      </c>
      <c r="O66" s="61"/>
    </row>
    <row r="67" spans="1:15">
      <c r="A67" s="77" t="s">
        <v>280</v>
      </c>
      <c r="B67" s="61"/>
      <c r="C67" s="84">
        <f t="shared" ref="C67:N67" si="29">SUM(C55:C66)</f>
        <v>496381.51064082974</v>
      </c>
      <c r="D67" s="84">
        <f t="shared" si="29"/>
        <v>535456.29411456338</v>
      </c>
      <c r="E67" s="84">
        <f t="shared" si="29"/>
        <v>532645.01757396094</v>
      </c>
      <c r="F67" s="84">
        <f t="shared" si="29"/>
        <v>394654.66284344409</v>
      </c>
      <c r="G67" s="84">
        <f t="shared" si="29"/>
        <v>353512.08305666375</v>
      </c>
      <c r="H67" s="84">
        <f t="shared" si="29"/>
        <v>436870.53308536287</v>
      </c>
      <c r="I67" s="84">
        <f t="shared" si="29"/>
        <v>513799.48675199406</v>
      </c>
      <c r="J67" s="84">
        <f t="shared" si="29"/>
        <v>551787.89324728667</v>
      </c>
      <c r="K67" s="84">
        <f t="shared" si="29"/>
        <v>388773.64083117899</v>
      </c>
      <c r="L67" s="84">
        <f t="shared" si="29"/>
        <v>447554.72573950468</v>
      </c>
      <c r="M67" s="84">
        <f t="shared" si="29"/>
        <v>389442.14811846474</v>
      </c>
      <c r="N67" s="84">
        <f t="shared" si="29"/>
        <v>493210.24678533617</v>
      </c>
      <c r="O67" s="61"/>
    </row>
    <row r="68" spans="1:15">
      <c r="A68" s="160" t="s">
        <v>2340</v>
      </c>
      <c r="B68" s="61"/>
      <c r="C68" s="83">
        <f>C67-C66</f>
        <v>496381.51064082974</v>
      </c>
      <c r="D68" s="83">
        <f t="shared" ref="D68:N68" si="30">D67-D66</f>
        <v>535456.29411456338</v>
      </c>
      <c r="E68" s="83">
        <f t="shared" si="30"/>
        <v>532645.01757396094</v>
      </c>
      <c r="F68" s="83">
        <f t="shared" si="30"/>
        <v>394654.66284344409</v>
      </c>
      <c r="G68" s="83">
        <f t="shared" si="30"/>
        <v>353512.08305666375</v>
      </c>
      <c r="H68" s="83">
        <f t="shared" si="30"/>
        <v>436870.53308536287</v>
      </c>
      <c r="I68" s="83">
        <f t="shared" si="30"/>
        <v>513799.48675199406</v>
      </c>
      <c r="J68" s="83">
        <f t="shared" si="30"/>
        <v>551787.89324728667</v>
      </c>
      <c r="K68" s="83">
        <f t="shared" si="30"/>
        <v>388773.64083117899</v>
      </c>
      <c r="L68" s="83">
        <f t="shared" si="30"/>
        <v>447554.72573950468</v>
      </c>
      <c r="M68" s="83">
        <f t="shared" si="30"/>
        <v>389442.14811846474</v>
      </c>
      <c r="N68" s="83">
        <f t="shared" si="30"/>
        <v>493210.24678533617</v>
      </c>
      <c r="O68" s="61"/>
    </row>
    <row r="69" spans="1:15">
      <c r="A69" s="77"/>
      <c r="B69" s="6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61"/>
    </row>
    <row r="70" spans="1:15">
      <c r="A70" s="77"/>
      <c r="B70" s="61"/>
      <c r="C70" s="86">
        <f>C71</f>
        <v>43480</v>
      </c>
      <c r="D70" s="86">
        <f t="shared" ref="D70:N70" si="31">D71</f>
        <v>43503</v>
      </c>
      <c r="E70" s="86">
        <f t="shared" si="31"/>
        <v>43525</v>
      </c>
      <c r="F70" s="86">
        <f t="shared" si="31"/>
        <v>43566</v>
      </c>
      <c r="G70" s="86">
        <f t="shared" si="31"/>
        <v>43615</v>
      </c>
      <c r="H70" s="86">
        <f t="shared" si="31"/>
        <v>43629</v>
      </c>
      <c r="I70" s="86">
        <f t="shared" si="31"/>
        <v>43669</v>
      </c>
      <c r="J70" s="86">
        <f t="shared" si="31"/>
        <v>43684</v>
      </c>
      <c r="K70" s="86">
        <f t="shared" si="31"/>
        <v>43712</v>
      </c>
      <c r="L70" s="86">
        <f>L71</f>
        <v>43768</v>
      </c>
      <c r="M70" s="86">
        <f t="shared" si="31"/>
        <v>43770</v>
      </c>
      <c r="N70" s="86">
        <f t="shared" si="31"/>
        <v>43815</v>
      </c>
      <c r="O70" s="61"/>
    </row>
    <row r="71" spans="1:15">
      <c r="A71" s="77" t="s">
        <v>278</v>
      </c>
      <c r="B71" s="61"/>
      <c r="C71" s="348">
        <f>'PT Ratio'!B23</f>
        <v>43480</v>
      </c>
      <c r="D71" s="348">
        <f>'PT Ratio'!C23</f>
        <v>43503</v>
      </c>
      <c r="E71" s="348">
        <f>'PT Ratio'!D23</f>
        <v>43525</v>
      </c>
      <c r="F71" s="348">
        <f>'PT Ratio'!E23</f>
        <v>43566</v>
      </c>
      <c r="G71" s="348">
        <f>'PT Ratio'!F23</f>
        <v>43615</v>
      </c>
      <c r="H71" s="348">
        <f>'PT Ratio'!G23</f>
        <v>43629</v>
      </c>
      <c r="I71" s="348">
        <f>'PT Ratio'!H23</f>
        <v>43669</v>
      </c>
      <c r="J71" s="348">
        <f>'PT Ratio'!I23</f>
        <v>43684</v>
      </c>
      <c r="K71" s="348">
        <f>'PT Ratio'!J23</f>
        <v>43712</v>
      </c>
      <c r="L71" s="348">
        <f>'PT Ratio'!K23</f>
        <v>43768</v>
      </c>
      <c r="M71" s="348">
        <f>'PT Ratio'!L23</f>
        <v>43770</v>
      </c>
      <c r="N71" s="348">
        <f>'PT Ratio'!M23</f>
        <v>43815</v>
      </c>
      <c r="O71" s="61"/>
    </row>
    <row r="72" spans="1:15">
      <c r="A72" s="77"/>
      <c r="B72" s="61"/>
      <c r="C72" s="349">
        <f>'PT Ratio'!B24</f>
        <v>0.33333333333333331</v>
      </c>
      <c r="D72" s="349">
        <f>'PT Ratio'!C24</f>
        <v>0.33333333333333331</v>
      </c>
      <c r="E72" s="349">
        <f>'PT Ratio'!D24</f>
        <v>0.33333333333333331</v>
      </c>
      <c r="F72" s="349">
        <f>'PT Ratio'!E24</f>
        <v>0.33333333333333331</v>
      </c>
      <c r="G72" s="349">
        <f>'PT Ratio'!F24</f>
        <v>0.70833333333333337</v>
      </c>
      <c r="H72" s="349">
        <f>'PT Ratio'!G24</f>
        <v>0.66666666666666663</v>
      </c>
      <c r="I72" s="349">
        <f>'PT Ratio'!H24</f>
        <v>0.70833333333333337</v>
      </c>
      <c r="J72" s="349">
        <f>'PT Ratio'!I24</f>
        <v>0.70833333333333337</v>
      </c>
      <c r="K72" s="349">
        <f>'PT Ratio'!J24</f>
        <v>0.75</v>
      </c>
      <c r="L72" s="349">
        <f>'PT Ratio'!K24</f>
        <v>0.33333333333333331</v>
      </c>
      <c r="M72" s="349">
        <f>'PT Ratio'!L24</f>
        <v>0.33333333333333331</v>
      </c>
      <c r="N72" s="349">
        <f>'PT Ratio'!M24</f>
        <v>0.75</v>
      </c>
      <c r="O72" s="61"/>
    </row>
    <row r="73" spans="1:15">
      <c r="A73" s="77" t="s">
        <v>249</v>
      </c>
      <c r="B73" s="61"/>
      <c r="C73" s="425">
        <v>40</v>
      </c>
      <c r="D73" s="425">
        <v>50</v>
      </c>
      <c r="E73" s="425">
        <v>50</v>
      </c>
      <c r="F73" s="425">
        <v>22</v>
      </c>
      <c r="G73" s="425">
        <v>-4</v>
      </c>
      <c r="H73" s="425">
        <v>-12</v>
      </c>
      <c r="I73" s="425">
        <v>-15</v>
      </c>
      <c r="J73" s="425">
        <v>-18</v>
      </c>
      <c r="K73" s="425">
        <v>-5</v>
      </c>
      <c r="L73" s="425">
        <v>37</v>
      </c>
      <c r="M73" s="425">
        <v>30</v>
      </c>
      <c r="N73" s="425">
        <v>35</v>
      </c>
      <c r="O73" s="61"/>
    </row>
    <row r="74" spans="1:15">
      <c r="A74" s="77" t="s">
        <v>312</v>
      </c>
      <c r="B74" s="83">
        <f t="shared" ref="B74:B79" si="32">SUM(C74:N74)</f>
        <v>11239000</v>
      </c>
      <c r="C74" s="81">
        <f>'PT Ratio'!B10*1000</f>
        <v>940000</v>
      </c>
      <c r="D74" s="81">
        <f>'PT Ratio'!C10*1000</f>
        <v>1018000</v>
      </c>
      <c r="E74" s="81">
        <f>'PT Ratio'!D10*1000</f>
        <v>968000</v>
      </c>
      <c r="F74" s="81">
        <f>'PT Ratio'!E10*1000</f>
        <v>740000</v>
      </c>
      <c r="G74" s="81">
        <f>'PT Ratio'!F10*1000</f>
        <v>834000</v>
      </c>
      <c r="H74" s="81">
        <f>'PT Ratio'!G10*1000</f>
        <v>954000</v>
      </c>
      <c r="I74" s="81">
        <f>'PT Ratio'!H10*1000</f>
        <v>1026000</v>
      </c>
      <c r="J74" s="81">
        <f>'PT Ratio'!I10*1000</f>
        <v>1073000</v>
      </c>
      <c r="K74" s="81">
        <f>'PT Ratio'!J10*1000</f>
        <v>879000</v>
      </c>
      <c r="L74" s="81">
        <f>'PT Ratio'!K10*1000</f>
        <v>977000</v>
      </c>
      <c r="M74" s="81">
        <f>'PT Ratio'!L10*1000</f>
        <v>907000</v>
      </c>
      <c r="N74" s="81">
        <f>'PT Ratio'!M10*1000</f>
        <v>923000</v>
      </c>
      <c r="O74" s="61"/>
    </row>
    <row r="75" spans="1:15">
      <c r="A75" s="160" t="s">
        <v>2333</v>
      </c>
      <c r="B75" s="83">
        <f t="shared" si="32"/>
        <v>5852000</v>
      </c>
      <c r="C75" s="81">
        <f>'PT Ratio'!B19*1000</f>
        <v>516000</v>
      </c>
      <c r="D75" s="81">
        <f>'PT Ratio'!C19*1000</f>
        <v>560000</v>
      </c>
      <c r="E75" s="81">
        <f>'PT Ratio'!D19*1000</f>
        <v>514000</v>
      </c>
      <c r="F75" s="81">
        <f>'PT Ratio'!E19*1000</f>
        <v>402000</v>
      </c>
      <c r="G75" s="81">
        <f>'PT Ratio'!F19*1000</f>
        <v>423000</v>
      </c>
      <c r="H75" s="81">
        <f>'PT Ratio'!G19*1000</f>
        <v>455000</v>
      </c>
      <c r="I75" s="81">
        <f>'PT Ratio'!H19*1000</f>
        <v>511000</v>
      </c>
      <c r="J75" s="81">
        <f>'PT Ratio'!I19*1000</f>
        <v>534000</v>
      </c>
      <c r="K75" s="81">
        <f>'PT Ratio'!J19*1000</f>
        <v>443000</v>
      </c>
      <c r="L75" s="81">
        <f>'PT Ratio'!K19*1000</f>
        <v>509000</v>
      </c>
      <c r="M75" s="81">
        <f>'PT Ratio'!L19*1000</f>
        <v>469000</v>
      </c>
      <c r="N75" s="81">
        <f>'PT Ratio'!M19*1000</f>
        <v>516000</v>
      </c>
      <c r="O75" s="61"/>
    </row>
    <row r="76" spans="1:15">
      <c r="A76" s="160" t="s">
        <v>2334</v>
      </c>
      <c r="B76" s="83">
        <f t="shared" si="32"/>
        <v>17091000</v>
      </c>
      <c r="C76" s="81">
        <f t="shared" ref="C76:N76" si="33">C74+C75</f>
        <v>1456000</v>
      </c>
      <c r="D76" s="81">
        <f t="shared" si="33"/>
        <v>1578000</v>
      </c>
      <c r="E76" s="81">
        <f t="shared" si="33"/>
        <v>1482000</v>
      </c>
      <c r="F76" s="81">
        <f t="shared" si="33"/>
        <v>1142000</v>
      </c>
      <c r="G76" s="81">
        <f t="shared" si="33"/>
        <v>1257000</v>
      </c>
      <c r="H76" s="81">
        <f t="shared" si="33"/>
        <v>1409000</v>
      </c>
      <c r="I76" s="81">
        <f t="shared" si="33"/>
        <v>1537000</v>
      </c>
      <c r="J76" s="81">
        <f t="shared" si="33"/>
        <v>1607000</v>
      </c>
      <c r="K76" s="81">
        <f t="shared" si="33"/>
        <v>1322000</v>
      </c>
      <c r="L76" s="81">
        <f t="shared" si="33"/>
        <v>1486000</v>
      </c>
      <c r="M76" s="81">
        <f t="shared" si="33"/>
        <v>1376000</v>
      </c>
      <c r="N76" s="81">
        <f t="shared" si="33"/>
        <v>1439000</v>
      </c>
      <c r="O76" s="61"/>
    </row>
    <row r="77" spans="1:15">
      <c r="A77" s="77" t="s">
        <v>316</v>
      </c>
      <c r="B77" s="83">
        <f t="shared" si="32"/>
        <v>403765.41560206679</v>
      </c>
      <c r="C77" s="81">
        <f>C74-C52</f>
        <v>8574.2238231474767</v>
      </c>
      <c r="D77" s="81">
        <f t="shared" ref="D77:N77" si="34">D74-D52</f>
        <v>31784.659704960417</v>
      </c>
      <c r="E77" s="81">
        <f t="shared" si="34"/>
        <v>-121473.9263599664</v>
      </c>
      <c r="F77" s="81">
        <f t="shared" si="34"/>
        <v>-20666.501822516089</v>
      </c>
      <c r="G77" s="81">
        <f t="shared" si="34"/>
        <v>121691.06739854894</v>
      </c>
      <c r="H77" s="81">
        <f t="shared" si="34"/>
        <v>92403.870602600044</v>
      </c>
      <c r="I77" s="81">
        <f t="shared" si="34"/>
        <v>-2239.4401736730943</v>
      </c>
      <c r="J77" s="81">
        <f t="shared" si="34"/>
        <v>-43685.745295994217</v>
      </c>
      <c r="K77" s="81">
        <f t="shared" si="34"/>
        <v>120547.76100091275</v>
      </c>
      <c r="L77" s="81">
        <f t="shared" si="34"/>
        <v>70779.805348545779</v>
      </c>
      <c r="M77" s="81">
        <f t="shared" si="34"/>
        <v>120072.85127285589</v>
      </c>
      <c r="N77" s="81">
        <f t="shared" si="34"/>
        <v>25976.790102645289</v>
      </c>
      <c r="O77" s="61"/>
    </row>
    <row r="78" spans="1:15">
      <c r="A78" s="77" t="s">
        <v>317</v>
      </c>
      <c r="B78" s="83">
        <f t="shared" si="32"/>
        <v>317911.75721140992</v>
      </c>
      <c r="C78" s="81">
        <f>C75-C68</f>
        <v>19618.489359170257</v>
      </c>
      <c r="D78" s="81">
        <f t="shared" ref="D78:N78" si="35">D75-D68</f>
        <v>24543.705885436619</v>
      </c>
      <c r="E78" s="81">
        <f t="shared" si="35"/>
        <v>-18645.01757396094</v>
      </c>
      <c r="F78" s="81">
        <f t="shared" si="35"/>
        <v>7345.3371565559064</v>
      </c>
      <c r="G78" s="81">
        <f t="shared" si="35"/>
        <v>69487.916943336255</v>
      </c>
      <c r="H78" s="81">
        <f t="shared" si="35"/>
        <v>18129.466914637131</v>
      </c>
      <c r="I78" s="81">
        <f t="shared" si="35"/>
        <v>-2799.4867519940599</v>
      </c>
      <c r="J78" s="81">
        <f t="shared" si="35"/>
        <v>-17787.893247286673</v>
      </c>
      <c r="K78" s="81">
        <f t="shared" si="35"/>
        <v>54226.359168821014</v>
      </c>
      <c r="L78" s="81">
        <f t="shared" si="35"/>
        <v>61445.274260495324</v>
      </c>
      <c r="M78" s="81">
        <f t="shared" si="35"/>
        <v>79557.851881535258</v>
      </c>
      <c r="N78" s="81">
        <f t="shared" si="35"/>
        <v>22789.753214663826</v>
      </c>
      <c r="O78" s="61"/>
    </row>
    <row r="79" spans="1:15">
      <c r="A79" s="77" t="s">
        <v>318</v>
      </c>
      <c r="B79" s="83">
        <f t="shared" si="32"/>
        <v>721677.17281347676</v>
      </c>
      <c r="C79" s="83">
        <f>C76-(C52+C67-C66)</f>
        <v>28192.713182317792</v>
      </c>
      <c r="D79" s="83">
        <f t="shared" ref="D79:N79" si="36">D76-(D52+D67-D66)</f>
        <v>56328.365590397036</v>
      </c>
      <c r="E79" s="83">
        <f t="shared" si="36"/>
        <v>-140118.94393392745</v>
      </c>
      <c r="F79" s="83">
        <f t="shared" si="36"/>
        <v>-13321.164665960241</v>
      </c>
      <c r="G79" s="83">
        <f t="shared" si="36"/>
        <v>191178.9843418852</v>
      </c>
      <c r="H79" s="83">
        <f t="shared" si="36"/>
        <v>110533.33751723729</v>
      </c>
      <c r="I79" s="83">
        <f t="shared" si="36"/>
        <v>-5038.9269256670959</v>
      </c>
      <c r="J79" s="83">
        <f t="shared" si="36"/>
        <v>-61473.638543280773</v>
      </c>
      <c r="K79" s="83">
        <f t="shared" si="36"/>
        <v>174774.12016973365</v>
      </c>
      <c r="L79" s="83">
        <f t="shared" si="36"/>
        <v>132225.0796090411</v>
      </c>
      <c r="M79" s="83">
        <f t="shared" si="36"/>
        <v>199630.70315439114</v>
      </c>
      <c r="N79" s="83">
        <f t="shared" si="36"/>
        <v>48766.543317309115</v>
      </c>
      <c r="O79" s="61"/>
    </row>
    <row r="80" spans="1:15">
      <c r="A80" s="77"/>
      <c r="B80" s="64">
        <f t="shared" ref="B80:N80" si="37">B79/B76</f>
        <v>4.2225567422238416E-2</v>
      </c>
      <c r="C80" s="64">
        <f t="shared" si="37"/>
        <v>1.9363127185657823E-2</v>
      </c>
      <c r="D80" s="64">
        <f t="shared" si="37"/>
        <v>3.5696049170086841E-2</v>
      </c>
      <c r="E80" s="64">
        <f t="shared" si="37"/>
        <v>-9.4547195636928108E-2</v>
      </c>
      <c r="F80" s="64">
        <f t="shared" si="37"/>
        <v>-1.1664767658459056E-2</v>
      </c>
      <c r="G80" s="64">
        <f t="shared" si="37"/>
        <v>0.15209147521231917</v>
      </c>
      <c r="H80" s="64">
        <f t="shared" si="37"/>
        <v>7.844807488803214E-2</v>
      </c>
      <c r="I80" s="64">
        <f t="shared" si="37"/>
        <v>-3.2784169978315523E-3</v>
      </c>
      <c r="J80" s="64">
        <f t="shared" si="37"/>
        <v>-3.8253664308202096E-2</v>
      </c>
      <c r="K80" s="64">
        <f t="shared" si="37"/>
        <v>0.13220432690600126</v>
      </c>
      <c r="L80" s="64">
        <f t="shared" si="37"/>
        <v>8.8980538094913256E-2</v>
      </c>
      <c r="M80" s="64">
        <f t="shared" si="37"/>
        <v>0.14508045287383078</v>
      </c>
      <c r="N80" s="64">
        <f t="shared" si="37"/>
        <v>3.3889189240659569E-2</v>
      </c>
      <c r="O80" s="61"/>
    </row>
    <row r="81" spans="1:15">
      <c r="A81" s="77"/>
      <c r="B81" s="87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61"/>
    </row>
    <row r="82" spans="1:15">
      <c r="A82" s="79" t="s">
        <v>281</v>
      </c>
      <c r="B82" s="87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>
      <c r="A83" s="77"/>
      <c r="B83" s="88" t="s">
        <v>282</v>
      </c>
      <c r="C83" s="67" t="s">
        <v>261</v>
      </c>
      <c r="D83" s="67" t="s">
        <v>262</v>
      </c>
      <c r="E83" s="67" t="s">
        <v>263</v>
      </c>
      <c r="F83" s="67" t="s">
        <v>264</v>
      </c>
      <c r="G83" s="67" t="s">
        <v>265</v>
      </c>
      <c r="H83" s="67" t="s">
        <v>266</v>
      </c>
      <c r="I83" s="67" t="s">
        <v>267</v>
      </c>
      <c r="J83" s="67" t="s">
        <v>268</v>
      </c>
      <c r="K83" s="67" t="s">
        <v>269</v>
      </c>
      <c r="L83" s="67" t="s">
        <v>270</v>
      </c>
      <c r="M83" s="67" t="s">
        <v>271</v>
      </c>
      <c r="N83" s="67" t="s">
        <v>272</v>
      </c>
      <c r="O83" s="61"/>
    </row>
    <row r="84" spans="1:15">
      <c r="A84" s="79" t="s">
        <v>252</v>
      </c>
      <c r="B84" s="79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>
      <c r="A85" s="77" t="str">
        <f>A41</f>
        <v>Schedule 1/2</v>
      </c>
      <c r="B85" s="89">
        <f>AVERAGE(C85:N85)</f>
        <v>450043.02841496101</v>
      </c>
      <c r="C85" s="81">
        <f t="shared" ref="C85:N85" si="38">C41+C$77*(C41/SUM(C$41:C$45))</f>
        <v>463406.17226124182</v>
      </c>
      <c r="D85" s="81">
        <f t="shared" si="38"/>
        <v>546866.8542508824</v>
      </c>
      <c r="E85" s="81">
        <f t="shared" si="38"/>
        <v>542154.06070356828</v>
      </c>
      <c r="F85" s="81">
        <f t="shared" si="38"/>
        <v>344668.14086898882</v>
      </c>
      <c r="G85" s="81">
        <f t="shared" si="38"/>
        <v>306220.23369794391</v>
      </c>
      <c r="H85" s="81">
        <f t="shared" si="38"/>
        <v>372935.28989187384</v>
      </c>
      <c r="I85" s="81">
        <f t="shared" si="38"/>
        <v>496080.81421467866</v>
      </c>
      <c r="J85" s="81">
        <f t="shared" si="38"/>
        <v>531416.02939534781</v>
      </c>
      <c r="K85" s="81">
        <f t="shared" si="38"/>
        <v>386161.06544210657</v>
      </c>
      <c r="L85" s="81">
        <f t="shared" si="38"/>
        <v>487080.45538768871</v>
      </c>
      <c r="M85" s="81">
        <f t="shared" si="38"/>
        <v>442178.73450537625</v>
      </c>
      <c r="N85" s="81">
        <f t="shared" si="38"/>
        <v>481348.49035983562</v>
      </c>
      <c r="O85" s="61"/>
    </row>
    <row r="86" spans="1:15">
      <c r="A86" s="77" t="str">
        <f>A42</f>
        <v>Schedule 11/12</v>
      </c>
      <c r="B86" s="89">
        <f t="shared" ref="B86:B95" si="39">AVERAGE(C86:N86)</f>
        <v>103438.1503586115</v>
      </c>
      <c r="C86" s="81">
        <f t="shared" ref="C86:N86" si="40">C42+C$77*(C42/SUM(C$41:C$45))</f>
        <v>108010.03545247561</v>
      </c>
      <c r="D86" s="81">
        <f t="shared" si="40"/>
        <v>109757.20470115285</v>
      </c>
      <c r="E86" s="81">
        <f t="shared" si="40"/>
        <v>89892.225170453312</v>
      </c>
      <c r="F86" s="81">
        <f t="shared" si="40"/>
        <v>74555.636700908304</v>
      </c>
      <c r="G86" s="81">
        <f t="shared" si="40"/>
        <v>109754.86297342283</v>
      </c>
      <c r="H86" s="81">
        <f t="shared" si="40"/>
        <v>130662.03578985237</v>
      </c>
      <c r="I86" s="81">
        <f t="shared" si="40"/>
        <v>116869.46728364237</v>
      </c>
      <c r="J86" s="81">
        <f t="shared" si="40"/>
        <v>119469.74090187514</v>
      </c>
      <c r="K86" s="81">
        <f t="shared" si="40"/>
        <v>88934.182359832281</v>
      </c>
      <c r="L86" s="81">
        <f t="shared" si="40"/>
        <v>101762.04158661445</v>
      </c>
      <c r="M86" s="81">
        <f t="shared" si="40"/>
        <v>93804.096611363013</v>
      </c>
      <c r="N86" s="81">
        <f t="shared" si="40"/>
        <v>97786.274771745331</v>
      </c>
      <c r="O86" s="61"/>
    </row>
    <row r="87" spans="1:15">
      <c r="A87" s="77" t="str">
        <f>A43</f>
        <v>Schedule 21/22  Secondary</v>
      </c>
      <c r="B87" s="89">
        <f t="shared" si="39"/>
        <v>206540.88499120658</v>
      </c>
      <c r="C87" s="81">
        <f t="shared" ref="C87:N87" si="41">C43+C$77*(C43/SUM(C$41:C$45))</f>
        <v>198011.97425071284</v>
      </c>
      <c r="D87" s="81">
        <f t="shared" si="41"/>
        <v>197937.94557906239</v>
      </c>
      <c r="E87" s="81">
        <f t="shared" si="41"/>
        <v>175234.42162435374</v>
      </c>
      <c r="F87" s="81">
        <f t="shared" si="41"/>
        <v>165428.90251335996</v>
      </c>
      <c r="G87" s="81">
        <f t="shared" si="41"/>
        <v>233744.53316409118</v>
      </c>
      <c r="H87" s="81">
        <f t="shared" si="41"/>
        <v>253209.76674168144</v>
      </c>
      <c r="I87" s="81">
        <f t="shared" si="41"/>
        <v>223392.45543869064</v>
      </c>
      <c r="J87" s="81">
        <f t="shared" si="41"/>
        <v>220994.29655563063</v>
      </c>
      <c r="K87" s="81">
        <f t="shared" si="41"/>
        <v>210369.76429583383</v>
      </c>
      <c r="L87" s="81">
        <f t="shared" si="41"/>
        <v>204360.35159228489</v>
      </c>
      <c r="M87" s="81">
        <f t="shared" si="41"/>
        <v>206430.86053160726</v>
      </c>
      <c r="N87" s="81">
        <f t="shared" si="41"/>
        <v>189375.34760717014</v>
      </c>
      <c r="O87" s="61"/>
    </row>
    <row r="88" spans="1:15">
      <c r="A88" s="77" t="str">
        <f>A44</f>
        <v>Schedule 21 Primary</v>
      </c>
      <c r="B88" s="89">
        <f t="shared" si="39"/>
        <v>14419.835470695331</v>
      </c>
      <c r="C88" s="81">
        <f t="shared" ref="C88:N88" si="42">C44+C$77*(C44/SUM(C$41:C$45))</f>
        <v>14715.631345629952</v>
      </c>
      <c r="D88" s="81">
        <f t="shared" si="42"/>
        <v>13841.489617515095</v>
      </c>
      <c r="E88" s="81">
        <f t="shared" si="42"/>
        <v>12951.490105706624</v>
      </c>
      <c r="F88" s="81">
        <f t="shared" si="42"/>
        <v>12730.454366835887</v>
      </c>
      <c r="G88" s="81">
        <f t="shared" si="42"/>
        <v>15263.357863912401</v>
      </c>
      <c r="H88" s="81">
        <f t="shared" si="42"/>
        <v>16130.542673658982</v>
      </c>
      <c r="I88" s="81">
        <f t="shared" si="42"/>
        <v>13578.960841168169</v>
      </c>
      <c r="J88" s="81">
        <f t="shared" si="42"/>
        <v>13816.84539096962</v>
      </c>
      <c r="K88" s="81">
        <f t="shared" si="42"/>
        <v>16308.258861938701</v>
      </c>
      <c r="L88" s="81">
        <f t="shared" si="42"/>
        <v>14691.378231417293</v>
      </c>
      <c r="M88" s="81">
        <f t="shared" si="42"/>
        <v>17072.835713795528</v>
      </c>
      <c r="N88" s="81">
        <f t="shared" si="42"/>
        <v>11936.780635795711</v>
      </c>
      <c r="O88" s="61"/>
    </row>
    <row r="89" spans="1:15">
      <c r="A89" s="77" t="str">
        <f t="shared" ref="A89:A92" si="43">A45</f>
        <v>Schedule 30/31/32</v>
      </c>
      <c r="B89" s="89">
        <f t="shared" si="39"/>
        <v>17378.976431683306</v>
      </c>
      <c r="C89" s="81">
        <f t="shared" ref="C89:N89" si="44">C45+C$77*(C45/SUM(C$41:C$45))</f>
        <v>6191.2445125414479</v>
      </c>
      <c r="D89" s="81">
        <f t="shared" si="44"/>
        <v>7931.1709337062794</v>
      </c>
      <c r="E89" s="81">
        <f t="shared" si="44"/>
        <v>5631.9051959180824</v>
      </c>
      <c r="F89" s="81">
        <f t="shared" si="44"/>
        <v>7290.2397267069437</v>
      </c>
      <c r="G89" s="81">
        <f t="shared" si="44"/>
        <v>20222.714179858081</v>
      </c>
      <c r="H89" s="81">
        <f t="shared" si="44"/>
        <v>28685.966245933538</v>
      </c>
      <c r="I89" s="81">
        <f t="shared" si="44"/>
        <v>30633.308821820105</v>
      </c>
      <c r="J89" s="81">
        <f t="shared" si="44"/>
        <v>32302.819656176758</v>
      </c>
      <c r="K89" s="81">
        <f t="shared" si="44"/>
        <v>38159.121940288467</v>
      </c>
      <c r="L89" s="81">
        <f t="shared" si="44"/>
        <v>18607.888792269299</v>
      </c>
      <c r="M89" s="81">
        <f t="shared" si="44"/>
        <v>7289.1920924985552</v>
      </c>
      <c r="N89" s="81">
        <f t="shared" si="44"/>
        <v>5602.145082482115</v>
      </c>
      <c r="O89" s="61"/>
    </row>
    <row r="90" spans="1:15">
      <c r="A90" s="77" t="str">
        <f t="shared" si="43"/>
        <v>Street Lights</v>
      </c>
      <c r="B90" s="89">
        <f t="shared" si="39"/>
        <v>586.77198475404589</v>
      </c>
      <c r="C90" s="81">
        <f t="shared" ref="C90:C95" si="45">C46</f>
        <v>1408.25276340971</v>
      </c>
      <c r="D90" s="81">
        <f t="shared" ref="D90:N90" si="46">D46</f>
        <v>308.05529199587613</v>
      </c>
      <c r="E90" s="81">
        <f t="shared" si="46"/>
        <v>0</v>
      </c>
      <c r="F90" s="81">
        <f t="shared" si="46"/>
        <v>0</v>
      </c>
      <c r="G90" s="81">
        <f t="shared" si="46"/>
        <v>0</v>
      </c>
      <c r="H90" s="81">
        <f t="shared" si="46"/>
        <v>0</v>
      </c>
      <c r="I90" s="81">
        <f t="shared" si="46"/>
        <v>0</v>
      </c>
      <c r="J90" s="81">
        <f t="shared" si="46"/>
        <v>0</v>
      </c>
      <c r="K90" s="81">
        <f t="shared" si="46"/>
        <v>0</v>
      </c>
      <c r="L90" s="81">
        <f t="shared" si="46"/>
        <v>1276.2290668400508</v>
      </c>
      <c r="M90" s="81">
        <f t="shared" si="46"/>
        <v>1408.25276340971</v>
      </c>
      <c r="N90" s="81">
        <f t="shared" si="46"/>
        <v>2640.4739313932032</v>
      </c>
      <c r="O90" s="61"/>
    </row>
    <row r="91" spans="1:15">
      <c r="A91" s="77" t="str">
        <f t="shared" si="43"/>
        <v>Area Lights</v>
      </c>
      <c r="B91" s="89">
        <f t="shared" si="39"/>
        <v>395.49346416185853</v>
      </c>
      <c r="C91" s="81">
        <f t="shared" si="45"/>
        <v>949.18431398846042</v>
      </c>
      <c r="D91" s="81">
        <f t="shared" ref="D91:N91" si="47">D47</f>
        <v>207.63406868497711</v>
      </c>
      <c r="E91" s="81">
        <f t="shared" si="47"/>
        <v>0</v>
      </c>
      <c r="F91" s="81">
        <f t="shared" si="47"/>
        <v>0</v>
      </c>
      <c r="G91" s="81">
        <f t="shared" si="47"/>
        <v>0</v>
      </c>
      <c r="H91" s="81">
        <f t="shared" si="47"/>
        <v>0</v>
      </c>
      <c r="I91" s="81">
        <f t="shared" si="47"/>
        <v>0</v>
      </c>
      <c r="J91" s="81">
        <f t="shared" si="47"/>
        <v>0</v>
      </c>
      <c r="K91" s="81">
        <f t="shared" si="47"/>
        <v>0</v>
      </c>
      <c r="L91" s="81">
        <f t="shared" si="47"/>
        <v>860.19828455204299</v>
      </c>
      <c r="M91" s="81">
        <f t="shared" si="47"/>
        <v>949.18431398846042</v>
      </c>
      <c r="N91" s="81">
        <f t="shared" si="47"/>
        <v>1779.7205887283612</v>
      </c>
      <c r="O91" s="61"/>
    </row>
    <row r="92" spans="1:15" hidden="1">
      <c r="A92" s="77" t="str">
        <f t="shared" si="43"/>
        <v>Schedule 21 Transmission</v>
      </c>
      <c r="B92" s="89">
        <f t="shared" si="39"/>
        <v>0</v>
      </c>
      <c r="C92" s="81">
        <f t="shared" si="45"/>
        <v>0</v>
      </c>
      <c r="D92" s="81">
        <f t="shared" ref="D92:N92" si="48">D48</f>
        <v>0</v>
      </c>
      <c r="E92" s="81">
        <f t="shared" si="48"/>
        <v>0</v>
      </c>
      <c r="F92" s="81">
        <f t="shared" si="48"/>
        <v>0</v>
      </c>
      <c r="G92" s="81">
        <f t="shared" si="48"/>
        <v>0</v>
      </c>
      <c r="H92" s="81">
        <f t="shared" si="48"/>
        <v>0</v>
      </c>
      <c r="I92" s="81">
        <f t="shared" si="48"/>
        <v>0</v>
      </c>
      <c r="J92" s="81">
        <f t="shared" si="48"/>
        <v>0</v>
      </c>
      <c r="K92" s="81">
        <f t="shared" si="48"/>
        <v>0</v>
      </c>
      <c r="L92" s="81">
        <f t="shared" si="48"/>
        <v>0</v>
      </c>
      <c r="M92" s="81">
        <f t="shared" si="48"/>
        <v>0</v>
      </c>
      <c r="N92" s="81">
        <f t="shared" si="48"/>
        <v>0</v>
      </c>
      <c r="O92" s="61"/>
    </row>
    <row r="93" spans="1:15">
      <c r="A93" s="77" t="str">
        <f>A49</f>
        <v>Schedule 25 Transmission</v>
      </c>
      <c r="B93" s="89">
        <f t="shared" si="39"/>
        <v>55029.810000000005</v>
      </c>
      <c r="C93" s="81">
        <f t="shared" si="45"/>
        <v>53840.160000000003</v>
      </c>
      <c r="D93" s="81">
        <f t="shared" ref="D93:N93" si="49">D49</f>
        <v>54655.92</v>
      </c>
      <c r="E93" s="81">
        <f t="shared" si="49"/>
        <v>55508.76</v>
      </c>
      <c r="F93" s="81">
        <f t="shared" si="49"/>
        <v>54952.560000000005</v>
      </c>
      <c r="G93" s="81">
        <f t="shared" si="49"/>
        <v>55508.76</v>
      </c>
      <c r="H93" s="81">
        <f t="shared" si="49"/>
        <v>54433.440000000002</v>
      </c>
      <c r="I93" s="81">
        <f t="shared" si="49"/>
        <v>57548.160000000003</v>
      </c>
      <c r="J93" s="81">
        <f t="shared" si="49"/>
        <v>58994.28</v>
      </c>
      <c r="K93" s="81">
        <f t="shared" si="49"/>
        <v>53877.24</v>
      </c>
      <c r="L93" s="81">
        <f t="shared" si="49"/>
        <v>56027.880000000005</v>
      </c>
      <c r="M93" s="81">
        <f t="shared" si="49"/>
        <v>47759.040000000001</v>
      </c>
      <c r="N93" s="81">
        <f t="shared" si="49"/>
        <v>57251.520000000004</v>
      </c>
      <c r="O93" s="61"/>
    </row>
    <row r="94" spans="1:15">
      <c r="A94" s="77" t="str">
        <f>A50</f>
        <v>Schedule 25 Primary</v>
      </c>
      <c r="B94" s="89">
        <f t="shared" si="39"/>
        <v>76462.484617259615</v>
      </c>
      <c r="C94" s="81">
        <f t="shared" si="45"/>
        <v>82906.922699999981</v>
      </c>
      <c r="D94" s="81">
        <f t="shared" ref="D94:N94" si="50">D50</f>
        <v>75036.547957000002</v>
      </c>
      <c r="E94" s="81">
        <f t="shared" si="50"/>
        <v>75770.612399999998</v>
      </c>
      <c r="F94" s="81">
        <f t="shared" si="50"/>
        <v>70781.361823200015</v>
      </c>
      <c r="G94" s="81">
        <f t="shared" si="50"/>
        <v>80694.638920771482</v>
      </c>
      <c r="H94" s="81">
        <f t="shared" si="50"/>
        <v>84663.125056999997</v>
      </c>
      <c r="I94" s="81">
        <f t="shared" si="50"/>
        <v>75722.842999999993</v>
      </c>
      <c r="J94" s="81">
        <f t="shared" si="50"/>
        <v>81973.437699999995</v>
      </c>
      <c r="K94" s="81">
        <f t="shared" si="50"/>
        <v>71219.064699999988</v>
      </c>
      <c r="L94" s="81">
        <f t="shared" si="50"/>
        <v>77585.058658333321</v>
      </c>
      <c r="M94" s="81">
        <f t="shared" si="50"/>
        <v>75833.640267961149</v>
      </c>
      <c r="N94" s="81">
        <f t="shared" si="50"/>
        <v>65362.562222849461</v>
      </c>
      <c r="O94" s="61"/>
    </row>
    <row r="95" spans="1:15">
      <c r="A95" s="77" t="str">
        <f>A51</f>
        <v>Schedule 25 Secondary</v>
      </c>
      <c r="B95" s="89">
        <f t="shared" si="39"/>
        <v>12287.897599999998</v>
      </c>
      <c r="C95" s="81">
        <f t="shared" si="45"/>
        <v>10560.422399999999</v>
      </c>
      <c r="D95" s="81">
        <f t="shared" ref="D95:N95" si="51">D51</f>
        <v>11457.177599999999</v>
      </c>
      <c r="E95" s="81">
        <f t="shared" si="51"/>
        <v>10856.524799999999</v>
      </c>
      <c r="F95" s="81">
        <f t="shared" si="51"/>
        <v>9592.7039999999997</v>
      </c>
      <c r="G95" s="81">
        <f t="shared" si="51"/>
        <v>12590.899200000002</v>
      </c>
      <c r="H95" s="81">
        <f t="shared" si="51"/>
        <v>13279.8336</v>
      </c>
      <c r="I95" s="81">
        <f t="shared" si="51"/>
        <v>12173.990400000001</v>
      </c>
      <c r="J95" s="81">
        <f t="shared" si="51"/>
        <v>14032.5504</v>
      </c>
      <c r="K95" s="81">
        <f t="shared" si="51"/>
        <v>13971.3024</v>
      </c>
      <c r="L95" s="81">
        <f t="shared" si="51"/>
        <v>14748.518400000001</v>
      </c>
      <c r="M95" s="81">
        <f t="shared" si="51"/>
        <v>14274.163200000001</v>
      </c>
      <c r="N95" s="81">
        <f t="shared" si="51"/>
        <v>9916.6847999999991</v>
      </c>
      <c r="O95" s="61"/>
    </row>
    <row r="96" spans="1:15">
      <c r="A96" s="77" t="s">
        <v>315</v>
      </c>
      <c r="B96" s="90">
        <f t="shared" ref="B96:N96" si="52">SUM(B85:B95)</f>
        <v>936583.33333333326</v>
      </c>
      <c r="C96" s="91">
        <f t="shared" si="52"/>
        <v>939999.99999999988</v>
      </c>
      <c r="D96" s="91">
        <f t="shared" si="52"/>
        <v>1018000</v>
      </c>
      <c r="E96" s="91">
        <f t="shared" si="52"/>
        <v>968000</v>
      </c>
      <c r="F96" s="91">
        <f t="shared" si="52"/>
        <v>740000.00000000012</v>
      </c>
      <c r="G96" s="91">
        <f t="shared" si="52"/>
        <v>833999.99999999988</v>
      </c>
      <c r="H96" s="91">
        <f t="shared" si="52"/>
        <v>954000</v>
      </c>
      <c r="I96" s="91">
        <f t="shared" si="52"/>
        <v>1025999.9999999999</v>
      </c>
      <c r="J96" s="91">
        <f t="shared" si="52"/>
        <v>1073000</v>
      </c>
      <c r="K96" s="91">
        <f t="shared" si="52"/>
        <v>878999.99999999988</v>
      </c>
      <c r="L96" s="91">
        <f t="shared" si="52"/>
        <v>977000</v>
      </c>
      <c r="M96" s="91">
        <f t="shared" si="52"/>
        <v>907000</v>
      </c>
      <c r="N96" s="91">
        <f t="shared" si="52"/>
        <v>923000</v>
      </c>
      <c r="O96" s="65"/>
    </row>
    <row r="97" spans="1:15">
      <c r="A97" s="77"/>
      <c r="B97" s="92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1"/>
    </row>
    <row r="98" spans="1:15">
      <c r="A98" s="79" t="s">
        <v>258</v>
      </c>
      <c r="B98" s="92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1"/>
    </row>
    <row r="99" spans="1:15">
      <c r="A99" s="77" t="str">
        <f t="shared" ref="A99:A107" si="53">A55</f>
        <v>Schedule 1</v>
      </c>
      <c r="B99" s="89">
        <f t="shared" ref="B99:B110" si="54">AVERAGE(C99:N99)</f>
        <v>224819.59565412244</v>
      </c>
      <c r="C99" s="81">
        <f t="shared" ref="C99:C104" si="55">C55+C$78*(C55/SUM(C$55:C$60))</f>
        <v>241985.48993958251</v>
      </c>
      <c r="D99" s="81">
        <f t="shared" ref="D99:N99" si="56">D55+D$78*(D55/SUM(D$55:D$60))</f>
        <v>284146.8512087792</v>
      </c>
      <c r="E99" s="81">
        <f t="shared" si="56"/>
        <v>261608.27678118751</v>
      </c>
      <c r="F99" s="81">
        <f t="shared" si="56"/>
        <v>172901.12048821448</v>
      </c>
      <c r="G99" s="81">
        <f t="shared" si="56"/>
        <v>148387.60477671103</v>
      </c>
      <c r="H99" s="81">
        <f t="shared" si="56"/>
        <v>170479.74575343842</v>
      </c>
      <c r="I99" s="81">
        <f t="shared" si="56"/>
        <v>237732.68425903589</v>
      </c>
      <c r="J99" s="81">
        <f t="shared" si="56"/>
        <v>253652.97300120443</v>
      </c>
      <c r="K99" s="81">
        <f t="shared" si="56"/>
        <v>197503.23047551047</v>
      </c>
      <c r="L99" s="81">
        <f t="shared" si="56"/>
        <v>251437.04882631765</v>
      </c>
      <c r="M99" s="81">
        <f t="shared" si="56"/>
        <v>212474.53795204236</v>
      </c>
      <c r="N99" s="81">
        <f t="shared" si="56"/>
        <v>265525.58438744565</v>
      </c>
      <c r="O99" s="61"/>
    </row>
    <row r="100" spans="1:15">
      <c r="A100" s="77" t="str">
        <f t="shared" si="53"/>
        <v xml:space="preserve">Schedule 11/12 </v>
      </c>
      <c r="B100" s="89">
        <f t="shared" si="54"/>
        <v>64126.844991684076</v>
      </c>
      <c r="C100" s="81">
        <f t="shared" si="55"/>
        <v>63988.85107154242</v>
      </c>
      <c r="D100" s="81">
        <f t="shared" ref="D100:N100" si="57">D56+D$78*(D56/SUM(D$55:D$60))</f>
        <v>65457.048746860724</v>
      </c>
      <c r="E100" s="81">
        <f t="shared" si="57"/>
        <v>58800.992014712727</v>
      </c>
      <c r="F100" s="81">
        <f t="shared" si="57"/>
        <v>46167.476427168527</v>
      </c>
      <c r="G100" s="81">
        <f t="shared" si="57"/>
        <v>69011.077477215746</v>
      </c>
      <c r="H100" s="81">
        <f t="shared" si="57"/>
        <v>76382.050866871199</v>
      </c>
      <c r="I100" s="81">
        <f t="shared" si="57"/>
        <v>75902.011270912422</v>
      </c>
      <c r="J100" s="81">
        <f t="shared" si="57"/>
        <v>79473.955067799994</v>
      </c>
      <c r="K100" s="81">
        <f t="shared" si="57"/>
        <v>56488.161601599495</v>
      </c>
      <c r="L100" s="81">
        <f t="shared" si="57"/>
        <v>59519.330441494661</v>
      </c>
      <c r="M100" s="81">
        <f t="shared" si="57"/>
        <v>57524.067606138487</v>
      </c>
      <c r="N100" s="81">
        <f t="shared" si="57"/>
        <v>60807.117307892368</v>
      </c>
      <c r="O100" s="61"/>
    </row>
    <row r="101" spans="1:15" hidden="1">
      <c r="A101" s="77" t="str">
        <f t="shared" si="53"/>
        <v>Schedule 11/12 demand metered</v>
      </c>
      <c r="B101" s="89">
        <f t="shared" si="54"/>
        <v>0</v>
      </c>
      <c r="C101" s="81">
        <f t="shared" si="55"/>
        <v>0</v>
      </c>
      <c r="D101" s="81">
        <f t="shared" ref="D101:N101" si="58">D57+D$78*(D57/SUM(D$55:D$60))</f>
        <v>0</v>
      </c>
      <c r="E101" s="81">
        <f t="shared" si="58"/>
        <v>0</v>
      </c>
      <c r="F101" s="81">
        <f t="shared" si="58"/>
        <v>0</v>
      </c>
      <c r="G101" s="81">
        <f t="shared" si="58"/>
        <v>0</v>
      </c>
      <c r="H101" s="81">
        <f t="shared" si="58"/>
        <v>0</v>
      </c>
      <c r="I101" s="81">
        <f t="shared" si="58"/>
        <v>0</v>
      </c>
      <c r="J101" s="81">
        <f t="shared" si="58"/>
        <v>0</v>
      </c>
      <c r="K101" s="81">
        <f t="shared" si="58"/>
        <v>0</v>
      </c>
      <c r="L101" s="81">
        <f t="shared" si="58"/>
        <v>0</v>
      </c>
      <c r="M101" s="81">
        <f t="shared" si="58"/>
        <v>0</v>
      </c>
      <c r="N101" s="81">
        <f t="shared" si="58"/>
        <v>0</v>
      </c>
      <c r="O101" s="61"/>
    </row>
    <row r="102" spans="1:15">
      <c r="A102" s="77" t="str">
        <f t="shared" si="53"/>
        <v>Schedule 21/22 Secondary</v>
      </c>
      <c r="B102" s="89">
        <f t="shared" si="54"/>
        <v>95439.782330717266</v>
      </c>
      <c r="C102" s="81">
        <f t="shared" si="55"/>
        <v>96480.971263126659</v>
      </c>
      <c r="D102" s="81">
        <f t="shared" ref="D102:N102" si="59">D58+D$78*(D58/SUM(D$55:D$60))</f>
        <v>98623.591112311435</v>
      </c>
      <c r="E102" s="81">
        <f t="shared" si="59"/>
        <v>89837.101324676129</v>
      </c>
      <c r="F102" s="81">
        <f t="shared" si="59"/>
        <v>81057.360618878796</v>
      </c>
      <c r="G102" s="81">
        <f t="shared" si="59"/>
        <v>104798.53710141587</v>
      </c>
      <c r="H102" s="81">
        <f t="shared" si="59"/>
        <v>105905.08332682536</v>
      </c>
      <c r="I102" s="81">
        <f t="shared" si="59"/>
        <v>99740.463108494048</v>
      </c>
      <c r="J102" s="81">
        <f t="shared" si="59"/>
        <v>97226.661684137376</v>
      </c>
      <c r="K102" s="81">
        <f t="shared" si="59"/>
        <v>93969.716041705557</v>
      </c>
      <c r="L102" s="81">
        <f t="shared" si="59"/>
        <v>94269.585739605682</v>
      </c>
      <c r="M102" s="81">
        <f t="shared" si="59"/>
        <v>98117.06335147949</v>
      </c>
      <c r="N102" s="81">
        <f t="shared" si="59"/>
        <v>85251.25329595065</v>
      </c>
      <c r="O102" s="61"/>
    </row>
    <row r="103" spans="1:15">
      <c r="A103" s="77" t="str">
        <f t="shared" si="53"/>
        <v>Schedule 21 Primary</v>
      </c>
      <c r="B103" s="89">
        <f t="shared" si="54"/>
        <v>7197.9214486029377</v>
      </c>
      <c r="C103" s="81">
        <f>C59+C$78*(C59/SUM(C$55:C$60))</f>
        <v>8808.6406857255715</v>
      </c>
      <c r="D103" s="81">
        <f t="shared" ref="D103:N103" si="60">D59+D$78*(D59/SUM(D$55:D$60))</f>
        <v>9890.4073590732169</v>
      </c>
      <c r="E103" s="81">
        <f t="shared" si="60"/>
        <v>7937.9022558211127</v>
      </c>
      <c r="F103" s="81">
        <f t="shared" si="60"/>
        <v>7961.3245352878048</v>
      </c>
      <c r="G103" s="81">
        <f t="shared" si="60"/>
        <v>6385.266313224407</v>
      </c>
      <c r="H103" s="81">
        <f t="shared" si="60"/>
        <v>6891.1122676053556</v>
      </c>
      <c r="I103" s="81">
        <f t="shared" si="60"/>
        <v>5041.2659624525759</v>
      </c>
      <c r="J103" s="81">
        <f t="shared" si="60"/>
        <v>5116.5095815247978</v>
      </c>
      <c r="K103" s="81">
        <f t="shared" si="60"/>
        <v>6242.0033307922104</v>
      </c>
      <c r="L103" s="81">
        <f t="shared" si="60"/>
        <v>7653.0648299120512</v>
      </c>
      <c r="M103" s="81">
        <f t="shared" si="60"/>
        <v>8710.6380006498548</v>
      </c>
      <c r="N103" s="81">
        <f t="shared" si="60"/>
        <v>5736.9222611662917</v>
      </c>
      <c r="O103" s="61"/>
    </row>
    <row r="104" spans="1:15">
      <c r="A104" s="77" t="str">
        <f t="shared" si="53"/>
        <v>Schedule 31/32</v>
      </c>
      <c r="B104" s="89">
        <f t="shared" si="54"/>
        <v>7233.4735894870691</v>
      </c>
      <c r="C104" s="81">
        <f t="shared" si="55"/>
        <v>6462.3080158137745</v>
      </c>
      <c r="D104" s="81">
        <f t="shared" ref="D104:N104" si="61">D60+D$78*(D60/SUM(D$55:D$60))</f>
        <v>5936.1693448984315</v>
      </c>
      <c r="E104" s="81">
        <f t="shared" si="61"/>
        <v>5458.7409246026091</v>
      </c>
      <c r="F104" s="81">
        <f t="shared" si="61"/>
        <v>5820.696265450486</v>
      </c>
      <c r="G104" s="81">
        <f t="shared" si="61"/>
        <v>6497.2555534329986</v>
      </c>
      <c r="H104" s="81">
        <f t="shared" si="61"/>
        <v>7635.6193972596284</v>
      </c>
      <c r="I104" s="81">
        <f t="shared" si="61"/>
        <v>9390.6958551051212</v>
      </c>
      <c r="J104" s="81">
        <f t="shared" si="61"/>
        <v>8389.6505433550337</v>
      </c>
      <c r="K104" s="81">
        <f t="shared" si="61"/>
        <v>9032.6586097811614</v>
      </c>
      <c r="L104" s="81">
        <f t="shared" si="61"/>
        <v>8168.7035536367321</v>
      </c>
      <c r="M104" s="81">
        <f t="shared" si="61"/>
        <v>7430.4087924807409</v>
      </c>
      <c r="N104" s="81">
        <f t="shared" si="61"/>
        <v>6578.7762180281215</v>
      </c>
      <c r="O104" s="61"/>
    </row>
    <row r="105" spans="1:15">
      <c r="A105" s="77" t="str">
        <f t="shared" si="53"/>
        <v>Street Lights</v>
      </c>
      <c r="B105" s="89">
        <f t="shared" si="54"/>
        <v>396.10743914046105</v>
      </c>
      <c r="C105" s="81">
        <f t="shared" ref="C105:N110" si="62">C61</f>
        <v>950.65785393710667</v>
      </c>
      <c r="D105" s="81">
        <f t="shared" ref="D105:N105" si="63">D61</f>
        <v>207.95640554874345</v>
      </c>
      <c r="E105" s="81">
        <f t="shared" si="63"/>
        <v>0</v>
      </c>
      <c r="F105" s="81">
        <f t="shared" si="63"/>
        <v>0</v>
      </c>
      <c r="G105" s="81">
        <f t="shared" si="63"/>
        <v>0</v>
      </c>
      <c r="H105" s="81">
        <f t="shared" si="63"/>
        <v>0</v>
      </c>
      <c r="I105" s="81">
        <f t="shared" si="63"/>
        <v>0</v>
      </c>
      <c r="J105" s="81">
        <f t="shared" si="63"/>
        <v>0</v>
      </c>
      <c r="K105" s="81">
        <f t="shared" si="63"/>
        <v>0</v>
      </c>
      <c r="L105" s="81">
        <f t="shared" si="63"/>
        <v>861.53368013050351</v>
      </c>
      <c r="M105" s="81">
        <f t="shared" si="63"/>
        <v>950.65785393710667</v>
      </c>
      <c r="N105" s="81">
        <f t="shared" si="63"/>
        <v>1782.4834761320726</v>
      </c>
      <c r="O105" s="61"/>
    </row>
    <row r="106" spans="1:15">
      <c r="A106" s="77" t="str">
        <f t="shared" si="53"/>
        <v>Area Lights</v>
      </c>
      <c r="B106" s="89">
        <f t="shared" si="54"/>
        <v>208.30787719666009</v>
      </c>
      <c r="C106" s="81">
        <f t="shared" si="62"/>
        <v>499.9389052719842</v>
      </c>
      <c r="D106" s="81">
        <f t="shared" ref="D106:N106" si="64">D62</f>
        <v>109.36163552824726</v>
      </c>
      <c r="E106" s="81">
        <f t="shared" si="64"/>
        <v>0</v>
      </c>
      <c r="F106" s="81">
        <f t="shared" si="64"/>
        <v>0</v>
      </c>
      <c r="G106" s="81">
        <f t="shared" si="64"/>
        <v>0</v>
      </c>
      <c r="H106" s="81">
        <f t="shared" si="64"/>
        <v>0</v>
      </c>
      <c r="I106" s="81">
        <f t="shared" si="64"/>
        <v>0</v>
      </c>
      <c r="J106" s="81">
        <f t="shared" si="64"/>
        <v>0</v>
      </c>
      <c r="K106" s="81">
        <f t="shared" si="64"/>
        <v>0</v>
      </c>
      <c r="L106" s="81">
        <f t="shared" si="64"/>
        <v>453.06963290273598</v>
      </c>
      <c r="M106" s="81">
        <f t="shared" si="64"/>
        <v>499.9389052719842</v>
      </c>
      <c r="N106" s="81">
        <f t="shared" si="64"/>
        <v>937.38544738496921</v>
      </c>
      <c r="O106" s="61"/>
    </row>
    <row r="107" spans="1:15">
      <c r="A107" s="77" t="str">
        <f t="shared" si="53"/>
        <v>Schedule 25 Primary</v>
      </c>
      <c r="B107" s="89">
        <f t="shared" si="54"/>
        <v>43147.71568571579</v>
      </c>
      <c r="C107" s="81">
        <f>C63</f>
        <v>46491.469464999987</v>
      </c>
      <c r="D107" s="81">
        <f t="shared" ref="D107:N107" si="65">D63</f>
        <v>46007.15658699999</v>
      </c>
      <c r="E107" s="81">
        <f t="shared" si="65"/>
        <v>45812.307498999995</v>
      </c>
      <c r="F107" s="81">
        <f t="shared" si="65"/>
        <v>43661.601864999997</v>
      </c>
      <c r="G107" s="81">
        <f t="shared" si="65"/>
        <v>38712.244577999998</v>
      </c>
      <c r="H107" s="81">
        <f t="shared" si="65"/>
        <v>38053.871687999992</v>
      </c>
      <c r="I107" s="81">
        <f t="shared" si="65"/>
        <v>40485.096343999998</v>
      </c>
      <c r="J107" s="81">
        <f t="shared" si="65"/>
        <v>41569.653321978483</v>
      </c>
      <c r="K107" s="81">
        <f t="shared" si="65"/>
        <v>41343.941540611115</v>
      </c>
      <c r="L107" s="81">
        <f t="shared" si="65"/>
        <v>46867.175795999989</v>
      </c>
      <c r="M107" s="81">
        <f t="shared" si="65"/>
        <v>44641.929037999995</v>
      </c>
      <c r="N107" s="81">
        <f t="shared" si="65"/>
        <v>44126.140505999989</v>
      </c>
      <c r="O107" s="61"/>
    </row>
    <row r="108" spans="1:15">
      <c r="A108" s="77" t="str">
        <f t="shared" ref="A108:A110" si="66">A64</f>
        <v>Schedule 25 Secondary</v>
      </c>
      <c r="B108" s="89">
        <f t="shared" si="54"/>
        <v>537.7152000000001</v>
      </c>
      <c r="C108" s="81">
        <f t="shared" si="62"/>
        <v>664.01279999999997</v>
      </c>
      <c r="D108" s="81">
        <f t="shared" ref="D108:N108" si="67">D64</f>
        <v>517.01760000000002</v>
      </c>
      <c r="E108" s="81">
        <f t="shared" si="67"/>
        <v>425.7792</v>
      </c>
      <c r="F108" s="81">
        <f t="shared" si="67"/>
        <v>684.28800000000001</v>
      </c>
      <c r="G108" s="81">
        <f t="shared" si="67"/>
        <v>466.32960000000003</v>
      </c>
      <c r="H108" s="81">
        <f t="shared" si="67"/>
        <v>557.56799999999998</v>
      </c>
      <c r="I108" s="81">
        <f t="shared" si="67"/>
        <v>598.11839999999995</v>
      </c>
      <c r="J108" s="81">
        <f t="shared" si="67"/>
        <v>420.71039999999999</v>
      </c>
      <c r="K108" s="81">
        <f t="shared" si="67"/>
        <v>400.43520000000001</v>
      </c>
      <c r="L108" s="81">
        <f t="shared" si="67"/>
        <v>572.77440000000001</v>
      </c>
      <c r="M108" s="81">
        <f t="shared" si="67"/>
        <v>152.06400000000002</v>
      </c>
      <c r="N108" s="81">
        <f t="shared" si="67"/>
        <v>993.48479999999995</v>
      </c>
      <c r="O108" s="61"/>
    </row>
    <row r="109" spans="1:15">
      <c r="A109" s="77" t="str">
        <f t="shared" si="66"/>
        <v>Schedule 25P Primary</v>
      </c>
      <c r="B109" s="89">
        <f t="shared" si="54"/>
        <v>44559.202450000004</v>
      </c>
      <c r="C109" s="81">
        <f t="shared" si="62"/>
        <v>49667.659999999996</v>
      </c>
      <c r="D109" s="81">
        <f t="shared" si="62"/>
        <v>49104.439999999995</v>
      </c>
      <c r="E109" s="81">
        <f t="shared" si="62"/>
        <v>44118.899999999994</v>
      </c>
      <c r="F109" s="81">
        <f t="shared" si="62"/>
        <v>43746.131799999996</v>
      </c>
      <c r="G109" s="81">
        <f t="shared" si="62"/>
        <v>48741.684600000001</v>
      </c>
      <c r="H109" s="81">
        <f t="shared" si="62"/>
        <v>49094.948700000001</v>
      </c>
      <c r="I109" s="81">
        <f t="shared" si="62"/>
        <v>42109.664799999991</v>
      </c>
      <c r="J109" s="81">
        <f t="shared" si="62"/>
        <v>48149.886399999996</v>
      </c>
      <c r="K109" s="81">
        <f t="shared" si="62"/>
        <v>38019.853200000005</v>
      </c>
      <c r="L109" s="81">
        <f t="shared" si="62"/>
        <v>39197.713100000008</v>
      </c>
      <c r="M109" s="81">
        <f t="shared" si="62"/>
        <v>38498.694499999983</v>
      </c>
      <c r="N109" s="81">
        <f t="shared" si="62"/>
        <v>44260.852299999999</v>
      </c>
      <c r="O109" s="61"/>
    </row>
    <row r="110" spans="1:15">
      <c r="A110" s="77" t="str">
        <f t="shared" si="66"/>
        <v>Schedule 25P Generation</v>
      </c>
      <c r="B110" s="89">
        <f t="shared" si="54"/>
        <v>0</v>
      </c>
      <c r="C110" s="81">
        <f t="shared" si="62"/>
        <v>0</v>
      </c>
      <c r="D110" s="81">
        <f t="shared" ref="D110:N110" si="68">D66</f>
        <v>0</v>
      </c>
      <c r="E110" s="81">
        <f t="shared" si="68"/>
        <v>0</v>
      </c>
      <c r="F110" s="81">
        <f t="shared" si="68"/>
        <v>0</v>
      </c>
      <c r="G110" s="81">
        <f t="shared" si="68"/>
        <v>0</v>
      </c>
      <c r="H110" s="81">
        <f t="shared" si="68"/>
        <v>0</v>
      </c>
      <c r="I110" s="81">
        <f t="shared" si="68"/>
        <v>0</v>
      </c>
      <c r="J110" s="81">
        <f t="shared" si="68"/>
        <v>0</v>
      </c>
      <c r="K110" s="81">
        <f t="shared" si="68"/>
        <v>0</v>
      </c>
      <c r="L110" s="81">
        <f t="shared" si="68"/>
        <v>0</v>
      </c>
      <c r="M110" s="81">
        <f t="shared" si="68"/>
        <v>0</v>
      </c>
      <c r="N110" s="81">
        <f t="shared" si="68"/>
        <v>0</v>
      </c>
      <c r="O110" s="61"/>
    </row>
    <row r="111" spans="1:15">
      <c r="A111" s="77" t="s">
        <v>444</v>
      </c>
      <c r="B111" s="90">
        <f>SUM(B99:B110)</f>
        <v>487666.66666666657</v>
      </c>
      <c r="C111" s="91">
        <f>SUM(C99:C110)</f>
        <v>515999.99999999994</v>
      </c>
      <c r="D111" s="91">
        <f t="shared" ref="D111:N111" si="69">SUM(D99:D110)</f>
        <v>560000</v>
      </c>
      <c r="E111" s="91">
        <f t="shared" si="69"/>
        <v>514000</v>
      </c>
      <c r="F111" s="91">
        <f t="shared" si="69"/>
        <v>402000.00000000006</v>
      </c>
      <c r="G111" s="91">
        <f t="shared" si="69"/>
        <v>422999.99999999994</v>
      </c>
      <c r="H111" s="91">
        <f t="shared" si="69"/>
        <v>455000</v>
      </c>
      <c r="I111" s="91">
        <f t="shared" si="69"/>
        <v>511000.00000000006</v>
      </c>
      <c r="J111" s="91">
        <f t="shared" si="69"/>
        <v>534000.00000000012</v>
      </c>
      <c r="K111" s="91">
        <f t="shared" si="69"/>
        <v>443000</v>
      </c>
      <c r="L111" s="91">
        <f t="shared" si="69"/>
        <v>508999.99999999994</v>
      </c>
      <c r="M111" s="91">
        <f t="shared" si="69"/>
        <v>469000.00000000006</v>
      </c>
      <c r="N111" s="91">
        <f t="shared" si="69"/>
        <v>516000</v>
      </c>
      <c r="O111" s="61"/>
    </row>
    <row r="112" spans="1:15">
      <c r="A112" s="77"/>
      <c r="B112" s="93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1"/>
    </row>
    <row r="113" spans="1:15">
      <c r="A113" s="160" t="s">
        <v>2341</v>
      </c>
      <c r="B113" s="65">
        <f>SUM(C113:N113)</f>
        <v>17091000</v>
      </c>
      <c r="C113" s="94">
        <f>C96+C111</f>
        <v>1455999.9999999998</v>
      </c>
      <c r="D113" s="94">
        <f t="shared" ref="D113:N113" si="70">D96+D111</f>
        <v>1578000</v>
      </c>
      <c r="E113" s="94">
        <f t="shared" si="70"/>
        <v>1482000</v>
      </c>
      <c r="F113" s="94">
        <f t="shared" si="70"/>
        <v>1142000.0000000002</v>
      </c>
      <c r="G113" s="94">
        <f t="shared" si="70"/>
        <v>1256999.9999999998</v>
      </c>
      <c r="H113" s="94">
        <f t="shared" si="70"/>
        <v>1409000</v>
      </c>
      <c r="I113" s="94">
        <f t="shared" si="70"/>
        <v>1537000</v>
      </c>
      <c r="J113" s="94">
        <f t="shared" si="70"/>
        <v>1607000</v>
      </c>
      <c r="K113" s="94">
        <f t="shared" si="70"/>
        <v>1322000</v>
      </c>
      <c r="L113" s="94">
        <f t="shared" si="70"/>
        <v>1486000</v>
      </c>
      <c r="M113" s="94">
        <f t="shared" si="70"/>
        <v>1376000</v>
      </c>
      <c r="N113" s="94">
        <f t="shared" si="70"/>
        <v>1439000</v>
      </c>
      <c r="O113" s="61"/>
    </row>
    <row r="114" spans="1:15">
      <c r="A114" s="163" t="s">
        <v>2342</v>
      </c>
      <c r="B114" s="2">
        <f>B113-SUM(C110:N110)</f>
        <v>17091000</v>
      </c>
    </row>
    <row r="118" spans="1:15">
      <c r="A118" t="s">
        <v>2540</v>
      </c>
      <c r="B118" s="89">
        <f t="shared" ref="B118" si="71">AVERAGE(C118:N118)</f>
        <v>982.26544891590436</v>
      </c>
      <c r="C118" s="132">
        <f>C90+C91</f>
        <v>2357.4370773981705</v>
      </c>
      <c r="D118" s="132">
        <f t="shared" ref="D118:N118" si="72">D90+D91</f>
        <v>515.68936068085327</v>
      </c>
      <c r="E118" s="132">
        <f t="shared" si="72"/>
        <v>0</v>
      </c>
      <c r="F118" s="132">
        <f t="shared" si="72"/>
        <v>0</v>
      </c>
      <c r="G118" s="132">
        <f t="shared" si="72"/>
        <v>0</v>
      </c>
      <c r="H118" s="132">
        <f t="shared" si="72"/>
        <v>0</v>
      </c>
      <c r="I118" s="132">
        <f t="shared" si="72"/>
        <v>0</v>
      </c>
      <c r="J118" s="132">
        <f t="shared" si="72"/>
        <v>0</v>
      </c>
      <c r="K118" s="132">
        <f t="shared" si="72"/>
        <v>0</v>
      </c>
      <c r="L118" s="132">
        <f t="shared" si="72"/>
        <v>2136.4273513920939</v>
      </c>
      <c r="M118" s="132">
        <f t="shared" si="72"/>
        <v>2357.4370773981705</v>
      </c>
      <c r="N118" s="132">
        <f t="shared" si="72"/>
        <v>4420.194520121564</v>
      </c>
    </row>
    <row r="121" spans="1:15">
      <c r="A121" t="s">
        <v>2541</v>
      </c>
      <c r="B121" s="89">
        <f t="shared" ref="B121" si="73">AVERAGE(C121:N121)</f>
        <v>604.41531633712111</v>
      </c>
      <c r="C121" s="132">
        <f>C105+C106</f>
        <v>1450.5967592090908</v>
      </c>
      <c r="D121" s="132">
        <f t="shared" ref="D121:N121" si="74">D105+D106</f>
        <v>317.31804107699071</v>
      </c>
      <c r="E121" s="132">
        <f t="shared" si="74"/>
        <v>0</v>
      </c>
      <c r="F121" s="132">
        <f t="shared" si="74"/>
        <v>0</v>
      </c>
      <c r="G121" s="132">
        <f t="shared" si="74"/>
        <v>0</v>
      </c>
      <c r="H121" s="132">
        <f t="shared" si="74"/>
        <v>0</v>
      </c>
      <c r="I121" s="132">
        <f t="shared" si="74"/>
        <v>0</v>
      </c>
      <c r="J121" s="132">
        <f t="shared" si="74"/>
        <v>0</v>
      </c>
      <c r="K121" s="132">
        <f t="shared" si="74"/>
        <v>0</v>
      </c>
      <c r="L121" s="132">
        <f t="shared" si="74"/>
        <v>1314.6033130332394</v>
      </c>
      <c r="M121" s="132">
        <f t="shared" si="74"/>
        <v>1450.5967592090908</v>
      </c>
      <c r="N121" s="132">
        <f t="shared" si="74"/>
        <v>2719.8689235170418</v>
      </c>
    </row>
  </sheetData>
  <phoneticPr fontId="0" type="noConversion"/>
  <printOptions horizontalCentered="1"/>
  <pageMargins left="0.42" right="0.34" top="0.5" bottom="0.5" header="0.5" footer="0.4"/>
  <pageSetup scale="64" orientation="landscape" r:id="rId1"/>
  <headerFooter alignWithMargins="0">
    <oddHeader>&amp;RPage &amp;P</oddHeader>
    <oddFooter>&amp;C&amp;F &amp;A &amp;D</oddFooter>
  </headerFooter>
  <rowBreaks count="2" manualBreakCount="2">
    <brk id="68" max="13" man="1"/>
    <brk id="174" max="6553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O179"/>
  <sheetViews>
    <sheetView topLeftCell="A65" workbookViewId="0">
      <selection activeCell="E156" sqref="E156"/>
    </sheetView>
  </sheetViews>
  <sheetFormatPr defaultRowHeight="12.75" outlineLevelRow="1"/>
  <cols>
    <col min="1" max="1" width="31.1640625" customWidth="1"/>
    <col min="2" max="2" width="11.6640625" customWidth="1"/>
    <col min="3" max="14" width="12.33203125" customWidth="1"/>
    <col min="15" max="15" width="13" customWidth="1"/>
  </cols>
  <sheetData>
    <row r="1" spans="1:15">
      <c r="A1" t="s">
        <v>319</v>
      </c>
    </row>
    <row r="2" spans="1:15">
      <c r="A2" s="13" t="s">
        <v>378</v>
      </c>
    </row>
    <row r="3" spans="1:15">
      <c r="A3" s="164" t="s">
        <v>2501</v>
      </c>
    </row>
    <row r="4" spans="1:15">
      <c r="A4" t="s">
        <v>283</v>
      </c>
    </row>
    <row r="5" spans="1:15" ht="12.75" customHeight="1">
      <c r="A5" s="30" t="str">
        <f>RIGHT(A3,4)</f>
        <v>2019</v>
      </c>
      <c r="C5" s="105">
        <f>DATE($A5,COLUMN(C1)-COLUMN($C1)+2,0)</f>
        <v>43496</v>
      </c>
      <c r="D5" s="105">
        <f t="shared" ref="D5:N5" si="0">DATE($A5,COLUMN(D1)-COLUMN($C1)+2,0)</f>
        <v>43524</v>
      </c>
      <c r="E5" s="105">
        <f t="shared" si="0"/>
        <v>43555</v>
      </c>
      <c r="F5" s="105">
        <f t="shared" si="0"/>
        <v>43585</v>
      </c>
      <c r="G5" s="105">
        <f t="shared" si="0"/>
        <v>43616</v>
      </c>
      <c r="H5" s="105">
        <f t="shared" si="0"/>
        <v>43646</v>
      </c>
      <c r="I5" s="105">
        <f t="shared" si="0"/>
        <v>43677</v>
      </c>
      <c r="J5" s="105">
        <f t="shared" si="0"/>
        <v>43708</v>
      </c>
      <c r="K5" s="105">
        <f t="shared" si="0"/>
        <v>43738</v>
      </c>
      <c r="L5" s="105">
        <f t="shared" si="0"/>
        <v>43769</v>
      </c>
      <c r="M5" s="105">
        <f t="shared" si="0"/>
        <v>43799</v>
      </c>
      <c r="N5" s="105">
        <f t="shared" si="0"/>
        <v>43830</v>
      </c>
    </row>
    <row r="6" spans="1:15">
      <c r="A6" s="3" t="s">
        <v>2451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3" t="s">
        <v>284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outlineLevel="1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7"/>
    </row>
    <row r="9" spans="1:15" outlineLevel="1">
      <c r="A9" s="3" t="s">
        <v>252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/>
    </row>
    <row r="10" spans="1:15" outlineLevel="1">
      <c r="A10" t="s">
        <v>253</v>
      </c>
      <c r="C10" s="236">
        <v>507848.69</v>
      </c>
      <c r="D10" s="236">
        <v>624592.67000000004</v>
      </c>
      <c r="E10" s="236">
        <v>561716.97</v>
      </c>
      <c r="F10" s="236">
        <v>353689.46</v>
      </c>
      <c r="G10" s="236">
        <v>318933.53999999998</v>
      </c>
      <c r="H10" s="236">
        <v>364476.09</v>
      </c>
      <c r="I10" s="236">
        <v>546251.81999999995</v>
      </c>
      <c r="J10" s="236">
        <v>497044.11</v>
      </c>
      <c r="K10" s="236">
        <v>473685.39</v>
      </c>
      <c r="L10" s="236">
        <v>402146.48</v>
      </c>
      <c r="M10" s="236">
        <v>519493.65</v>
      </c>
      <c r="N10" s="236">
        <v>667793.93000000005</v>
      </c>
      <c r="O10" s="77"/>
    </row>
    <row r="11" spans="1:15" outlineLevel="1">
      <c r="A11" t="s">
        <v>254</v>
      </c>
      <c r="C11" s="236">
        <v>113663.72</v>
      </c>
      <c r="D11" s="236">
        <v>129671.11</v>
      </c>
      <c r="E11" s="236">
        <v>107434.2</v>
      </c>
      <c r="F11" s="236">
        <v>96963</v>
      </c>
      <c r="G11" s="236">
        <v>105680.87</v>
      </c>
      <c r="H11" s="236">
        <v>109290.04</v>
      </c>
      <c r="I11" s="236">
        <v>128986.91</v>
      </c>
      <c r="J11" s="236">
        <v>118837.75</v>
      </c>
      <c r="K11" s="236">
        <v>110384.67</v>
      </c>
      <c r="L11" s="236">
        <v>96624.53</v>
      </c>
      <c r="M11" s="236">
        <v>108900.6</v>
      </c>
      <c r="N11" s="236">
        <v>118071.66</v>
      </c>
      <c r="O11" s="77"/>
    </row>
    <row r="12" spans="1:15" outlineLevel="1">
      <c r="A12" t="s">
        <v>321</v>
      </c>
      <c r="C12" s="236">
        <v>212068.28</v>
      </c>
      <c r="D12" s="236">
        <v>216809.85</v>
      </c>
      <c r="E12" s="236">
        <v>199018.7</v>
      </c>
      <c r="F12" s="236">
        <v>221250.98</v>
      </c>
      <c r="G12" s="236">
        <v>239637.25</v>
      </c>
      <c r="H12" s="236">
        <v>234600.7</v>
      </c>
      <c r="I12" s="236">
        <v>251224.25</v>
      </c>
      <c r="J12" s="236">
        <v>242479.11</v>
      </c>
      <c r="K12" s="236">
        <v>260012.03</v>
      </c>
      <c r="L12" s="236">
        <v>209256.07</v>
      </c>
      <c r="M12" s="236">
        <v>214619</v>
      </c>
      <c r="N12" s="236">
        <v>224310.65</v>
      </c>
      <c r="O12" s="77"/>
    </row>
    <row r="13" spans="1:15" outlineLevel="1">
      <c r="A13" t="s">
        <v>273</v>
      </c>
      <c r="C13" s="236">
        <v>26568.880000000001</v>
      </c>
      <c r="D13" s="236">
        <v>26881.06</v>
      </c>
      <c r="E13" s="236">
        <v>25548.69</v>
      </c>
      <c r="F13" s="236">
        <v>26545.02</v>
      </c>
      <c r="G13" s="236">
        <v>26872.16</v>
      </c>
      <c r="H13" s="236">
        <v>25681.78</v>
      </c>
      <c r="I13" s="236">
        <v>27674.55</v>
      </c>
      <c r="J13" s="236">
        <v>26976.63</v>
      </c>
      <c r="K13" s="236">
        <v>26485.07</v>
      </c>
      <c r="L13" s="236">
        <v>23622.33</v>
      </c>
      <c r="M13" s="236">
        <v>23919.74</v>
      </c>
      <c r="N13" s="236">
        <v>25413.5</v>
      </c>
      <c r="O13" s="77"/>
    </row>
    <row r="14" spans="1:15" outlineLevel="1">
      <c r="A14" t="s">
        <v>256</v>
      </c>
      <c r="C14" s="236">
        <v>14337.37</v>
      </c>
      <c r="D14" s="236">
        <v>10953.91</v>
      </c>
      <c r="E14" s="236">
        <v>9774.14</v>
      </c>
      <c r="F14" s="236">
        <v>20503.330000000002</v>
      </c>
      <c r="G14" s="236">
        <v>51744.84</v>
      </c>
      <c r="H14" s="236">
        <v>54919.98</v>
      </c>
      <c r="I14" s="236">
        <v>52109.81</v>
      </c>
      <c r="J14" s="236">
        <v>40017.31</v>
      </c>
      <c r="K14" s="236">
        <v>33834.89</v>
      </c>
      <c r="L14" s="236">
        <v>16178.41</v>
      </c>
      <c r="M14" s="236">
        <v>11972.72</v>
      </c>
      <c r="N14" s="236">
        <v>11511.68</v>
      </c>
      <c r="O14" s="77"/>
    </row>
    <row r="15" spans="1:15" outlineLevel="1">
      <c r="A15" t="s">
        <v>257</v>
      </c>
      <c r="C15" s="96">
        <f t="shared" ref="C15:N15" si="1">SUM(C10:C14)</f>
        <v>874486.94000000006</v>
      </c>
      <c r="D15" s="96">
        <f t="shared" si="1"/>
        <v>1008908.6000000001</v>
      </c>
      <c r="E15" s="96">
        <f t="shared" si="1"/>
        <v>903492.69999999984</v>
      </c>
      <c r="F15" s="96">
        <f t="shared" si="1"/>
        <v>718951.79</v>
      </c>
      <c r="G15" s="96">
        <f t="shared" si="1"/>
        <v>742868.65999999992</v>
      </c>
      <c r="H15" s="96">
        <f t="shared" si="1"/>
        <v>788968.59000000008</v>
      </c>
      <c r="I15" s="96">
        <f t="shared" si="1"/>
        <v>1006247.3400000001</v>
      </c>
      <c r="J15" s="96">
        <f t="shared" si="1"/>
        <v>925354.90999999992</v>
      </c>
      <c r="K15" s="96">
        <f t="shared" si="1"/>
        <v>904402.05</v>
      </c>
      <c r="L15" s="96">
        <f t="shared" si="1"/>
        <v>747827.82000000007</v>
      </c>
      <c r="M15" s="96">
        <f t="shared" si="1"/>
        <v>878905.71</v>
      </c>
      <c r="N15" s="96">
        <f t="shared" si="1"/>
        <v>1047101.4200000002</v>
      </c>
      <c r="O15" s="77"/>
    </row>
    <row r="16" spans="1:15">
      <c r="C16" s="9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7"/>
    </row>
    <row r="17" spans="1:15" hidden="1" outlineLevel="1">
      <c r="A17" s="3" t="s">
        <v>258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7"/>
    </row>
    <row r="18" spans="1:15" hidden="1" outlineLevel="1">
      <c r="A18" t="s">
        <v>253</v>
      </c>
      <c r="C18" s="63">
        <v>278665.17</v>
      </c>
      <c r="D18" s="63">
        <v>332295.90999999997</v>
      </c>
      <c r="E18" s="63">
        <v>308302.63</v>
      </c>
      <c r="F18" s="63">
        <v>206622.77</v>
      </c>
      <c r="G18" s="63">
        <v>170404.93</v>
      </c>
      <c r="H18" s="63">
        <v>174478.24</v>
      </c>
      <c r="I18" s="63">
        <v>248396.94</v>
      </c>
      <c r="J18" s="63">
        <v>222555.47</v>
      </c>
      <c r="K18" s="63">
        <v>214493.19</v>
      </c>
      <c r="L18" s="63">
        <v>196320.37</v>
      </c>
      <c r="M18" s="63">
        <v>252404.2</v>
      </c>
      <c r="N18" s="63">
        <v>336893.8</v>
      </c>
      <c r="O18" s="77"/>
    </row>
    <row r="19" spans="1:15" hidden="1" outlineLevel="1">
      <c r="A19" t="s">
        <v>254</v>
      </c>
      <c r="C19" s="63">
        <v>75217.59</v>
      </c>
      <c r="D19" s="63">
        <v>86493.68</v>
      </c>
      <c r="E19" s="63">
        <v>70605.22</v>
      </c>
      <c r="F19" s="63">
        <v>60612.21</v>
      </c>
      <c r="G19" s="63">
        <v>61331.33</v>
      </c>
      <c r="H19" s="63">
        <v>60730.2</v>
      </c>
      <c r="I19" s="63">
        <v>73788.710000000006</v>
      </c>
      <c r="J19" s="63">
        <v>69675.820000000007</v>
      </c>
      <c r="K19" s="63">
        <v>68675.5</v>
      </c>
      <c r="L19" s="63">
        <v>55909.59</v>
      </c>
      <c r="M19" s="63">
        <v>66035.37</v>
      </c>
      <c r="N19" s="63">
        <v>89776.39</v>
      </c>
      <c r="O19" s="77"/>
    </row>
    <row r="20" spans="1:15" hidden="1" outlineLevel="1">
      <c r="A20" t="s">
        <v>321</v>
      </c>
      <c r="C20" s="63">
        <v>118829.55</v>
      </c>
      <c r="D20" s="63">
        <v>117905.69</v>
      </c>
      <c r="E20" s="63">
        <v>112281.69</v>
      </c>
      <c r="F20" s="63">
        <v>116846.09</v>
      </c>
      <c r="G20" s="63">
        <v>120049.77</v>
      </c>
      <c r="H20" s="63">
        <v>120410.59</v>
      </c>
      <c r="I20" s="63">
        <v>124835.45</v>
      </c>
      <c r="J20" s="63">
        <v>124546.7</v>
      </c>
      <c r="K20" s="63">
        <v>124746.58</v>
      </c>
      <c r="L20" s="63">
        <v>113195.98</v>
      </c>
      <c r="M20" s="63">
        <v>118912.81</v>
      </c>
      <c r="N20" s="63">
        <v>122350.82</v>
      </c>
      <c r="O20" s="77"/>
    </row>
    <row r="21" spans="1:15" hidden="1" outlineLevel="1">
      <c r="A21" t="s">
        <v>273</v>
      </c>
      <c r="C21" s="63">
        <v>18992.759999999998</v>
      </c>
      <c r="D21" s="63">
        <v>18926.189999999999</v>
      </c>
      <c r="E21" s="63">
        <v>17507.12</v>
      </c>
      <c r="F21" s="63">
        <v>18085.599999999999</v>
      </c>
      <c r="G21" s="63">
        <v>16812.52</v>
      </c>
      <c r="H21" s="63">
        <v>17739.599999999999</v>
      </c>
      <c r="I21" s="63">
        <v>15957.95</v>
      </c>
      <c r="J21" s="63">
        <v>16271.12</v>
      </c>
      <c r="K21" s="63">
        <v>16456.349999999999</v>
      </c>
      <c r="L21" s="63">
        <v>16780.810000000001</v>
      </c>
      <c r="M21" s="63">
        <v>17982.3</v>
      </c>
      <c r="N21" s="63">
        <v>18463.48</v>
      </c>
      <c r="O21" s="77"/>
    </row>
    <row r="22" spans="1:15" hidden="1" outlineLevel="1">
      <c r="A22" t="s">
        <v>256</v>
      </c>
      <c r="C22" s="63">
        <v>13048.9</v>
      </c>
      <c r="D22" s="63">
        <v>12837.85</v>
      </c>
      <c r="E22" s="63">
        <v>17073.66</v>
      </c>
      <c r="F22" s="63">
        <v>12472.93</v>
      </c>
      <c r="G22" s="63">
        <v>20908.29</v>
      </c>
      <c r="H22" s="63">
        <v>19728.16</v>
      </c>
      <c r="I22" s="63">
        <v>37122.54</v>
      </c>
      <c r="J22" s="63">
        <v>24572.9</v>
      </c>
      <c r="K22" s="63">
        <v>24609.200000000001</v>
      </c>
      <c r="L22" s="63">
        <v>13409.19</v>
      </c>
      <c r="M22" s="63">
        <v>12741.64</v>
      </c>
      <c r="N22" s="63">
        <v>13508.82</v>
      </c>
      <c r="O22" s="77"/>
    </row>
    <row r="23" spans="1:15" hidden="1" outlineLevel="1">
      <c r="A23" t="s">
        <v>259</v>
      </c>
      <c r="C23" s="98">
        <f t="shared" ref="C23:N23" si="2">SUM(C18:C22)</f>
        <v>504753.97000000003</v>
      </c>
      <c r="D23" s="98">
        <f t="shared" si="2"/>
        <v>568459.31999999995</v>
      </c>
      <c r="E23" s="98">
        <f t="shared" si="2"/>
        <v>525770.31999999995</v>
      </c>
      <c r="F23" s="98">
        <f t="shared" si="2"/>
        <v>414639.59999999992</v>
      </c>
      <c r="G23" s="98">
        <f t="shared" si="2"/>
        <v>389506.84</v>
      </c>
      <c r="H23" s="98">
        <f t="shared" si="2"/>
        <v>393086.79</v>
      </c>
      <c r="I23" s="98">
        <f t="shared" si="2"/>
        <v>500101.59</v>
      </c>
      <c r="J23" s="98">
        <f t="shared" si="2"/>
        <v>457622.01000000007</v>
      </c>
      <c r="K23" s="98">
        <f t="shared" si="2"/>
        <v>448980.82</v>
      </c>
      <c r="L23" s="98">
        <f t="shared" si="2"/>
        <v>395615.94</v>
      </c>
      <c r="M23" s="98">
        <f t="shared" si="2"/>
        <v>468076.32</v>
      </c>
      <c r="N23" s="98">
        <f t="shared" si="2"/>
        <v>580993.30999999994</v>
      </c>
      <c r="O23" s="77"/>
    </row>
    <row r="24" spans="1:15" hidden="1" outlineLevel="1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collapsed="1">
      <c r="A25" s="3" t="s">
        <v>260</v>
      </c>
      <c r="C25" s="99" t="s">
        <v>261</v>
      </c>
      <c r="D25" s="99" t="s">
        <v>262</v>
      </c>
      <c r="E25" s="99" t="s">
        <v>263</v>
      </c>
      <c r="F25" s="99" t="s">
        <v>264</v>
      </c>
      <c r="G25" s="99" t="s">
        <v>265</v>
      </c>
      <c r="H25" s="99" t="s">
        <v>266</v>
      </c>
      <c r="I25" s="99" t="s">
        <v>267</v>
      </c>
      <c r="J25" s="99" t="s">
        <v>268</v>
      </c>
      <c r="K25" s="99" t="s">
        <v>269</v>
      </c>
      <c r="L25" s="99" t="s">
        <v>270</v>
      </c>
      <c r="M25" s="99" t="s">
        <v>271</v>
      </c>
      <c r="N25" s="99" t="s">
        <v>272</v>
      </c>
      <c r="O25" s="77"/>
    </row>
    <row r="26" spans="1:15" outlineLevel="1">
      <c r="A26" s="3" t="s">
        <v>252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outlineLevel="1">
      <c r="A27" t="str">
        <f>A10</f>
        <v>Schedule 1</v>
      </c>
      <c r="C27" s="236">
        <v>274145636.94</v>
      </c>
      <c r="D27" s="236">
        <v>264080031.38</v>
      </c>
      <c r="E27" s="236">
        <v>225090809.40000001</v>
      </c>
      <c r="F27" s="236">
        <v>175969889.75999999</v>
      </c>
      <c r="G27" s="236">
        <v>157862499.27000001</v>
      </c>
      <c r="H27" s="236">
        <v>157780438.08000001</v>
      </c>
      <c r="I27" s="236">
        <v>224439339.38</v>
      </c>
      <c r="J27" s="236">
        <v>206247756.84</v>
      </c>
      <c r="K27" s="236">
        <v>171964807.30000001</v>
      </c>
      <c r="L27" s="236">
        <v>194630473.93000001</v>
      </c>
      <c r="M27" s="236">
        <v>243789672.81999999</v>
      </c>
      <c r="N27" s="236">
        <v>310636626.92000002</v>
      </c>
      <c r="O27" s="77"/>
    </row>
    <row r="28" spans="1:15" outlineLevel="1">
      <c r="A28" t="str">
        <f>A11</f>
        <v>Schedule 11/12</v>
      </c>
      <c r="C28" s="236">
        <v>60470813.119999997</v>
      </c>
      <c r="D28" s="236">
        <v>55841909.32</v>
      </c>
      <c r="E28" s="236">
        <v>53036987.990000002</v>
      </c>
      <c r="F28" s="236">
        <v>46792751.079999998</v>
      </c>
      <c r="G28" s="236">
        <v>46682773.560000002</v>
      </c>
      <c r="H28" s="236">
        <v>46086295.780000001</v>
      </c>
      <c r="I28" s="236">
        <v>56493222.020000003</v>
      </c>
      <c r="J28" s="236">
        <v>53658065.369999997</v>
      </c>
      <c r="K28" s="236">
        <v>48977016.119999997</v>
      </c>
      <c r="L28" s="236">
        <v>49930255.509999998</v>
      </c>
      <c r="M28" s="236">
        <v>54443209.960000001</v>
      </c>
      <c r="N28" s="236">
        <v>61779452.390000001</v>
      </c>
      <c r="O28" s="77"/>
    </row>
    <row r="29" spans="1:15" outlineLevel="1">
      <c r="A29" t="str">
        <f>A12</f>
        <v>Schedule 21/22 Secondary</v>
      </c>
      <c r="C29" s="236">
        <v>115112236.29000001</v>
      </c>
      <c r="D29" s="236">
        <v>104931143.40000001</v>
      </c>
      <c r="E29" s="236">
        <v>109549055.5</v>
      </c>
      <c r="F29" s="236">
        <v>105331705.25</v>
      </c>
      <c r="G29" s="236">
        <v>113503682.45</v>
      </c>
      <c r="H29" s="236">
        <v>110129391.06999999</v>
      </c>
      <c r="I29" s="236">
        <v>125768613.09</v>
      </c>
      <c r="J29" s="236">
        <v>125685575.77</v>
      </c>
      <c r="K29" s="236">
        <v>115178491.26000001</v>
      </c>
      <c r="L29" s="236">
        <v>113349590.45999999</v>
      </c>
      <c r="M29" s="236">
        <v>111319943.55</v>
      </c>
      <c r="N29" s="236">
        <v>116194385.64</v>
      </c>
      <c r="O29" s="77"/>
    </row>
    <row r="30" spans="1:15" outlineLevel="1">
      <c r="A30" t="str">
        <f>A13</f>
        <v>Schedule 21 Primary</v>
      </c>
      <c r="C30" s="236">
        <v>12824351.640000001</v>
      </c>
      <c r="D30" s="236">
        <v>12259201.57</v>
      </c>
      <c r="E30" s="236">
        <v>12736146.960000001</v>
      </c>
      <c r="F30" s="236">
        <v>12102715.9</v>
      </c>
      <c r="G30" s="236">
        <v>12288086.199999999</v>
      </c>
      <c r="H30" s="236">
        <v>11776620.6</v>
      </c>
      <c r="I30" s="236">
        <v>12892900.51</v>
      </c>
      <c r="J30" s="236">
        <v>12584113.49</v>
      </c>
      <c r="K30" s="236">
        <v>11365458.439999999</v>
      </c>
      <c r="L30" s="236">
        <v>12077046.49</v>
      </c>
      <c r="M30" s="236">
        <v>11618844.949999999</v>
      </c>
      <c r="N30" s="236">
        <v>12838879.140000001</v>
      </c>
      <c r="O30" s="77"/>
    </row>
    <row r="31" spans="1:15" outlineLevel="1">
      <c r="A31" t="str">
        <f>A14</f>
        <v>Schedule 31/32</v>
      </c>
      <c r="C31" s="236">
        <v>6066578.9100000001</v>
      </c>
      <c r="D31" s="236">
        <v>4344676.3899999997</v>
      </c>
      <c r="E31" s="236">
        <v>4776252.45</v>
      </c>
      <c r="F31" s="236">
        <v>6097816.1799999997</v>
      </c>
      <c r="G31" s="236">
        <v>17895192.460000001</v>
      </c>
      <c r="H31" s="236">
        <v>24228254.890000001</v>
      </c>
      <c r="I31" s="236">
        <v>26393810.52</v>
      </c>
      <c r="J31" s="236">
        <v>21159226.239999998</v>
      </c>
      <c r="K31" s="236">
        <v>11680999.460000001</v>
      </c>
      <c r="L31" s="236">
        <v>6785895.6299999999</v>
      </c>
      <c r="M31" s="236">
        <v>5290683.59</v>
      </c>
      <c r="N31" s="236">
        <v>5071140.78</v>
      </c>
      <c r="O31" s="77"/>
    </row>
    <row r="32" spans="1:15" outlineLevel="1">
      <c r="A32" t="s">
        <v>257</v>
      </c>
      <c r="C32" s="100">
        <f t="shared" ref="C32:N32" si="3">SUM(C27:C31)</f>
        <v>468619616.90000004</v>
      </c>
      <c r="D32" s="100">
        <f t="shared" si="3"/>
        <v>441456962.06</v>
      </c>
      <c r="E32" s="100">
        <f t="shared" si="3"/>
        <v>405189252.29999995</v>
      </c>
      <c r="F32" s="100">
        <f t="shared" si="3"/>
        <v>346294878.16999996</v>
      </c>
      <c r="G32" s="100">
        <f t="shared" si="3"/>
        <v>348232233.94</v>
      </c>
      <c r="H32" s="100">
        <f t="shared" si="3"/>
        <v>350001000.42000002</v>
      </c>
      <c r="I32" s="100">
        <f t="shared" si="3"/>
        <v>445987885.51999998</v>
      </c>
      <c r="J32" s="100">
        <f t="shared" si="3"/>
        <v>419334737.71000004</v>
      </c>
      <c r="K32" s="100">
        <f t="shared" si="3"/>
        <v>359166772.57999998</v>
      </c>
      <c r="L32" s="100">
        <f t="shared" si="3"/>
        <v>376773262.01999998</v>
      </c>
      <c r="M32" s="100">
        <f t="shared" si="3"/>
        <v>426462354.86999995</v>
      </c>
      <c r="N32" s="100">
        <f t="shared" si="3"/>
        <v>506520484.86999995</v>
      </c>
      <c r="O32" s="77"/>
    </row>
    <row r="33" spans="1:1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idden="1" outlineLevel="1">
      <c r="A34" s="3" t="s">
        <v>258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idden="1" outlineLevel="1">
      <c r="A35" t="str">
        <f>A18</f>
        <v>Schedule 1</v>
      </c>
      <c r="C35" s="82">
        <v>139199851.49000001</v>
      </c>
      <c r="D35" s="82">
        <v>133633182.54000001</v>
      </c>
      <c r="E35" s="82">
        <v>117635348.72</v>
      </c>
      <c r="F35" s="82">
        <v>98131288.810000002</v>
      </c>
      <c r="G35" s="82">
        <v>80754914.159999996</v>
      </c>
      <c r="H35" s="82">
        <v>71756362.170000002</v>
      </c>
      <c r="I35" s="82">
        <v>93213781.980000004</v>
      </c>
      <c r="J35" s="82">
        <v>87867556.829999998</v>
      </c>
      <c r="K35" s="82">
        <v>76735058.519999996</v>
      </c>
      <c r="L35" s="82">
        <v>93922380.469999999</v>
      </c>
      <c r="M35" s="82">
        <v>113844327.09</v>
      </c>
      <c r="N35" s="82">
        <v>151248173.59</v>
      </c>
      <c r="O35" s="77"/>
    </row>
    <row r="36" spans="1:15" hidden="1" outlineLevel="1">
      <c r="A36" t="str">
        <f t="shared" ref="A36:A38" si="4">A19</f>
        <v>Schedule 11/12</v>
      </c>
      <c r="C36" s="82">
        <v>41202569.990000002</v>
      </c>
      <c r="D36" s="82">
        <v>38804160.670000002</v>
      </c>
      <c r="E36" s="82">
        <v>35187479.640000001</v>
      </c>
      <c r="F36" s="82">
        <v>28766972.739999998</v>
      </c>
      <c r="G36" s="82">
        <v>26714399.829999998</v>
      </c>
      <c r="H36" s="82">
        <v>25857421.469999999</v>
      </c>
      <c r="I36" s="82">
        <v>30614799.57</v>
      </c>
      <c r="J36" s="82">
        <v>30620453.379999999</v>
      </c>
      <c r="K36" s="82">
        <v>27728993.440000001</v>
      </c>
      <c r="L36" s="82">
        <v>29961500.75</v>
      </c>
      <c r="M36" s="82">
        <v>33281014.879999999</v>
      </c>
      <c r="N36" s="82">
        <v>44164859.32</v>
      </c>
      <c r="O36" s="77"/>
    </row>
    <row r="37" spans="1:15" hidden="1" outlineLevel="1">
      <c r="A37" t="str">
        <f t="shared" si="4"/>
        <v>Schedule 21/22 Secondary</v>
      </c>
      <c r="C37" s="82">
        <v>56186903.710000001</v>
      </c>
      <c r="D37" s="82">
        <v>51509767.990000002</v>
      </c>
      <c r="E37" s="82">
        <v>53661657.289999999</v>
      </c>
      <c r="F37" s="82">
        <v>53115637.18</v>
      </c>
      <c r="G37" s="82">
        <v>54068840.030000001</v>
      </c>
      <c r="H37" s="82">
        <v>52531517.93</v>
      </c>
      <c r="I37" s="82">
        <v>54490134.920000002</v>
      </c>
      <c r="J37" s="82">
        <v>57049651.210000001</v>
      </c>
      <c r="K37" s="82">
        <v>52937224.079999998</v>
      </c>
      <c r="L37" s="82">
        <v>54269426.649999999</v>
      </c>
      <c r="M37" s="82">
        <v>53720422.539999999</v>
      </c>
      <c r="N37" s="82">
        <v>57454741.899999999</v>
      </c>
      <c r="O37" s="77"/>
    </row>
    <row r="38" spans="1:15" hidden="1" outlineLevel="1">
      <c r="A38" t="str">
        <f t="shared" si="4"/>
        <v>Schedule 21 Primary</v>
      </c>
      <c r="C38" s="82">
        <v>9059799.4100000001</v>
      </c>
      <c r="D38" s="82">
        <v>8238944.3799999999</v>
      </c>
      <c r="E38" s="82">
        <v>8825853.4100000001</v>
      </c>
      <c r="F38" s="82">
        <v>8409761.4600000009</v>
      </c>
      <c r="G38" s="82">
        <v>8123746.7699999996</v>
      </c>
      <c r="H38" s="82">
        <v>8107965.46</v>
      </c>
      <c r="I38" s="82">
        <v>7835964.3300000001</v>
      </c>
      <c r="J38" s="82">
        <v>7778007.8300000001</v>
      </c>
      <c r="K38" s="82">
        <v>7506774.9100000001</v>
      </c>
      <c r="L38" s="82">
        <v>8245671.3399999999</v>
      </c>
      <c r="M38" s="82">
        <v>8403416.1699999999</v>
      </c>
      <c r="N38" s="82">
        <v>8940971.5999999996</v>
      </c>
      <c r="O38" s="77"/>
    </row>
    <row r="39" spans="1:15" hidden="1" outlineLevel="1">
      <c r="A39" t="str">
        <f>A22</f>
        <v>Schedule 31/32</v>
      </c>
      <c r="C39" s="82">
        <v>3157426.16</v>
      </c>
      <c r="D39" s="82">
        <v>3122714.45</v>
      </c>
      <c r="E39" s="82">
        <v>3260629.3</v>
      </c>
      <c r="F39" s="82">
        <v>2974703.96</v>
      </c>
      <c r="G39" s="82">
        <v>4298937.88</v>
      </c>
      <c r="H39" s="82">
        <v>6269028.5099999998</v>
      </c>
      <c r="I39" s="82">
        <v>12076616.6</v>
      </c>
      <c r="J39" s="82">
        <v>9769644.0299999993</v>
      </c>
      <c r="K39" s="82">
        <v>6942761.71</v>
      </c>
      <c r="L39" s="82">
        <v>3634800.6400000001</v>
      </c>
      <c r="M39" s="82">
        <v>2733408</v>
      </c>
      <c r="N39" s="82">
        <v>3138474.66</v>
      </c>
      <c r="O39" s="77"/>
    </row>
    <row r="40" spans="1:15" hidden="1" outlineLevel="1">
      <c r="A40" t="s">
        <v>259</v>
      </c>
      <c r="C40" s="101">
        <f t="shared" ref="C40:N40" si="5">SUM(C35:C39)</f>
        <v>248806550.76000002</v>
      </c>
      <c r="D40" s="101">
        <f t="shared" si="5"/>
        <v>235308770.03</v>
      </c>
      <c r="E40" s="101">
        <f t="shared" si="5"/>
        <v>218570968.36000001</v>
      </c>
      <c r="F40" s="101">
        <f t="shared" si="5"/>
        <v>191398364.15000001</v>
      </c>
      <c r="G40" s="101">
        <f t="shared" si="5"/>
        <v>173960838.66999999</v>
      </c>
      <c r="H40" s="101">
        <f t="shared" si="5"/>
        <v>164522295.53999999</v>
      </c>
      <c r="I40" s="101">
        <f t="shared" si="5"/>
        <v>198231297.40000004</v>
      </c>
      <c r="J40" s="101">
        <f t="shared" si="5"/>
        <v>193085313.28</v>
      </c>
      <c r="K40" s="101">
        <f t="shared" si="5"/>
        <v>171850812.66</v>
      </c>
      <c r="L40" s="101">
        <f t="shared" si="5"/>
        <v>190033779.84999999</v>
      </c>
      <c r="M40" s="101">
        <f t="shared" si="5"/>
        <v>211982588.67999998</v>
      </c>
      <c r="N40" s="101">
        <f t="shared" si="5"/>
        <v>264947221.06999999</v>
      </c>
      <c r="O40" s="77"/>
    </row>
    <row r="41" spans="1:15" hidden="1" outlineLevel="1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collapsed="1">
      <c r="C42" s="123">
        <f>C$5</f>
        <v>43496</v>
      </c>
      <c r="D42" s="123">
        <f t="shared" ref="D42:N42" si="6">D$5</f>
        <v>43524</v>
      </c>
      <c r="E42" s="123">
        <f t="shared" si="6"/>
        <v>43555</v>
      </c>
      <c r="F42" s="123">
        <f t="shared" si="6"/>
        <v>43585</v>
      </c>
      <c r="G42" s="123">
        <f t="shared" si="6"/>
        <v>43616</v>
      </c>
      <c r="H42" s="123">
        <f t="shared" si="6"/>
        <v>43646</v>
      </c>
      <c r="I42" s="123">
        <f t="shared" si="6"/>
        <v>43677</v>
      </c>
      <c r="J42" s="123">
        <f t="shared" si="6"/>
        <v>43708</v>
      </c>
      <c r="K42" s="123">
        <f t="shared" si="6"/>
        <v>43738</v>
      </c>
      <c r="L42" s="123">
        <f t="shared" si="6"/>
        <v>43769</v>
      </c>
      <c r="M42" s="123">
        <f t="shared" si="6"/>
        <v>43799</v>
      </c>
      <c r="N42" s="123">
        <f t="shared" si="6"/>
        <v>43830</v>
      </c>
      <c r="O42" s="77"/>
    </row>
    <row r="43" spans="1:15">
      <c r="A43" s="3" t="s">
        <v>2452</v>
      </c>
      <c r="C43" s="83">
        <f>IF(MONTH(C$5)=IF($A$5+0&gt;2006,3,4),-1,IF(MONTH(C$5)=IF($A$5+0&gt;2006,11,10),1))+DAY(C$5)*24</f>
        <v>744</v>
      </c>
      <c r="D43" s="83">
        <f>IF(MONTH(D$5)=IF($A$5+0&gt;2006,3,4),-1,IF(MONTH(D$5)=IF($A$5+0&gt;2006,11,10),1))+DAY(D$5)*24</f>
        <v>672</v>
      </c>
      <c r="E43" s="83">
        <f t="shared" ref="E43:N43" si="7">IF(MONTH(E$5)=IF($A$5+0&gt;2006,3,4),-1,IF(MONTH(E$5)=IF($A$5+0&gt;2006,11,10),1))+DAY(E$5)*24</f>
        <v>743</v>
      </c>
      <c r="F43" s="83">
        <f t="shared" si="7"/>
        <v>720</v>
      </c>
      <c r="G43" s="83">
        <f t="shared" si="7"/>
        <v>744</v>
      </c>
      <c r="H43" s="83">
        <f t="shared" si="7"/>
        <v>720</v>
      </c>
      <c r="I43" s="83">
        <f t="shared" si="7"/>
        <v>744</v>
      </c>
      <c r="J43" s="83">
        <f t="shared" si="7"/>
        <v>744</v>
      </c>
      <c r="K43" s="83">
        <f t="shared" si="7"/>
        <v>720</v>
      </c>
      <c r="L43" s="83">
        <f t="shared" si="7"/>
        <v>744</v>
      </c>
      <c r="M43" s="83">
        <f t="shared" si="7"/>
        <v>721</v>
      </c>
      <c r="N43" s="83">
        <f t="shared" si="7"/>
        <v>744</v>
      </c>
      <c r="O43" s="77"/>
    </row>
    <row r="44" spans="1:15" outlineLevel="1">
      <c r="A44" s="3" t="s">
        <v>252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77"/>
    </row>
    <row r="45" spans="1:15" outlineLevel="1">
      <c r="A45" t="str">
        <f>A27</f>
        <v>Schedule 1</v>
      </c>
      <c r="C45" s="102">
        <f>C27/C$43</f>
        <v>368475.31846774195</v>
      </c>
      <c r="D45" s="102">
        <f t="shared" ref="D45:N45" si="8">D27/D$43</f>
        <v>392976.23717261903</v>
      </c>
      <c r="E45" s="102">
        <f t="shared" si="8"/>
        <v>302948.59946164198</v>
      </c>
      <c r="F45" s="102">
        <f t="shared" si="8"/>
        <v>244402.62466666664</v>
      </c>
      <c r="G45" s="102">
        <f t="shared" si="8"/>
        <v>212180.77858870968</v>
      </c>
      <c r="H45" s="102">
        <f t="shared" si="8"/>
        <v>219139.49733333336</v>
      </c>
      <c r="I45" s="102">
        <f t="shared" si="8"/>
        <v>301665.77873655915</v>
      </c>
      <c r="J45" s="102">
        <f t="shared" si="8"/>
        <v>277214.72693548386</v>
      </c>
      <c r="K45" s="102">
        <f t="shared" si="8"/>
        <v>238840.0101388889</v>
      </c>
      <c r="L45" s="102">
        <f t="shared" si="8"/>
        <v>261600.09936827957</v>
      </c>
      <c r="M45" s="102">
        <f t="shared" si="8"/>
        <v>338127.14676837722</v>
      </c>
      <c r="N45" s="102">
        <f t="shared" si="8"/>
        <v>417522.3480107527</v>
      </c>
      <c r="O45" s="77"/>
    </row>
    <row r="46" spans="1:15" outlineLevel="1">
      <c r="A46" t="str">
        <f>A28</f>
        <v>Schedule 11/12</v>
      </c>
      <c r="C46" s="102">
        <f t="shared" ref="C46:N46" si="9">C28/C$43</f>
        <v>81277.974623655915</v>
      </c>
      <c r="D46" s="102">
        <f t="shared" si="9"/>
        <v>83098.079345238089</v>
      </c>
      <c r="E46" s="102">
        <f t="shared" si="9"/>
        <v>71382.218021534325</v>
      </c>
      <c r="F46" s="102">
        <f t="shared" si="9"/>
        <v>64989.932055555553</v>
      </c>
      <c r="G46" s="102">
        <f t="shared" si="9"/>
        <v>62745.663387096778</v>
      </c>
      <c r="H46" s="102">
        <f t="shared" si="9"/>
        <v>64008.744138888891</v>
      </c>
      <c r="I46" s="102">
        <f t="shared" si="9"/>
        <v>75931.750026881724</v>
      </c>
      <c r="J46" s="102">
        <f t="shared" si="9"/>
        <v>72121.055604838708</v>
      </c>
      <c r="K46" s="102">
        <f t="shared" si="9"/>
        <v>68023.633499999996</v>
      </c>
      <c r="L46" s="102">
        <f t="shared" si="9"/>
        <v>67110.558481182787</v>
      </c>
      <c r="M46" s="102">
        <f t="shared" si="9"/>
        <v>75510.693425797508</v>
      </c>
      <c r="N46" s="102">
        <f t="shared" si="9"/>
        <v>83036.898373655917</v>
      </c>
      <c r="O46" s="77"/>
    </row>
    <row r="47" spans="1:15" outlineLevel="1">
      <c r="A47" t="str">
        <f>A29</f>
        <v>Schedule 21/22 Secondary</v>
      </c>
      <c r="C47" s="102">
        <f t="shared" ref="C47:N47" si="10">C29/C$43</f>
        <v>154720.74770161291</v>
      </c>
      <c r="D47" s="102">
        <f t="shared" si="10"/>
        <v>156147.53482142859</v>
      </c>
      <c r="E47" s="102">
        <f t="shared" si="10"/>
        <v>147441.52826379542</v>
      </c>
      <c r="F47" s="102">
        <f t="shared" si="10"/>
        <v>146294.03506944445</v>
      </c>
      <c r="G47" s="102">
        <f t="shared" si="10"/>
        <v>152558.71297043012</v>
      </c>
      <c r="H47" s="102">
        <f t="shared" si="10"/>
        <v>152957.48759722221</v>
      </c>
      <c r="I47" s="102">
        <f t="shared" si="10"/>
        <v>169043.83479838711</v>
      </c>
      <c r="J47" s="102">
        <f t="shared" si="10"/>
        <v>168932.22549731183</v>
      </c>
      <c r="K47" s="102">
        <f t="shared" si="10"/>
        <v>159970.12675</v>
      </c>
      <c r="L47" s="102">
        <f t="shared" si="10"/>
        <v>152351.60008064515</v>
      </c>
      <c r="M47" s="102">
        <f t="shared" si="10"/>
        <v>154396.59299583911</v>
      </c>
      <c r="N47" s="102">
        <f t="shared" si="10"/>
        <v>156175.24951612903</v>
      </c>
      <c r="O47" s="77"/>
    </row>
    <row r="48" spans="1:15" outlineLevel="1">
      <c r="A48" t="str">
        <f>A30</f>
        <v>Schedule 21 Primary</v>
      </c>
      <c r="C48" s="102">
        <f t="shared" ref="C48:N49" si="11">C30/C$43</f>
        <v>17237.031774193551</v>
      </c>
      <c r="D48" s="102">
        <f t="shared" si="11"/>
        <v>18242.859479166666</v>
      </c>
      <c r="E48" s="102">
        <f t="shared" si="11"/>
        <v>17141.516769851954</v>
      </c>
      <c r="F48" s="102">
        <f t="shared" si="11"/>
        <v>16809.327638888888</v>
      </c>
      <c r="G48" s="102">
        <f t="shared" si="11"/>
        <v>16516.244892473118</v>
      </c>
      <c r="H48" s="102">
        <f t="shared" si="11"/>
        <v>16356.4175</v>
      </c>
      <c r="I48" s="102">
        <f t="shared" si="11"/>
        <v>17329.167352150536</v>
      </c>
      <c r="J48" s="102">
        <f t="shared" si="11"/>
        <v>16914.131034946236</v>
      </c>
      <c r="K48" s="102">
        <f t="shared" si="11"/>
        <v>15785.358944444444</v>
      </c>
      <c r="L48" s="102">
        <f t="shared" si="11"/>
        <v>16232.58936827957</v>
      </c>
      <c r="M48" s="102">
        <f t="shared" si="11"/>
        <v>16114.90284327323</v>
      </c>
      <c r="N48" s="102">
        <f t="shared" si="11"/>
        <v>17256.557983870967</v>
      </c>
      <c r="O48" s="77"/>
    </row>
    <row r="49" spans="1:15" outlineLevel="1">
      <c r="A49" t="str">
        <f>A31</f>
        <v>Schedule 31/32</v>
      </c>
      <c r="C49" s="102">
        <f t="shared" si="11"/>
        <v>8154.0039112903232</v>
      </c>
      <c r="D49" s="102">
        <f t="shared" ref="D49:N49" si="12">D31/D$43</f>
        <v>6465.2922470238091</v>
      </c>
      <c r="E49" s="102">
        <f t="shared" si="12"/>
        <v>6428.334387617766</v>
      </c>
      <c r="F49" s="102">
        <f t="shared" si="12"/>
        <v>8469.1891388888889</v>
      </c>
      <c r="G49" s="102">
        <f t="shared" si="12"/>
        <v>24052.67803763441</v>
      </c>
      <c r="H49" s="102">
        <f t="shared" si="12"/>
        <v>33650.354013888893</v>
      </c>
      <c r="I49" s="102">
        <f t="shared" si="12"/>
        <v>35475.551774193547</v>
      </c>
      <c r="J49" s="102">
        <f t="shared" si="12"/>
        <v>28439.820215053762</v>
      </c>
      <c r="K49" s="102">
        <f t="shared" si="12"/>
        <v>16223.610361111112</v>
      </c>
      <c r="L49" s="102">
        <f t="shared" si="12"/>
        <v>9120.827459677419</v>
      </c>
      <c r="M49" s="102">
        <f t="shared" si="12"/>
        <v>7337.9800138696255</v>
      </c>
      <c r="N49" s="102">
        <f t="shared" si="12"/>
        <v>6816.0494354838711</v>
      </c>
      <c r="O49" s="77"/>
    </row>
    <row r="50" spans="1:15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77"/>
    </row>
    <row r="51" spans="1:15" hidden="1" outlineLevel="1">
      <c r="A51" s="3" t="s">
        <v>258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idden="1" outlineLevel="1">
      <c r="A52" t="str">
        <f>A35</f>
        <v>Schedule 1</v>
      </c>
      <c r="C52" s="103">
        <f t="shared" ref="C52:N52" si="13">C35/C$43</f>
        <v>187096.57458333333</v>
      </c>
      <c r="D52" s="103">
        <f t="shared" si="13"/>
        <v>198858.90258928572</v>
      </c>
      <c r="E52" s="103">
        <f t="shared" si="13"/>
        <v>158324.83004037684</v>
      </c>
      <c r="F52" s="103">
        <f t="shared" si="13"/>
        <v>136293.45668055557</v>
      </c>
      <c r="G52" s="103">
        <f t="shared" si="13"/>
        <v>108541.55129032258</v>
      </c>
      <c r="H52" s="103">
        <f t="shared" si="13"/>
        <v>99661.614125000007</v>
      </c>
      <c r="I52" s="103">
        <f t="shared" si="13"/>
        <v>125287.34137096774</v>
      </c>
      <c r="J52" s="103">
        <f t="shared" si="13"/>
        <v>118101.55487903225</v>
      </c>
      <c r="K52" s="103">
        <f t="shared" si="13"/>
        <v>106576.47016666667</v>
      </c>
      <c r="L52" s="103">
        <f t="shared" si="13"/>
        <v>126239.75869623656</v>
      </c>
      <c r="M52" s="103">
        <f t="shared" si="13"/>
        <v>157897.81843273231</v>
      </c>
      <c r="N52" s="103">
        <f t="shared" si="13"/>
        <v>203290.55590053764</v>
      </c>
      <c r="O52" s="77"/>
    </row>
    <row r="53" spans="1:15" hidden="1" outlineLevel="1">
      <c r="A53" t="str">
        <f>A36</f>
        <v>Schedule 11/12</v>
      </c>
      <c r="C53" s="103">
        <f t="shared" ref="C53:N53" si="14">C36/C$43</f>
        <v>55379.798373655918</v>
      </c>
      <c r="D53" s="103">
        <f t="shared" si="14"/>
        <v>57744.286711309527</v>
      </c>
      <c r="E53" s="103">
        <f t="shared" si="14"/>
        <v>47358.653620457604</v>
      </c>
      <c r="F53" s="103">
        <f t="shared" si="14"/>
        <v>39954.128805555556</v>
      </c>
      <c r="G53" s="103">
        <f t="shared" si="14"/>
        <v>35906.451384408603</v>
      </c>
      <c r="H53" s="103">
        <f t="shared" si="14"/>
        <v>35913.085374999995</v>
      </c>
      <c r="I53" s="103">
        <f t="shared" si="14"/>
        <v>41148.924153225809</v>
      </c>
      <c r="J53" s="103">
        <f t="shared" si="14"/>
        <v>41156.523360215055</v>
      </c>
      <c r="K53" s="103">
        <f t="shared" si="14"/>
        <v>38512.490888888889</v>
      </c>
      <c r="L53" s="103">
        <f t="shared" si="14"/>
        <v>40270.834341397851</v>
      </c>
      <c r="M53" s="103">
        <f t="shared" si="14"/>
        <v>46159.521331484051</v>
      </c>
      <c r="N53" s="103">
        <f t="shared" si="14"/>
        <v>59361.370053763443</v>
      </c>
      <c r="O53" s="77"/>
    </row>
    <row r="54" spans="1:15" hidden="1" outlineLevel="1">
      <c r="A54" t="str">
        <f>A37</f>
        <v>Schedule 21/22 Secondary</v>
      </c>
      <c r="C54" s="103">
        <f t="shared" ref="C54:N54" si="15">C37/C$43</f>
        <v>75520.031868279577</v>
      </c>
      <c r="D54" s="103">
        <f t="shared" si="15"/>
        <v>76651.440461309525</v>
      </c>
      <c r="E54" s="103">
        <f t="shared" si="15"/>
        <v>72222.957321668902</v>
      </c>
      <c r="F54" s="103">
        <f t="shared" si="15"/>
        <v>73771.718305555551</v>
      </c>
      <c r="G54" s="103">
        <f t="shared" si="15"/>
        <v>72673.172083333338</v>
      </c>
      <c r="H54" s="103">
        <f t="shared" si="15"/>
        <v>72960.441569444447</v>
      </c>
      <c r="I54" s="103">
        <f t="shared" si="15"/>
        <v>73239.428655913987</v>
      </c>
      <c r="J54" s="103">
        <f t="shared" si="15"/>
        <v>76679.638723118274</v>
      </c>
      <c r="K54" s="103">
        <f t="shared" si="15"/>
        <v>73523.922333333336</v>
      </c>
      <c r="L54" s="103">
        <f t="shared" si="15"/>
        <v>72942.777755376344</v>
      </c>
      <c r="M54" s="103">
        <f t="shared" si="15"/>
        <v>74508.214341192783</v>
      </c>
      <c r="N54" s="103">
        <f t="shared" si="15"/>
        <v>77224.115456989239</v>
      </c>
      <c r="O54" s="77"/>
    </row>
    <row r="55" spans="1:15" hidden="1" outlineLevel="1">
      <c r="A55" t="str">
        <f>A38</f>
        <v>Schedule 21 Primary</v>
      </c>
      <c r="C55" s="103">
        <f>C38/C$43</f>
        <v>12177.149744623655</v>
      </c>
      <c r="D55" s="103">
        <f t="shared" ref="D55:N55" si="16">D38/D$43</f>
        <v>12260.333898809524</v>
      </c>
      <c r="E55" s="103">
        <f t="shared" si="16"/>
        <v>11878.672153432033</v>
      </c>
      <c r="F55" s="103">
        <f t="shared" si="16"/>
        <v>11680.224250000001</v>
      </c>
      <c r="G55" s="103">
        <f t="shared" si="16"/>
        <v>10919.014475806451</v>
      </c>
      <c r="H55" s="103">
        <f t="shared" si="16"/>
        <v>11261.063138888889</v>
      </c>
      <c r="I55" s="103">
        <f t="shared" si="16"/>
        <v>10532.210120967742</v>
      </c>
      <c r="J55" s="103">
        <f t="shared" si="16"/>
        <v>10454.311599462366</v>
      </c>
      <c r="K55" s="103">
        <f t="shared" si="16"/>
        <v>10426.076263888888</v>
      </c>
      <c r="L55" s="103">
        <f t="shared" si="16"/>
        <v>11082.891586021506</v>
      </c>
      <c r="M55" s="103">
        <f t="shared" si="16"/>
        <v>11655.223536754507</v>
      </c>
      <c r="N55" s="103">
        <f t="shared" si="16"/>
        <v>12017.434946236559</v>
      </c>
      <c r="O55" s="77"/>
    </row>
    <row r="56" spans="1:15" hidden="1" outlineLevel="1">
      <c r="A56" t="str">
        <f>A39</f>
        <v>Schedule 31/32</v>
      </c>
      <c r="C56" s="103">
        <f>C39/C$43</f>
        <v>4243.8523655913978</v>
      </c>
      <c r="D56" s="103">
        <f t="shared" ref="D56:N56" si="17">D39/D$43</f>
        <v>4646.8965029761912</v>
      </c>
      <c r="E56" s="103">
        <f t="shared" si="17"/>
        <v>4388.464737550471</v>
      </c>
      <c r="F56" s="103">
        <f t="shared" si="17"/>
        <v>4131.5332777777776</v>
      </c>
      <c r="G56" s="103">
        <f t="shared" si="17"/>
        <v>5778.1423118279572</v>
      </c>
      <c r="H56" s="103">
        <f t="shared" si="17"/>
        <v>8706.9840416666666</v>
      </c>
      <c r="I56" s="103">
        <f t="shared" si="17"/>
        <v>16232.011559139784</v>
      </c>
      <c r="J56" s="103">
        <f t="shared" si="17"/>
        <v>13131.241975806452</v>
      </c>
      <c r="K56" s="103">
        <f t="shared" si="17"/>
        <v>9642.7245972222227</v>
      </c>
      <c r="L56" s="103">
        <f t="shared" si="17"/>
        <v>4885.4847311827962</v>
      </c>
      <c r="M56" s="103">
        <f t="shared" si="17"/>
        <v>3791.1345353675451</v>
      </c>
      <c r="N56" s="103">
        <f t="shared" si="17"/>
        <v>4218.3799193548393</v>
      </c>
      <c r="O56" s="77"/>
    </row>
    <row r="57" spans="1:15" hidden="1" outlineLevel="1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collapsed="1">
      <c r="A58" s="3" t="s">
        <v>285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77"/>
    </row>
    <row r="59" spans="1:15" outlineLevel="1">
      <c r="A59" s="3" t="s">
        <v>252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outlineLevel="1">
      <c r="A60" t="str">
        <f>A45</f>
        <v>Schedule 1</v>
      </c>
      <c r="C60" s="104">
        <f t="shared" ref="C60:N60" si="18">C10/C45</f>
        <v>1.3782434386971281</v>
      </c>
      <c r="D60" s="104">
        <f t="shared" si="18"/>
        <v>1.5893904285251756</v>
      </c>
      <c r="E60" s="104">
        <f t="shared" si="18"/>
        <v>1.8541659245106432</v>
      </c>
      <c r="F60" s="104">
        <f t="shared" si="18"/>
        <v>1.4471590085515096</v>
      </c>
      <c r="G60" s="104">
        <f t="shared" si="18"/>
        <v>1.5031217347836177</v>
      </c>
      <c r="H60" s="104">
        <f t="shared" si="18"/>
        <v>1.6632149586689751</v>
      </c>
      <c r="I60" s="104">
        <f t="shared" si="18"/>
        <v>1.8107848437029201</v>
      </c>
      <c r="J60" s="104">
        <f t="shared" si="18"/>
        <v>1.7929931627177838</v>
      </c>
      <c r="K60" s="104">
        <f t="shared" si="18"/>
        <v>1.9832748697529579</v>
      </c>
      <c r="L60" s="104">
        <f t="shared" si="18"/>
        <v>1.5372566026202452</v>
      </c>
      <c r="M60" s="104">
        <f t="shared" si="18"/>
        <v>1.5363855134526123</v>
      </c>
      <c r="N60" s="104">
        <f t="shared" si="18"/>
        <v>1.5994208050937717</v>
      </c>
      <c r="O60" s="77"/>
    </row>
    <row r="61" spans="1:15" outlineLevel="1">
      <c r="A61" t="str">
        <f>A46</f>
        <v>Schedule 11/12</v>
      </c>
      <c r="C61" s="104">
        <f t="shared" ref="C61:N61" si="19">C11/C46</f>
        <v>1.3984565994207026</v>
      </c>
      <c r="D61" s="104">
        <f t="shared" si="19"/>
        <v>1.5604585692199968</v>
      </c>
      <c r="E61" s="104">
        <f t="shared" si="19"/>
        <v>1.5050555023043644</v>
      </c>
      <c r="F61" s="104">
        <f t="shared" si="19"/>
        <v>1.4919695548706344</v>
      </c>
      <c r="G61" s="104">
        <f t="shared" si="19"/>
        <v>1.6842736899285466</v>
      </c>
      <c r="H61" s="104">
        <f t="shared" si="19"/>
        <v>1.7074235945460488</v>
      </c>
      <c r="I61" s="104">
        <f t="shared" si="19"/>
        <v>1.6987216803818619</v>
      </c>
      <c r="J61" s="104">
        <f t="shared" si="19"/>
        <v>1.6477538910568441</v>
      </c>
      <c r="K61" s="104">
        <f t="shared" si="19"/>
        <v>1.6227399849200941</v>
      </c>
      <c r="L61" s="104">
        <f t="shared" si="19"/>
        <v>1.4397813427091755</v>
      </c>
      <c r="M61" s="104">
        <f t="shared" si="19"/>
        <v>1.4421877890316812</v>
      </c>
      <c r="N61" s="104">
        <f t="shared" si="19"/>
        <v>1.4219179944401577</v>
      </c>
      <c r="O61" s="77"/>
    </row>
    <row r="62" spans="1:15" outlineLevel="1">
      <c r="A62" t="str">
        <f>A47</f>
        <v>Schedule 21/22 Secondary</v>
      </c>
      <c r="C62" s="104">
        <f t="shared" ref="C62:N62" si="20">C12/C47</f>
        <v>1.3706518560069578</v>
      </c>
      <c r="D62" s="104">
        <f t="shared" si="20"/>
        <v>1.3884935823543116</v>
      </c>
      <c r="E62" s="104">
        <f t="shared" si="20"/>
        <v>1.3498144135071983</v>
      </c>
      <c r="F62" s="104">
        <f t="shared" si="20"/>
        <v>1.5123718468423828</v>
      </c>
      <c r="G62" s="104">
        <f t="shared" si="20"/>
        <v>1.5707870454206572</v>
      </c>
      <c r="H62" s="104">
        <f t="shared" si="20"/>
        <v>1.5337640784069762</v>
      </c>
      <c r="I62" s="104">
        <f t="shared" si="20"/>
        <v>1.4861485501652676</v>
      </c>
      <c r="J62" s="104">
        <f t="shared" si="20"/>
        <v>1.4353632605394078</v>
      </c>
      <c r="K62" s="104">
        <f t="shared" si="20"/>
        <v>1.625378658393793</v>
      </c>
      <c r="L62" s="104">
        <f t="shared" si="20"/>
        <v>1.373507530536163</v>
      </c>
      <c r="M62" s="104">
        <f t="shared" si="20"/>
        <v>1.3900501030212749</v>
      </c>
      <c r="N62" s="104">
        <f t="shared" si="20"/>
        <v>1.4362752785410742</v>
      </c>
      <c r="O62" s="77"/>
    </row>
    <row r="63" spans="1:15" outlineLevel="1">
      <c r="A63" t="str">
        <f>A48</f>
        <v>Schedule 21 Primary</v>
      </c>
      <c r="C63" s="104">
        <f>C13/C48</f>
        <v>1.5413837108415407</v>
      </c>
      <c r="D63" s="104">
        <f t="shared" ref="D63:N63" si="21">D13/D48</f>
        <v>1.4735113226464391</v>
      </c>
      <c r="E63" s="104">
        <f t="shared" si="21"/>
        <v>1.4904567864691156</v>
      </c>
      <c r="F63" s="104">
        <f t="shared" si="21"/>
        <v>1.5791839251551796</v>
      </c>
      <c r="G63" s="104">
        <f t="shared" si="21"/>
        <v>1.6270138990398684</v>
      </c>
      <c r="H63" s="104">
        <f t="shared" si="21"/>
        <v>1.5701347804309838</v>
      </c>
      <c r="I63" s="104">
        <f t="shared" si="21"/>
        <v>1.5969924831134839</v>
      </c>
      <c r="J63" s="104">
        <f t="shared" si="21"/>
        <v>1.5949166968296311</v>
      </c>
      <c r="K63" s="104">
        <f t="shared" si="21"/>
        <v>1.6778250081745052</v>
      </c>
      <c r="L63" s="104">
        <f t="shared" si="21"/>
        <v>1.4552410255729669</v>
      </c>
      <c r="M63" s="104">
        <f t="shared" si="21"/>
        <v>1.4843241831882783</v>
      </c>
      <c r="N63" s="104">
        <f t="shared" si="21"/>
        <v>1.4726865011987331</v>
      </c>
      <c r="O63" s="77"/>
    </row>
    <row r="64" spans="1:15" outlineLevel="1">
      <c r="A64" t="str">
        <f>A49</f>
        <v>Schedule 31/32</v>
      </c>
      <c r="C64" s="104">
        <f>C14/C49</f>
        <v>1.7583226787698703</v>
      </c>
      <c r="D64" s="104">
        <f t="shared" ref="D64:N64" si="22">D14/D49</f>
        <v>1.6942637055645013</v>
      </c>
      <c r="E64" s="104">
        <f t="shared" si="22"/>
        <v>1.5204778424138781</v>
      </c>
      <c r="F64" s="104">
        <f t="shared" si="22"/>
        <v>2.4209318818790635</v>
      </c>
      <c r="G64" s="104">
        <f t="shared" si="22"/>
        <v>2.1513130437715335</v>
      </c>
      <c r="H64" s="104">
        <f t="shared" si="22"/>
        <v>1.6320773320046575</v>
      </c>
      <c r="I64" s="104">
        <f t="shared" si="22"/>
        <v>1.4688935730072825</v>
      </c>
      <c r="J64" s="104">
        <f t="shared" si="22"/>
        <v>1.4070873056651054</v>
      </c>
      <c r="K64" s="104">
        <f t="shared" si="22"/>
        <v>2.0855339376926909</v>
      </c>
      <c r="L64" s="104">
        <f t="shared" si="22"/>
        <v>1.7737875287657496</v>
      </c>
      <c r="M64" s="104">
        <f t="shared" si="22"/>
        <v>1.6316097859860865</v>
      </c>
      <c r="N64" s="104">
        <f t="shared" si="22"/>
        <v>1.6889079383830476</v>
      </c>
      <c r="O64" s="77"/>
    </row>
    <row r="65" spans="1:15"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77"/>
    </row>
    <row r="66" spans="1:15" hidden="1" outlineLevel="1">
      <c r="A66" s="3" t="s">
        <v>258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hidden="1" outlineLevel="1">
      <c r="A67" t="str">
        <f>A52</f>
        <v>Schedule 1</v>
      </c>
      <c r="C67" s="104">
        <f t="shared" ref="C67:N67" si="23">C18/C52</f>
        <v>1.4894188769654986</v>
      </c>
      <c r="D67" s="104">
        <f t="shared" si="23"/>
        <v>1.6710134958670122</v>
      </c>
      <c r="E67" s="104">
        <f t="shared" si="23"/>
        <v>1.947279083902222</v>
      </c>
      <c r="F67" s="104">
        <f t="shared" si="23"/>
        <v>1.5160138647322019</v>
      </c>
      <c r="G67" s="104">
        <f t="shared" si="23"/>
        <v>1.5699511198638367</v>
      </c>
      <c r="H67" s="104">
        <f t="shared" si="23"/>
        <v>1.750706543656434</v>
      </c>
      <c r="I67" s="104">
        <f t="shared" si="23"/>
        <v>1.9826180145726988</v>
      </c>
      <c r="J67" s="104">
        <f t="shared" si="23"/>
        <v>1.8844414895972932</v>
      </c>
      <c r="K67" s="104">
        <f t="shared" si="23"/>
        <v>2.0125754743478628</v>
      </c>
      <c r="L67" s="104">
        <f t="shared" si="23"/>
        <v>1.5551389833720639</v>
      </c>
      <c r="M67" s="104">
        <f t="shared" si="23"/>
        <v>1.598528735262605</v>
      </c>
      <c r="N67" s="104">
        <f t="shared" si="23"/>
        <v>1.657203397903193</v>
      </c>
      <c r="O67" s="77"/>
    </row>
    <row r="68" spans="1:15" hidden="1" outlineLevel="1">
      <c r="A68" t="str">
        <f>A53</f>
        <v>Schedule 11/12</v>
      </c>
      <c r="C68" s="104">
        <f t="shared" ref="C68:N68" si="24">C19/C53</f>
        <v>1.358213504001865</v>
      </c>
      <c r="D68" s="104">
        <f t="shared" si="24"/>
        <v>1.4978742474112117</v>
      </c>
      <c r="E68" s="104">
        <f t="shared" si="24"/>
        <v>1.4908620622082156</v>
      </c>
      <c r="F68" s="104">
        <f t="shared" si="24"/>
        <v>1.5170449666161152</v>
      </c>
      <c r="G68" s="104">
        <f t="shared" si="24"/>
        <v>1.7080866427984431</v>
      </c>
      <c r="H68" s="104">
        <f t="shared" si="24"/>
        <v>1.6910326519112118</v>
      </c>
      <c r="I68" s="104">
        <f t="shared" si="24"/>
        <v>1.7932111596705123</v>
      </c>
      <c r="J68" s="104">
        <f t="shared" si="24"/>
        <v>1.6929471760812969</v>
      </c>
      <c r="K68" s="104">
        <f t="shared" si="24"/>
        <v>1.7832006815174175</v>
      </c>
      <c r="L68" s="104">
        <f t="shared" si="24"/>
        <v>1.3883394996493958</v>
      </c>
      <c r="M68" s="104">
        <f t="shared" si="24"/>
        <v>1.4305904414775465</v>
      </c>
      <c r="N68" s="104">
        <f t="shared" si="24"/>
        <v>1.5123705857646101</v>
      </c>
      <c r="O68" s="77"/>
    </row>
    <row r="69" spans="1:15" hidden="1" outlineLevel="1">
      <c r="A69" t="str">
        <f>A54</f>
        <v>Schedule 21/22 Secondary</v>
      </c>
      <c r="C69" s="104">
        <f t="shared" ref="C69:N69" si="25">C20/C54</f>
        <v>1.5734838434292502</v>
      </c>
      <c r="D69" s="104">
        <f t="shared" si="25"/>
        <v>1.5382057961391333</v>
      </c>
      <c r="E69" s="104">
        <f t="shared" si="25"/>
        <v>1.5546537301140446</v>
      </c>
      <c r="F69" s="104">
        <f t="shared" si="25"/>
        <v>1.5838873308607837</v>
      </c>
      <c r="G69" s="104">
        <f t="shared" si="25"/>
        <v>1.6519131690349302</v>
      </c>
      <c r="H69" s="104">
        <f t="shared" si="25"/>
        <v>1.6503544579755873</v>
      </c>
      <c r="I69" s="104">
        <f t="shared" si="25"/>
        <v>1.7044842141859022</v>
      </c>
      <c r="J69" s="104">
        <f t="shared" si="25"/>
        <v>1.624247350065438</v>
      </c>
      <c r="K69" s="104">
        <f t="shared" si="25"/>
        <v>1.6966801558061599</v>
      </c>
      <c r="L69" s="104">
        <f t="shared" si="25"/>
        <v>1.5518463031339211</v>
      </c>
      <c r="M69" s="104">
        <f t="shared" si="25"/>
        <v>1.5959691297320164</v>
      </c>
      <c r="N69" s="104">
        <f t="shared" si="25"/>
        <v>1.5843602646137727</v>
      </c>
      <c r="O69" s="77"/>
    </row>
    <row r="70" spans="1:15" hidden="1" outlineLevel="1">
      <c r="A70" t="str">
        <f>A55</f>
        <v>Schedule 21 Primary</v>
      </c>
      <c r="C70" s="104">
        <f>C21/C55</f>
        <v>1.5597048897575978</v>
      </c>
      <c r="D70" s="104">
        <f t="shared" ref="D70:N70" si="26">D21/D55</f>
        <v>1.5436928680904627</v>
      </c>
      <c r="E70" s="104">
        <f t="shared" si="26"/>
        <v>1.4738280317755694</v>
      </c>
      <c r="F70" s="104">
        <f t="shared" si="26"/>
        <v>1.5483949291470149</v>
      </c>
      <c r="G70" s="104">
        <f t="shared" si="26"/>
        <v>1.539747019957886</v>
      </c>
      <c r="H70" s="104">
        <f t="shared" si="26"/>
        <v>1.5753041947467792</v>
      </c>
      <c r="I70" s="104">
        <f t="shared" si="26"/>
        <v>1.515156820526262</v>
      </c>
      <c r="J70" s="104">
        <f t="shared" si="26"/>
        <v>1.5564028147809155</v>
      </c>
      <c r="K70" s="104">
        <f t="shared" si="26"/>
        <v>1.5783838122302245</v>
      </c>
      <c r="L70" s="104">
        <f t="shared" si="26"/>
        <v>1.5141183931786446</v>
      </c>
      <c r="M70" s="104">
        <f t="shared" si="26"/>
        <v>1.5428532917702682</v>
      </c>
      <c r="N70" s="104">
        <f t="shared" si="26"/>
        <v>1.5363910919927315</v>
      </c>
      <c r="O70" s="77"/>
    </row>
    <row r="71" spans="1:15" hidden="1" outlineLevel="1">
      <c r="A71" t="str">
        <f>A56</f>
        <v>Schedule 31/32</v>
      </c>
      <c r="C71" s="104">
        <f>C22/C56</f>
        <v>3.0747770836230734</v>
      </c>
      <c r="D71" s="104">
        <f t="shared" ref="D71:N71" si="27">D22/D56</f>
        <v>2.7626718158619976</v>
      </c>
      <c r="E71" s="104">
        <f t="shared" si="27"/>
        <v>3.8905770061012457</v>
      </c>
      <c r="F71" s="104">
        <f t="shared" si="27"/>
        <v>3.0189591034127647</v>
      </c>
      <c r="G71" s="104">
        <f t="shared" si="27"/>
        <v>3.6185141991398115</v>
      </c>
      <c r="H71" s="104">
        <f t="shared" si="27"/>
        <v>2.2657857078400814</v>
      </c>
      <c r="I71" s="104">
        <f t="shared" si="27"/>
        <v>2.286995660688607</v>
      </c>
      <c r="J71" s="104">
        <f t="shared" si="27"/>
        <v>1.8713309864576511</v>
      </c>
      <c r="K71" s="104">
        <f t="shared" si="27"/>
        <v>2.552100265011112</v>
      </c>
      <c r="L71" s="104">
        <f t="shared" si="27"/>
        <v>2.744700011937931</v>
      </c>
      <c r="M71" s="104">
        <f t="shared" si="27"/>
        <v>3.3609042045680702</v>
      </c>
      <c r="N71" s="104">
        <f t="shared" si="27"/>
        <v>3.2023715877317289</v>
      </c>
      <c r="O71" s="77"/>
    </row>
    <row r="72" spans="1:15" hidden="1" outlineLevel="1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collapsed="1">
      <c r="A73" s="30" t="str">
        <f>RIGHT(A3,4)</f>
        <v>2019</v>
      </c>
      <c r="C73" s="123">
        <f>C$5</f>
        <v>43496</v>
      </c>
      <c r="D73" s="123">
        <f t="shared" ref="D73:N73" si="28">D$5</f>
        <v>43524</v>
      </c>
      <c r="E73" s="123">
        <f t="shared" si="28"/>
        <v>43555</v>
      </c>
      <c r="F73" s="123">
        <f t="shared" si="28"/>
        <v>43585</v>
      </c>
      <c r="G73" s="123">
        <f t="shared" si="28"/>
        <v>43616</v>
      </c>
      <c r="H73" s="123">
        <f t="shared" si="28"/>
        <v>43646</v>
      </c>
      <c r="I73" s="123">
        <f t="shared" si="28"/>
        <v>43677</v>
      </c>
      <c r="J73" s="123">
        <f t="shared" si="28"/>
        <v>43708</v>
      </c>
      <c r="K73" s="123">
        <f t="shared" si="28"/>
        <v>43738</v>
      </c>
      <c r="L73" s="123">
        <f t="shared" si="28"/>
        <v>43769</v>
      </c>
      <c r="M73" s="123">
        <f t="shared" si="28"/>
        <v>43799</v>
      </c>
      <c r="N73" s="123">
        <f t="shared" si="28"/>
        <v>43830</v>
      </c>
      <c r="O73" s="77"/>
    </row>
    <row r="74" spans="1:15">
      <c r="A74" s="186" t="s">
        <v>2502</v>
      </c>
      <c r="C74" s="106">
        <f>C43</f>
        <v>744</v>
      </c>
      <c r="D74" s="106">
        <f t="shared" ref="D74:N74" si="29">D43</f>
        <v>672</v>
      </c>
      <c r="E74" s="106">
        <f t="shared" si="29"/>
        <v>743</v>
      </c>
      <c r="F74" s="106">
        <f t="shared" si="29"/>
        <v>720</v>
      </c>
      <c r="G74" s="106">
        <f t="shared" si="29"/>
        <v>744</v>
      </c>
      <c r="H74" s="106">
        <f t="shared" si="29"/>
        <v>720</v>
      </c>
      <c r="I74" s="106">
        <f t="shared" si="29"/>
        <v>744</v>
      </c>
      <c r="J74" s="106">
        <f t="shared" si="29"/>
        <v>744</v>
      </c>
      <c r="K74" s="106">
        <f t="shared" si="29"/>
        <v>720</v>
      </c>
      <c r="L74" s="106">
        <f t="shared" si="29"/>
        <v>744</v>
      </c>
      <c r="M74" s="106">
        <f t="shared" si="29"/>
        <v>721</v>
      </c>
      <c r="N74" s="106">
        <f t="shared" si="29"/>
        <v>744</v>
      </c>
      <c r="O74" s="77"/>
    </row>
    <row r="75" spans="1:15" outlineLevel="1">
      <c r="A75" s="3" t="s">
        <v>252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7"/>
    </row>
    <row r="76" spans="1:15" outlineLevel="1">
      <c r="A76" t="s">
        <v>253</v>
      </c>
      <c r="C76" s="102">
        <f>'12.2019 WA Usage'!C87/C$74</f>
        <v>360001.74640456989</v>
      </c>
      <c r="D76" s="102">
        <f>'12.2019 WA Usage'!D87/D$74</f>
        <v>368932.04607142857</v>
      </c>
      <c r="E76" s="102">
        <f>'12.2019 WA Usage'!E87/E$74</f>
        <v>365413.67970121134</v>
      </c>
      <c r="F76" s="102">
        <f>'12.2019 WA Usage'!F87/F$74</f>
        <v>262314.67617916665</v>
      </c>
      <c r="G76" s="102">
        <f>'12.2019 WA Usage'!G87/G$74</f>
        <v>213484.45895564515</v>
      </c>
      <c r="H76" s="102">
        <f>'12.2019 WA Usage'!H87/H$74</f>
        <v>208876.09463472222</v>
      </c>
      <c r="I76" s="102">
        <f>'12.2019 WA Usage'!I87/I$74</f>
        <v>224128.56281317206</v>
      </c>
      <c r="J76" s="102">
        <f>'12.2019 WA Usage'!J87/J$74</f>
        <v>245394.40148924731</v>
      </c>
      <c r="K76" s="102">
        <f>'12.2019 WA Usage'!K87/K$74</f>
        <v>243396.06242916666</v>
      </c>
      <c r="L76" s="102">
        <f>'12.2019 WA Usage'!L87/L$74</f>
        <v>224140.89845833334</v>
      </c>
      <c r="M76" s="102">
        <f>'12.2019 WA Usage'!M87/M$74</f>
        <v>272966.96773647715</v>
      </c>
      <c r="N76" s="102">
        <f>'12.2019 WA Usage'!N87/N$74</f>
        <v>347133.07456989249</v>
      </c>
      <c r="O76" s="77"/>
    </row>
    <row r="77" spans="1:15" outlineLevel="1">
      <c r="A77" t="s">
        <v>254</v>
      </c>
      <c r="C77" s="102">
        <f>(SUM('12.2019 WA Usage'!C89:C90)+'12.2019 WA Usage'!C116)/C$74</f>
        <v>80538.074090053764</v>
      </c>
      <c r="D77" s="102">
        <f>(SUM('12.2019 WA Usage'!D89:D90)+'12.2019 WA Usage'!D116)/D$74</f>
        <v>86070.667391369047</v>
      </c>
      <c r="E77" s="102">
        <f>(SUM('12.2019 WA Usage'!E89:E90)+'12.2019 WA Usage'!E116)/E$74</f>
        <v>82876.124393001344</v>
      </c>
      <c r="F77" s="102">
        <f>(SUM('12.2019 WA Usage'!F89:F90)+'12.2019 WA Usage'!F116)/F$74</f>
        <v>69402.45673333334</v>
      </c>
      <c r="G77" s="102">
        <f>(SUM('12.2019 WA Usage'!G89:G90)+'12.2019 WA Usage'!G116)/G$74</f>
        <v>61134.244280913983</v>
      </c>
      <c r="H77" s="102">
        <f>(SUM('12.2019 WA Usage'!H89:H90)+'12.2019 WA Usage'!H116)/H$74</f>
        <v>62852.211751388895</v>
      </c>
      <c r="I77" s="102">
        <f>(SUM('12.2019 WA Usage'!I89:I90)+'12.2019 WA Usage'!I116)/I$74</f>
        <v>65057.842831989248</v>
      </c>
      <c r="J77" s="102">
        <f>(SUM('12.2019 WA Usage'!J89:J90)+'12.2019 WA Usage'!J116)/J$74</f>
        <v>68904.027430107541</v>
      </c>
      <c r="K77" s="102">
        <f>(SUM('12.2019 WA Usage'!K89:K90)+'12.2019 WA Usage'!K116)/K$74</f>
        <v>70973.863943055549</v>
      </c>
      <c r="L77" s="102">
        <f>(SUM('12.2019 WA Usage'!L89:L90)+'12.2019 WA Usage'!L116)/L$74</f>
        <v>62533.399759408596</v>
      </c>
      <c r="M77" s="102">
        <f>(SUM('12.2019 WA Usage'!M89:M90)+'12.2019 WA Usage'!M116)/M$74</f>
        <v>68805.423027739249</v>
      </c>
      <c r="N77" s="102">
        <f>(SUM('12.2019 WA Usage'!N89:N90)+'12.2019 WA Usage'!N116)/N$74</f>
        <v>80845.584018817201</v>
      </c>
      <c r="O77" s="77"/>
    </row>
    <row r="78" spans="1:15" outlineLevel="1">
      <c r="A78" t="s">
        <v>320</v>
      </c>
      <c r="C78" s="102">
        <f>(SUM('12.2019 WA Usage'!C91:C92)-'12.2019 WA Usage'!C116)/C$74-C79</f>
        <v>150158.86735887098</v>
      </c>
      <c r="D78" s="102">
        <f>(SUM('12.2019 WA Usage'!D91:D92)-'12.2019 WA Usage'!D116)/D$74-D79</f>
        <v>156977.87950892857</v>
      </c>
      <c r="E78" s="102">
        <f>(SUM('12.2019 WA Usage'!E91:E92)-'12.2019 WA Usage'!E116)/E$74-E79</f>
        <v>149265.15632301482</v>
      </c>
      <c r="F78" s="102">
        <f>(SUM('12.2019 WA Usage'!F91:F92)-'12.2019 WA Usage'!F116)/F$74-F79</f>
        <v>139403.221575</v>
      </c>
      <c r="G78" s="102">
        <f>(SUM('12.2019 WA Usage'!G91:G92)-'12.2019 WA Usage'!G116)/G$74-G79</f>
        <v>132883.0730672043</v>
      </c>
      <c r="H78" s="102">
        <f>(SUM('12.2019 WA Usage'!H91:H92)-'12.2019 WA Usage'!H116)/H$74-H79</f>
        <v>141328.09101805557</v>
      </c>
      <c r="I78" s="102">
        <f>(SUM('12.2019 WA Usage'!I91:I92)-'12.2019 WA Usage'!I116)/I$74-I79</f>
        <v>144828.10875000001</v>
      </c>
      <c r="J78" s="102">
        <f>(SUM('12.2019 WA Usage'!J91:J92)-'12.2019 WA Usage'!J116)/J$74-J79</f>
        <v>146417.35709946239</v>
      </c>
      <c r="K78" s="102">
        <f>(SUM('12.2019 WA Usage'!K91:K92)-'12.2019 WA Usage'!K116)/K$74-K79</f>
        <v>149695.11496388886</v>
      </c>
      <c r="L78" s="102">
        <f>(SUM('12.2019 WA Usage'!L91:L92)-'12.2019 WA Usage'!L116)/L$74-L79</f>
        <v>140886.07296102151</v>
      </c>
      <c r="M78" s="102">
        <f>(SUM('12.2019 WA Usage'!M91:M92)-'12.2019 WA Usage'!M116)/M$74-M79</f>
        <v>137467.75946185854</v>
      </c>
      <c r="N78" s="102">
        <f>(SUM('12.2019 WA Usage'!N91:N92)-'12.2019 WA Usage'!N116)/N$74-N79</f>
        <v>152676.64071774192</v>
      </c>
      <c r="O78" s="77"/>
    </row>
    <row r="79" spans="1:15" outlineLevel="1">
      <c r="A79" t="s">
        <v>273</v>
      </c>
      <c r="C79" s="102">
        <f>'12.2019 WA Usage'!C114/C$74</f>
        <v>11912.929180107527</v>
      </c>
      <c r="D79" s="102">
        <f>'12.2019 WA Usage'!D114/D$74</f>
        <v>11557.52994047619</v>
      </c>
      <c r="E79" s="102">
        <f>'12.2019 WA Usage'!E114/E$74</f>
        <v>12050.272786002692</v>
      </c>
      <c r="F79" s="102">
        <f>'12.2019 WA Usage'!F114/F$74</f>
        <v>11530.171027777777</v>
      </c>
      <c r="G79" s="102">
        <f>'12.2019 WA Usage'!G114/G$74</f>
        <v>11412.789569892473</v>
      </c>
      <c r="H79" s="102">
        <f>'12.2019 WA Usage'!H114/H$74</f>
        <v>12170.663861111112</v>
      </c>
      <c r="I79" s="102">
        <f>'12.2019 WA Usage'!I114/I$74</f>
        <v>11732.04120967742</v>
      </c>
      <c r="J79" s="102">
        <f>'12.2019 WA Usage'!J114/J$74</f>
        <v>12348.74314516129</v>
      </c>
      <c r="K79" s="102">
        <f>'12.2019 WA Usage'!K114/K$74</f>
        <v>13229.943708333332</v>
      </c>
      <c r="L79" s="102">
        <f>'12.2019 WA Usage'!L114/L$74</f>
        <v>11281.172459677418</v>
      </c>
      <c r="M79" s="102">
        <f>'12.2019 WA Usage'!M114/M$74</f>
        <v>12298.159292649096</v>
      </c>
      <c r="N79" s="102">
        <f>'12.2019 WA Usage'!N114/N$74</f>
        <v>12222.152634408603</v>
      </c>
      <c r="O79" s="77"/>
    </row>
    <row r="80" spans="1:15" outlineLevel="1">
      <c r="A80" t="s">
        <v>256</v>
      </c>
      <c r="C80" s="102">
        <f>SUM('12.2019 WA Usage'!C95:C97)/C$74</f>
        <v>5870.715838709677</v>
      </c>
      <c r="D80" s="102">
        <f>SUM('12.2019 WA Usage'!D95:D97)/D$74</f>
        <v>6215.6371949404756</v>
      </c>
      <c r="E80" s="102">
        <f>SUM('12.2019 WA Usage'!E95:E97)/E$74</f>
        <v>5921.0592018842526</v>
      </c>
      <c r="F80" s="102">
        <f>SUM('12.2019 WA Usage'!F95:F97)/F$74</f>
        <v>6410.671638888889</v>
      </c>
      <c r="G80" s="102">
        <f>SUM('12.2019 WA Usage'!G95:G97)/G$74</f>
        <v>16024.228845430107</v>
      </c>
      <c r="H80" s="102">
        <f>SUM('12.2019 WA Usage'!H95:H97)/H$74</f>
        <v>25750.850647222218</v>
      </c>
      <c r="I80" s="102">
        <f>SUM('12.2019 WA Usage'!I95:I97)/I$74</f>
        <v>31354.794169354838</v>
      </c>
      <c r="J80" s="102">
        <f>SUM('12.2019 WA Usage'!J95:J97)/J$74</f>
        <v>33745.151240591404</v>
      </c>
      <c r="K80" s="102">
        <f>SUM('12.2019 WA Usage'!K95:K97)/K$74</f>
        <v>33725.448568055552</v>
      </c>
      <c r="L80" s="102">
        <f>SUM('12.2019 WA Usage'!L95:L97)/L$74</f>
        <v>13876.177530913979</v>
      </c>
      <c r="M80" s="102">
        <f>SUM('12.2019 WA Usage'!M95:M97)/M$74</f>
        <v>5820.6589514563111</v>
      </c>
      <c r="N80" s="102">
        <f>SUM('12.2019 WA Usage'!N95:N97)/N$74</f>
        <v>5780.0207365591405</v>
      </c>
      <c r="O80" s="77"/>
    </row>
    <row r="81" spans="1:15"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77"/>
    </row>
    <row r="82" spans="1:15" hidden="1" outlineLevel="1">
      <c r="A82" s="3" t="s">
        <v>258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hidden="1" outlineLevel="1">
      <c r="A83" t="s">
        <v>253</v>
      </c>
      <c r="C83" s="107">
        <f>'12.2019 ID Usage'!C103/C$74</f>
        <v>177266.04991852149</v>
      </c>
      <c r="D83" s="107">
        <f>'12.2019 ID Usage'!D103/D$74</f>
        <v>189398.64598514879</v>
      </c>
      <c r="E83" s="107">
        <f>'12.2019 ID Usage'!E103/E$74</f>
        <v>174727.43023553165</v>
      </c>
      <c r="F83" s="107">
        <f>'12.2019 ID Usage'!F103/F$74</f>
        <v>133082.18353472222</v>
      </c>
      <c r="G83" s="107">
        <f>'12.2019 ID Usage'!G103/G$74</f>
        <v>104272.85418010753</v>
      </c>
      <c r="H83" s="107">
        <f>'12.2019 ID Usage'!H103/H$74</f>
        <v>104337.48346666667</v>
      </c>
      <c r="I83" s="107">
        <f>'12.2019 ID Usage'!I103/I$74</f>
        <v>106773.32087768817</v>
      </c>
      <c r="J83" s="107">
        <f>'12.2019 ID Usage'!J103/J$74</f>
        <v>118844.53978897849</v>
      </c>
      <c r="K83" s="107">
        <f>'12.2019 ID Usage'!K103/K$74</f>
        <v>113027.65516527777</v>
      </c>
      <c r="L83" s="107">
        <f>'12.2019 ID Usage'!L103/L$74</f>
        <v>106640.16714784945</v>
      </c>
      <c r="M83" s="107">
        <f>'12.2019 ID Usage'!M103/M$74</f>
        <v>140772.4578821082</v>
      </c>
      <c r="N83" s="107">
        <f>'12.2019 ID Usage'!N103/N$74</f>
        <v>173456.24177977152</v>
      </c>
      <c r="O83" s="77"/>
    </row>
    <row r="84" spans="1:15" hidden="1" outlineLevel="1">
      <c r="A84" s="163" t="s">
        <v>2339</v>
      </c>
      <c r="B84" s="107"/>
      <c r="C84" s="107">
        <f>SUM('12.2019 ID Usage'!C104:C105)/C$74-C85</f>
        <v>50723.325628508064</v>
      </c>
      <c r="D84" s="107">
        <f>SUM('12.2019 ID Usage'!D104:D105)/D$74-D85</f>
        <v>54706.354752991072</v>
      </c>
      <c r="E84" s="107">
        <f>SUM('12.2019 ID Usage'!E104:E105)/E$74-E85</f>
        <v>50119.902052476442</v>
      </c>
      <c r="F84" s="107">
        <f>SUM('12.2019 ID Usage'!F104:F105)/F$74-F85</f>
        <v>42858.266802791666</v>
      </c>
      <c r="G84" s="107">
        <f>SUM('12.2019 ID Usage'!G104:G105)/G$74-G85</f>
        <v>37008.769715053764</v>
      </c>
      <c r="H84" s="107">
        <f>SUM('12.2019 ID Usage'!H104:H105)/H$74-H85</f>
        <v>38865.927994444442</v>
      </c>
      <c r="I84" s="107">
        <f>SUM('12.2019 ID Usage'!I104:I105)/I$74-I85</f>
        <v>39715.323370967744</v>
      </c>
      <c r="J84" s="107">
        <f>SUM('12.2019 ID Usage'!J104:J105)/J$74-J85</f>
        <v>43240.794470430112</v>
      </c>
      <c r="K84" s="107">
        <f>SUM('12.2019 ID Usage'!K104:K105)/K$74-K85</f>
        <v>43476.617483333335</v>
      </c>
      <c r="L84" s="107">
        <f>SUM('12.2019 ID Usage'!L104:L105)/L$74-L85</f>
        <v>37730.506467741936</v>
      </c>
      <c r="M84" s="107">
        <f>SUM('12.2019 ID Usage'!M104:M105)/M$74-M85</f>
        <v>44021.310546463246</v>
      </c>
      <c r="N84" s="107">
        <f>SUM('12.2019 ID Usage'!N104:N105)/N$74-N85</f>
        <v>51383.737087983871</v>
      </c>
      <c r="O84" s="77"/>
    </row>
    <row r="85" spans="1:15" hidden="1" outlineLevel="1">
      <c r="A85" t="s">
        <v>414</v>
      </c>
      <c r="C85" s="107">
        <f>'12.2019 ID Usage'!C134/C$74</f>
        <v>0</v>
      </c>
      <c r="D85" s="107">
        <f>'12.2019 ID Usage'!D134/D$74</f>
        <v>0</v>
      </c>
      <c r="E85" s="107">
        <f>'12.2019 ID Usage'!E134/E$74</f>
        <v>0</v>
      </c>
      <c r="F85" s="107">
        <f>'12.2019 ID Usage'!F134/F$74</f>
        <v>0</v>
      </c>
      <c r="G85" s="107">
        <f>'12.2019 ID Usage'!G134/G$74</f>
        <v>0</v>
      </c>
      <c r="H85" s="107">
        <f>'12.2019 ID Usage'!H134/H$74</f>
        <v>0</v>
      </c>
      <c r="I85" s="107">
        <f>'12.2019 ID Usage'!I134/I$74</f>
        <v>0</v>
      </c>
      <c r="J85" s="107">
        <f>'12.2019 ID Usage'!J134/J$74</f>
        <v>0</v>
      </c>
      <c r="K85" s="107">
        <f>'12.2019 ID Usage'!K134/K$74</f>
        <v>0</v>
      </c>
      <c r="L85" s="107">
        <f>'12.2019 ID Usage'!L134/L$74</f>
        <v>0</v>
      </c>
      <c r="M85" s="107">
        <f>'12.2019 ID Usage'!M134/M$74</f>
        <v>0</v>
      </c>
      <c r="N85" s="107">
        <f>'12.2019 ID Usage'!N134/N$74</f>
        <v>0</v>
      </c>
      <c r="O85" s="77"/>
    </row>
    <row r="86" spans="1:15" hidden="1" outlineLevel="1">
      <c r="A86" t="s">
        <v>321</v>
      </c>
      <c r="C86" s="107">
        <f>SUM('12.2019 ID Usage'!C106:C107)/C$74-C87</f>
        <v>67892.083872311821</v>
      </c>
      <c r="D86" s="107">
        <f>SUM('12.2019 ID Usage'!D106:D107)/D$74-D87</f>
        <v>74218.095833333326</v>
      </c>
      <c r="E86" s="107">
        <f>SUM('12.2019 ID Usage'!E106:E107)/E$74-E87</f>
        <v>67565.492866756409</v>
      </c>
      <c r="F86" s="107">
        <f>SUM('12.2019 ID Usage'!F106:F107)/F$74-F87</f>
        <v>65351.841111111113</v>
      </c>
      <c r="G86" s="107">
        <f>SUM('12.2019 ID Usage'!G106:G107)/G$74-G87</f>
        <v>60033.463978494627</v>
      </c>
      <c r="H86" s="107">
        <f>SUM('12.2019 ID Usage'!H106:H107)/H$74-H87</f>
        <v>63871.584444444437</v>
      </c>
      <c r="I86" s="107">
        <f>SUM('12.2019 ID Usage'!I106:I107)/I$74-I87</f>
        <v>63486.300537634415</v>
      </c>
      <c r="J86" s="107">
        <f>SUM('12.2019 ID Usage'!J106:J107)/J$74-J87</f>
        <v>66703.717741935485</v>
      </c>
      <c r="K86" s="107">
        <f>SUM('12.2019 ID Usage'!K106:K107)/K$74-K87</f>
        <v>69714.640555555568</v>
      </c>
      <c r="L86" s="107">
        <f>SUM('12.2019 ID Usage'!L106:L107)/L$74-L87</f>
        <v>60363.172311827962</v>
      </c>
      <c r="M86" s="107">
        <f>SUM('12.2019 ID Usage'!M106:M107)/M$74-M87</f>
        <v>64403.254368932045</v>
      </c>
      <c r="N86" s="107">
        <f>SUM('12.2019 ID Usage'!N106:N107)/N$74-N87</f>
        <v>70778.835752688174</v>
      </c>
      <c r="O86" s="77"/>
    </row>
    <row r="87" spans="1:15" hidden="1" outlineLevel="1">
      <c r="A87" t="s">
        <v>273</v>
      </c>
      <c r="C87" s="107">
        <f>'12.2019 ID Usage'!C133/C$74</f>
        <v>6337.511288978495</v>
      </c>
      <c r="D87" s="107">
        <f>'12.2019 ID Usage'!D133/D$74</f>
        <v>6953.4657738095239</v>
      </c>
      <c r="E87" s="107">
        <f>'12.2019 ID Usage'!E133/E$74</f>
        <v>6358.8559892328394</v>
      </c>
      <c r="F87" s="107">
        <f>'12.2019 ID Usage'!F133/F$74</f>
        <v>6031.354166666667</v>
      </c>
      <c r="G87" s="107">
        <f>'12.2019 ID Usage'!G133/G$74</f>
        <v>5391.7822580645161</v>
      </c>
      <c r="H87" s="107">
        <f>'12.2019 ID Usage'!H133/H$74</f>
        <v>5442.3347222222219</v>
      </c>
      <c r="I87" s="107">
        <f>'12.2019 ID Usage'!I133/I$74</f>
        <v>4983.4301075268813</v>
      </c>
      <c r="J87" s="107">
        <f>'12.2019 ID Usage'!J133/J$74</f>
        <v>5360.6223118279568</v>
      </c>
      <c r="K87" s="107">
        <f>'12.2019 ID Usage'!K133/K$74</f>
        <v>5569.7972222222224</v>
      </c>
      <c r="L87" s="107">
        <f>'12.2019 ID Usage'!L133/L$74</f>
        <v>4912.811827956989</v>
      </c>
      <c r="M87" s="107">
        <f>'12.2019 ID Usage'!M133/M$74</f>
        <v>5479.1192787794726</v>
      </c>
      <c r="N87" s="107">
        <f>'12.2019 ID Usage'!N133/N$74</f>
        <v>6028.4556451612907</v>
      </c>
      <c r="O87" s="77"/>
    </row>
    <row r="88" spans="1:15" ht="12.75" hidden="1" customHeight="1" outlineLevel="1">
      <c r="A88" t="s">
        <v>256</v>
      </c>
      <c r="C88" s="107">
        <f>SUM('12.2019 ID Usage'!C112:C114)/C$74</f>
        <v>4775.818548400538</v>
      </c>
      <c r="D88" s="107">
        <f>SUM('12.2019 ID Usage'!D112:D114)/D$74</f>
        <v>5426.3880505952384</v>
      </c>
      <c r="E88" s="107">
        <f>SUM('12.2019 ID Usage'!E112:E114)/E$74</f>
        <v>4685.9286002691788</v>
      </c>
      <c r="F88" s="107">
        <f>SUM('12.2019 ID Usage'!F112:F114)/F$74</f>
        <v>4960.0634166666669</v>
      </c>
      <c r="G88" s="107">
        <f>SUM('12.2019 ID Usage'!G112:G114)/G$74</f>
        <v>5866.2615188172049</v>
      </c>
      <c r="H88" s="107">
        <f>SUM('12.2019 ID Usage'!H112:H114)/H$74</f>
        <v>8805.5330416666675</v>
      </c>
      <c r="I88" s="107">
        <f>SUM('12.2019 ID Usage'!I112:I114)/I$74</f>
        <v>10841.635892473118</v>
      </c>
      <c r="J88" s="107">
        <f>SUM('12.2019 ID Usage'!J112:J114)/J$74</f>
        <v>11983.982567204301</v>
      </c>
      <c r="K88" s="107">
        <f>SUM('12.2019 ID Usage'!K112:K114)/K$74</f>
        <v>10276.32438888889</v>
      </c>
      <c r="L88" s="107">
        <f>SUM('12.2019 ID Usage'!L112:L114)/L$74</f>
        <v>5481.7281048387094</v>
      </c>
      <c r="M88" s="107">
        <f>SUM('12.2019 ID Usage'!M112:M114)/M$74</f>
        <v>4321.215672676838</v>
      </c>
      <c r="N88" s="107">
        <f>SUM('12.2019 ID Usage'!N112:N114)/N$74</f>
        <v>5133.6500806720423</v>
      </c>
      <c r="O88" s="77"/>
    </row>
    <row r="89" spans="1:15" ht="12.75" customHeight="1" collapsed="1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77"/>
    </row>
    <row r="90" spans="1:15">
      <c r="A90" s="3" t="s">
        <v>286</v>
      </c>
      <c r="C90" s="105">
        <f>C$5</f>
        <v>43496</v>
      </c>
      <c r="D90" s="105">
        <f t="shared" ref="D90:N90" si="30">D$5</f>
        <v>43524</v>
      </c>
      <c r="E90" s="105">
        <f t="shared" si="30"/>
        <v>43555</v>
      </c>
      <c r="F90" s="105">
        <f t="shared" si="30"/>
        <v>43585</v>
      </c>
      <c r="G90" s="105">
        <f t="shared" si="30"/>
        <v>43616</v>
      </c>
      <c r="H90" s="105">
        <f t="shared" si="30"/>
        <v>43646</v>
      </c>
      <c r="I90" s="105">
        <f t="shared" si="30"/>
        <v>43677</v>
      </c>
      <c r="J90" s="105">
        <f t="shared" si="30"/>
        <v>43708</v>
      </c>
      <c r="K90" s="105">
        <f t="shared" si="30"/>
        <v>43738</v>
      </c>
      <c r="L90" s="105">
        <f t="shared" si="30"/>
        <v>43769</v>
      </c>
      <c r="M90" s="105">
        <f t="shared" si="30"/>
        <v>43799</v>
      </c>
      <c r="N90" s="105">
        <f t="shared" si="30"/>
        <v>43830</v>
      </c>
      <c r="O90" s="77"/>
    </row>
    <row r="91" spans="1:15" outlineLevel="1">
      <c r="A91" s="3" t="s">
        <v>252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77"/>
    </row>
    <row r="92" spans="1:15" outlineLevel="1">
      <c r="A92" t="str">
        <f>A76</f>
        <v>Schedule 1</v>
      </c>
      <c r="B92" s="19"/>
      <c r="C92" s="81">
        <f>C76*C60</f>
        <v>496170.04490160587</v>
      </c>
      <c r="D92" s="81">
        <f t="shared" ref="D92:N92" si="31">D76*D60</f>
        <v>586377.06280213769</v>
      </c>
      <c r="E92" s="81">
        <f t="shared" si="31"/>
        <v>677537.59325203253</v>
      </c>
      <c r="F92" s="81">
        <f t="shared" si="31"/>
        <v>379611.04670795309</v>
      </c>
      <c r="G92" s="81">
        <f t="shared" si="31"/>
        <v>320893.13029475138</v>
      </c>
      <c r="H92" s="81">
        <f t="shared" si="31"/>
        <v>347405.84510482644</v>
      </c>
      <c r="I92" s="81">
        <f t="shared" si="31"/>
        <v>405848.6045830099</v>
      </c>
      <c r="J92" s="81">
        <f t="shared" si="31"/>
        <v>439990.48403944314</v>
      </c>
      <c r="K92" s="81">
        <f t="shared" si="31"/>
        <v>482721.29401258833</v>
      </c>
      <c r="L92" s="81">
        <f t="shared" si="31"/>
        <v>344562.07607230684</v>
      </c>
      <c r="M92" s="81">
        <f t="shared" si="31"/>
        <v>419382.49488141009</v>
      </c>
      <c r="N92" s="81">
        <f t="shared" si="31"/>
        <v>555211.86160325375</v>
      </c>
      <c r="O92" s="77"/>
    </row>
    <row r="93" spans="1:15" outlineLevel="1">
      <c r="A93" t="str">
        <f>A77</f>
        <v>Schedule 11/12</v>
      </c>
      <c r="B93" s="19"/>
      <c r="C93" s="81">
        <f t="shared" ref="C93:N93" si="32">C77*C61</f>
        <v>112629.00121586918</v>
      </c>
      <c r="D93" s="81">
        <f t="shared" si="32"/>
        <v>134309.71048934598</v>
      </c>
      <c r="E93" s="81">
        <f t="shared" si="32"/>
        <v>124733.16702734762</v>
      </c>
      <c r="F93" s="81">
        <f t="shared" si="32"/>
        <v>103546.3524793598</v>
      </c>
      <c r="G93" s="81">
        <f t="shared" si="32"/>
        <v>102966.79919600814</v>
      </c>
      <c r="H93" s="81">
        <f t="shared" si="32"/>
        <v>107315.34931372583</v>
      </c>
      <c r="I93" s="81">
        <f t="shared" si="32"/>
        <v>110515.16809757585</v>
      </c>
      <c r="J93" s="81">
        <f t="shared" si="32"/>
        <v>113536.87930744722</v>
      </c>
      <c r="K93" s="81">
        <f t="shared" si="32"/>
        <v>115172.12690467478</v>
      </c>
      <c r="L93" s="81">
        <f t="shared" si="32"/>
        <v>90034.422269770934</v>
      </c>
      <c r="M93" s="81">
        <f t="shared" si="32"/>
        <v>99230.340909764796</v>
      </c>
      <c r="N93" s="81">
        <f t="shared" si="32"/>
        <v>114955.79068737982</v>
      </c>
      <c r="O93" s="77"/>
    </row>
    <row r="94" spans="1:15" outlineLevel="1">
      <c r="A94" t="str">
        <f>A78</f>
        <v>Schedule 21/22  Secondary</v>
      </c>
      <c r="B94" s="19"/>
      <c r="C94" s="81">
        <f t="shared" ref="C94:N95" si="33">C78*C62</f>
        <v>205815.53024133912</v>
      </c>
      <c r="D94" s="81">
        <f t="shared" si="33"/>
        <v>217962.77826973572</v>
      </c>
      <c r="E94" s="81">
        <f t="shared" si="33"/>
        <v>201480.25943921052</v>
      </c>
      <c r="F94" s="81">
        <f t="shared" si="33"/>
        <v>210829.50766916067</v>
      </c>
      <c r="G94" s="81">
        <f t="shared" si="33"/>
        <v>208731.00972965115</v>
      </c>
      <c r="H94" s="81">
        <f t="shared" si="33"/>
        <v>216763.94927332524</v>
      </c>
      <c r="I94" s="81">
        <f t="shared" si="33"/>
        <v>215236.08384199021</v>
      </c>
      <c r="J94" s="81">
        <f t="shared" si="33"/>
        <v>210162.09508584713</v>
      </c>
      <c r="K94" s="81">
        <f t="shared" si="33"/>
        <v>243311.24512811028</v>
      </c>
      <c r="L94" s="81">
        <f t="shared" si="33"/>
        <v>193508.08215963034</v>
      </c>
      <c r="M94" s="81">
        <f t="shared" si="33"/>
        <v>191087.0732020603</v>
      </c>
      <c r="N94" s="81">
        <f t="shared" si="33"/>
        <v>219285.68467359027</v>
      </c>
      <c r="O94" s="77"/>
    </row>
    <row r="95" spans="1:15" outlineLevel="1">
      <c r="A95" t="str">
        <f>A79</f>
        <v>Schedule 21 Primary</v>
      </c>
      <c r="B95" s="19"/>
      <c r="C95" s="81">
        <f>C79*C63</f>
        <v>18362.394986626612</v>
      </c>
      <c r="D95" s="81">
        <f t="shared" si="33"/>
        <v>17030.151229116891</v>
      </c>
      <c r="E95" s="81">
        <f t="shared" si="33"/>
        <v>17960.410852701807</v>
      </c>
      <c r="F95" s="81">
        <f t="shared" si="33"/>
        <v>18208.26074135664</v>
      </c>
      <c r="G95" s="81">
        <f t="shared" si="33"/>
        <v>18568.767257032294</v>
      </c>
      <c r="H95" s="81">
        <f t="shared" si="33"/>
        <v>19109.582629265005</v>
      </c>
      <c r="I95" s="81">
        <f t="shared" si="33"/>
        <v>18735.981623432464</v>
      </c>
      <c r="J95" s="81">
        <f t="shared" si="33"/>
        <v>19695.216627078196</v>
      </c>
      <c r="K95" s="81">
        <f t="shared" si="33"/>
        <v>22197.530410582618</v>
      </c>
      <c r="L95" s="81">
        <f t="shared" si="33"/>
        <v>16416.824979886474</v>
      </c>
      <c r="M95" s="81">
        <f t="shared" si="33"/>
        <v>18254.455246780704</v>
      </c>
      <c r="N95" s="81">
        <f t="shared" si="33"/>
        <v>17999.399200284086</v>
      </c>
      <c r="O95" s="77"/>
    </row>
    <row r="96" spans="1:15" outlineLevel="1">
      <c r="A96" t="str">
        <f>A80</f>
        <v>Schedule 31/32</v>
      </c>
      <c r="B96" s="19"/>
      <c r="C96" s="81">
        <f t="shared" ref="C96:N96" si="34">C80*C64</f>
        <v>10322.612799816705</v>
      </c>
      <c r="D96" s="81">
        <f t="shared" si="34"/>
        <v>10530.928506344393</v>
      </c>
      <c r="E96" s="81">
        <f t="shared" si="34"/>
        <v>9002.8393200858081</v>
      </c>
      <c r="F96" s="81">
        <f t="shared" si="34"/>
        <v>15519.799354844019</v>
      </c>
      <c r="G96" s="81">
        <f t="shared" si="34"/>
        <v>34473.132531553849</v>
      </c>
      <c r="H96" s="81">
        <f t="shared" si="34"/>
        <v>42027.379621168846</v>
      </c>
      <c r="I96" s="81">
        <f t="shared" si="34"/>
        <v>46056.855638331537</v>
      </c>
      <c r="J96" s="81">
        <f t="shared" si="34"/>
        <v>47482.373938385244</v>
      </c>
      <c r="K96" s="81">
        <f t="shared" si="34"/>
        <v>70335.567552589215</v>
      </c>
      <c r="L96" s="81">
        <f t="shared" si="34"/>
        <v>24613.390651274727</v>
      </c>
      <c r="M96" s="81">
        <f t="shared" si="34"/>
        <v>9497.044106083631</v>
      </c>
      <c r="N96" s="81">
        <f t="shared" si="34"/>
        <v>9761.9229059933623</v>
      </c>
      <c r="O96" s="77"/>
    </row>
    <row r="97" spans="1:15" outlineLevel="1">
      <c r="A97" t="s">
        <v>275</v>
      </c>
      <c r="B97" s="43">
        <f>'Peak Calc CP'!B14</f>
        <v>10729842.53655</v>
      </c>
      <c r="C97" s="81">
        <f>$B97/'2019 Daylight'!Hrs_Darkness</f>
        <v>2500.4487986678059</v>
      </c>
      <c r="D97" s="81">
        <f>$B97/'2019 Daylight'!Hrs_Darkness</f>
        <v>2500.4487986678059</v>
      </c>
      <c r="E97" s="81">
        <f>$B97/'2019 Daylight'!Hrs_Darkness</f>
        <v>2500.4487986678059</v>
      </c>
      <c r="F97" s="81">
        <f>$B97/'2019 Daylight'!Hrs_Darkness</f>
        <v>2500.4487986678059</v>
      </c>
      <c r="G97" s="81">
        <f>$B97/'2019 Daylight'!Hrs_Darkness</f>
        <v>2500.4487986678059</v>
      </c>
      <c r="H97" s="81">
        <f>$B97/'2019 Daylight'!Hrs_Darkness</f>
        <v>2500.4487986678059</v>
      </c>
      <c r="I97" s="81">
        <f>$B97/'2019 Daylight'!Hrs_Darkness</f>
        <v>2500.4487986678059</v>
      </c>
      <c r="J97" s="81">
        <f>$B97/'2019 Daylight'!Hrs_Darkness</f>
        <v>2500.4487986678059</v>
      </c>
      <c r="K97" s="81">
        <f>$B97/'2019 Daylight'!Hrs_Darkness</f>
        <v>2500.4487986678059</v>
      </c>
      <c r="L97" s="81">
        <f>$B97/'2019 Daylight'!Hrs_Darkness</f>
        <v>2500.4487986678059</v>
      </c>
      <c r="M97" s="81">
        <f>$B97/'2019 Daylight'!Hrs_Darkness</f>
        <v>2500.4487986678059</v>
      </c>
      <c r="N97" s="81">
        <f>$B97/'2019 Daylight'!Hrs_Darkness</f>
        <v>2500.4487986678059</v>
      </c>
      <c r="O97" s="77"/>
    </row>
    <row r="98" spans="1:15" outlineLevel="1">
      <c r="A98" t="s">
        <v>276</v>
      </c>
      <c r="B98" s="43">
        <f>'Peak Calc CP'!B15</f>
        <v>7232081.1234200001</v>
      </c>
      <c r="C98" s="81">
        <f>$B98/'2019 Daylight'!Hrs_Darkness</f>
        <v>1685.3414665988269</v>
      </c>
      <c r="D98" s="81">
        <f>$B98/'2019 Daylight'!Hrs_Darkness</f>
        <v>1685.3414665988269</v>
      </c>
      <c r="E98" s="81">
        <f>$B98/'2019 Daylight'!Hrs_Darkness</f>
        <v>1685.3414665988269</v>
      </c>
      <c r="F98" s="81">
        <f>$B98/'2019 Daylight'!Hrs_Darkness</f>
        <v>1685.3414665988269</v>
      </c>
      <c r="G98" s="81">
        <f>$B98/'2019 Daylight'!Hrs_Darkness</f>
        <v>1685.3414665988269</v>
      </c>
      <c r="H98" s="81">
        <f>$B98/'2019 Daylight'!Hrs_Darkness</f>
        <v>1685.3414665988269</v>
      </c>
      <c r="I98" s="81">
        <f>$B98/'2019 Daylight'!Hrs_Darkness</f>
        <v>1685.3414665988269</v>
      </c>
      <c r="J98" s="81">
        <f>$B98/'2019 Daylight'!Hrs_Darkness</f>
        <v>1685.3414665988269</v>
      </c>
      <c r="K98" s="81">
        <f>$B98/'2019 Daylight'!Hrs_Darkness</f>
        <v>1685.3414665988269</v>
      </c>
      <c r="L98" s="81">
        <f>$B98/'2019 Daylight'!Hrs_Darkness</f>
        <v>1685.3414665988269</v>
      </c>
      <c r="M98" s="81">
        <f>$B98/'2019 Daylight'!Hrs_Darkness</f>
        <v>1685.3414665988269</v>
      </c>
      <c r="N98" s="81">
        <f>$B98/'2019 Daylight'!Hrs_Darkness</f>
        <v>1685.3414665988269</v>
      </c>
      <c r="O98" s="77"/>
    </row>
    <row r="99" spans="1:15" hidden="1" outlineLevel="1">
      <c r="A99" s="19" t="s">
        <v>2364</v>
      </c>
      <c r="B99" s="61"/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77"/>
    </row>
    <row r="100" spans="1:15" outlineLevel="1">
      <c r="A100" s="163" t="s">
        <v>2336</v>
      </c>
      <c r="B100" s="61"/>
      <c r="C100" s="235">
        <v>51552</v>
      </c>
      <c r="D100" s="82">
        <v>54576</v>
      </c>
      <c r="E100" s="82">
        <v>57168</v>
      </c>
      <c r="F100" s="82">
        <v>57852</v>
      </c>
      <c r="G100" s="82">
        <v>56880</v>
      </c>
      <c r="H100" s="82">
        <v>57384</v>
      </c>
      <c r="I100" s="82">
        <v>58212</v>
      </c>
      <c r="J100" s="82">
        <v>56052</v>
      </c>
      <c r="K100" s="82">
        <v>55044</v>
      </c>
      <c r="L100" s="82">
        <v>56844</v>
      </c>
      <c r="M100" s="82">
        <v>54108</v>
      </c>
      <c r="N100" s="82">
        <v>57564</v>
      </c>
      <c r="O100" s="77"/>
    </row>
    <row r="101" spans="1:15" outlineLevel="1">
      <c r="A101" s="163" t="s">
        <v>2335</v>
      </c>
      <c r="B101" s="61"/>
      <c r="C101" s="82">
        <v>81704.700000000012</v>
      </c>
      <c r="D101" s="82">
        <v>79126.3</v>
      </c>
      <c r="E101" s="82">
        <v>78930.899000000005</v>
      </c>
      <c r="F101" s="82">
        <v>75700.742399999988</v>
      </c>
      <c r="G101" s="82">
        <v>79696.322551075267</v>
      </c>
      <c r="H101" s="82">
        <v>84076.10000000002</v>
      </c>
      <c r="I101" s="82">
        <v>81763.8</v>
      </c>
      <c r="J101" s="82">
        <v>85672.799999999988</v>
      </c>
      <c r="K101" s="82">
        <v>80337.300000000017</v>
      </c>
      <c r="L101" s="82">
        <v>75505.241666666654</v>
      </c>
      <c r="M101" s="82">
        <v>74153.729403606107</v>
      </c>
      <c r="N101" s="82">
        <v>75667.744892473143</v>
      </c>
      <c r="O101" s="77"/>
    </row>
    <row r="102" spans="1:15" outlineLevel="1">
      <c r="A102" s="163" t="s">
        <v>411</v>
      </c>
      <c r="B102" s="61"/>
      <c r="C102" s="82">
        <v>10882</v>
      </c>
      <c r="D102" s="82">
        <v>11651.2</v>
      </c>
      <c r="E102" s="82">
        <v>11978</v>
      </c>
      <c r="F102" s="82">
        <v>10748.4</v>
      </c>
      <c r="G102" s="82">
        <v>10654</v>
      </c>
      <c r="H102" s="82">
        <v>13173.2</v>
      </c>
      <c r="I102" s="82">
        <v>11660.8</v>
      </c>
      <c r="J102" s="82">
        <v>14163.2</v>
      </c>
      <c r="K102" s="82">
        <v>13065.6</v>
      </c>
      <c r="L102" s="82">
        <v>14348.400000000001</v>
      </c>
      <c r="M102" s="82">
        <v>14874.4</v>
      </c>
      <c r="N102" s="82">
        <v>12900.4</v>
      </c>
      <c r="O102" s="77"/>
    </row>
    <row r="103" spans="1:15" outlineLevel="1">
      <c r="A103" t="s">
        <v>257</v>
      </c>
      <c r="B103" s="19"/>
      <c r="C103" s="68">
        <f t="shared" ref="C103:N103" si="35">SUM(C92:C102)</f>
        <v>991624.07441052399</v>
      </c>
      <c r="D103" s="68">
        <f t="shared" si="35"/>
        <v>1115749.9215619471</v>
      </c>
      <c r="E103" s="68">
        <f t="shared" si="35"/>
        <v>1182976.9591566448</v>
      </c>
      <c r="F103" s="68">
        <f t="shared" si="35"/>
        <v>876201.89961794077</v>
      </c>
      <c r="G103" s="68">
        <f t="shared" si="35"/>
        <v>837048.95182533865</v>
      </c>
      <c r="H103" s="68">
        <f t="shared" si="35"/>
        <v>891441.19620757783</v>
      </c>
      <c r="I103" s="68">
        <f t="shared" si="35"/>
        <v>952215.08404960658</v>
      </c>
      <c r="J103" s="68">
        <f t="shared" si="35"/>
        <v>990940.83926346758</v>
      </c>
      <c r="K103" s="68">
        <f t="shared" si="35"/>
        <v>1086370.454273812</v>
      </c>
      <c r="L103" s="68">
        <f t="shared" si="35"/>
        <v>820018.22806480259</v>
      </c>
      <c r="M103" s="68">
        <f t="shared" si="35"/>
        <v>884773.32801497227</v>
      </c>
      <c r="N103" s="68">
        <f t="shared" si="35"/>
        <v>1067532.5942282409</v>
      </c>
      <c r="O103" s="61"/>
    </row>
    <row r="104" spans="1:15">
      <c r="B104" s="1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61"/>
    </row>
    <row r="105" spans="1:15" hidden="1" outlineLevel="1">
      <c r="A105" s="3" t="s">
        <v>258</v>
      </c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77"/>
    </row>
    <row r="106" spans="1:15" hidden="1" outlineLevel="1">
      <c r="A106" t="str">
        <f t="shared" ref="A106:A111" si="36">A83</f>
        <v>Schedule 1</v>
      </c>
      <c r="B106" s="19"/>
      <c r="C106" s="81">
        <f t="shared" ref="C106:N106" si="37">C83*C67</f>
        <v>264023.40099375427</v>
      </c>
      <c r="D106" s="81">
        <f t="shared" si="37"/>
        <v>316487.69354012213</v>
      </c>
      <c r="E106" s="81">
        <f t="shared" si="37"/>
        <v>340243.0702816355</v>
      </c>
      <c r="F106" s="81">
        <f t="shared" si="37"/>
        <v>201754.43538747446</v>
      </c>
      <c r="G106" s="81">
        <f t="shared" si="37"/>
        <v>163703.28419145837</v>
      </c>
      <c r="H106" s="81">
        <f t="shared" si="37"/>
        <v>182664.31505373833</v>
      </c>
      <c r="I106" s="81">
        <f t="shared" si="37"/>
        <v>211690.7094478558</v>
      </c>
      <c r="J106" s="81">
        <f t="shared" si="37"/>
        <v>223955.5815904474</v>
      </c>
      <c r="K106" s="81">
        <f t="shared" si="37"/>
        <v>227476.68670868556</v>
      </c>
      <c r="L106" s="81">
        <f t="shared" si="37"/>
        <v>165840.28112493356</v>
      </c>
      <c r="M106" s="81">
        <f t="shared" si="37"/>
        <v>225028.81905809473</v>
      </c>
      <c r="N106" s="81">
        <f t="shared" si="37"/>
        <v>287452.27326495515</v>
      </c>
      <c r="O106" s="77"/>
    </row>
    <row r="107" spans="1:15" hidden="1" outlineLevel="1">
      <c r="A107" t="str">
        <f t="shared" si="36"/>
        <v xml:space="preserve">Schedule 11/12 </v>
      </c>
      <c r="B107" s="19"/>
      <c r="C107" s="81">
        <f t="shared" ref="C107:N107" si="38">C84*C68</f>
        <v>68893.105836523537</v>
      </c>
      <c r="D107" s="81">
        <f t="shared" si="38"/>
        <v>81943.23995424727</v>
      </c>
      <c r="E107" s="81">
        <f t="shared" si="38"/>
        <v>74721.860531628801</v>
      </c>
      <c r="F107" s="81">
        <f t="shared" si="38"/>
        <v>65017.91793106564</v>
      </c>
      <c r="G107" s="81">
        <f t="shared" si="38"/>
        <v>63214.185216686878</v>
      </c>
      <c r="H107" s="81">
        <f t="shared" si="38"/>
        <v>65723.553285435584</v>
      </c>
      <c r="I107" s="81">
        <f t="shared" si="38"/>
        <v>71217.961078742461</v>
      </c>
      <c r="J107" s="81">
        <f t="shared" si="38"/>
        <v>73204.380890226414</v>
      </c>
      <c r="K107" s="81">
        <f t="shared" si="38"/>
        <v>77527.533926352073</v>
      </c>
      <c r="L107" s="81">
        <f t="shared" si="38"/>
        <v>52382.752470943131</v>
      </c>
      <c r="M107" s="81">
        <f t="shared" si="38"/>
        <v>62976.466089085028</v>
      </c>
      <c r="N107" s="81">
        <f t="shared" si="38"/>
        <v>77711.252558528897</v>
      </c>
      <c r="O107" s="77"/>
    </row>
    <row r="108" spans="1:15" hidden="1" outlineLevel="1">
      <c r="A108" t="str">
        <f t="shared" si="36"/>
        <v>Schedule 11/12 Demand Metered</v>
      </c>
      <c r="B108" s="19"/>
      <c r="C108" s="81">
        <f t="shared" ref="C108:N108" si="39">C85*C68</f>
        <v>0</v>
      </c>
      <c r="D108" s="81">
        <f t="shared" si="39"/>
        <v>0</v>
      </c>
      <c r="E108" s="81">
        <f t="shared" si="39"/>
        <v>0</v>
      </c>
      <c r="F108" s="81">
        <f t="shared" si="39"/>
        <v>0</v>
      </c>
      <c r="G108" s="81">
        <f t="shared" si="39"/>
        <v>0</v>
      </c>
      <c r="H108" s="81">
        <f t="shared" si="39"/>
        <v>0</v>
      </c>
      <c r="I108" s="81">
        <f t="shared" si="39"/>
        <v>0</v>
      </c>
      <c r="J108" s="81">
        <f t="shared" si="39"/>
        <v>0</v>
      </c>
      <c r="K108" s="81">
        <f t="shared" si="39"/>
        <v>0</v>
      </c>
      <c r="L108" s="81">
        <f t="shared" si="39"/>
        <v>0</v>
      </c>
      <c r="M108" s="81">
        <f t="shared" si="39"/>
        <v>0</v>
      </c>
      <c r="N108" s="81">
        <f t="shared" si="39"/>
        <v>0</v>
      </c>
      <c r="O108" s="77"/>
    </row>
    <row r="109" spans="1:15" hidden="1" outlineLevel="1">
      <c r="A109" t="str">
        <f t="shared" si="36"/>
        <v>Schedule 21/22 Secondary</v>
      </c>
      <c r="B109" s="19"/>
      <c r="C109" s="81">
        <f>C86*C69</f>
        <v>106827.09706982621</v>
      </c>
      <c r="D109" s="81">
        <f t="shared" ref="D109:N109" si="40">D86*D69</f>
        <v>114162.70518924299</v>
      </c>
      <c r="E109" s="81">
        <f t="shared" si="40"/>
        <v>105040.94551229672</v>
      </c>
      <c r="F109" s="81">
        <f t="shared" si="40"/>
        <v>103509.95318431582</v>
      </c>
      <c r="G109" s="81">
        <f t="shared" si="40"/>
        <v>99170.069728859395</v>
      </c>
      <c r="H109" s="81">
        <f t="shared" si="40"/>
        <v>105410.75412585305</v>
      </c>
      <c r="I109" s="81">
        <f t="shared" si="40"/>
        <v>108211.39708345981</v>
      </c>
      <c r="J109" s="81">
        <f t="shared" si="40"/>
        <v>108343.33678185166</v>
      </c>
      <c r="K109" s="81">
        <f t="shared" si="40"/>
        <v>118283.44719977045</v>
      </c>
      <c r="L109" s="81">
        <f t="shared" si="40"/>
        <v>93674.365797546096</v>
      </c>
      <c r="M109" s="81">
        <f t="shared" si="40"/>
        <v>102785.60582709416</v>
      </c>
      <c r="N109" s="81">
        <f t="shared" si="40"/>
        <v>112139.17494218379</v>
      </c>
      <c r="O109" s="77"/>
    </row>
    <row r="110" spans="1:15" hidden="1" outlineLevel="1">
      <c r="A110" t="str">
        <f t="shared" si="36"/>
        <v>Schedule 21 Primary</v>
      </c>
      <c r="B110" s="19"/>
      <c r="C110" s="81">
        <f>C87*C70</f>
        <v>9884.6473463137354</v>
      </c>
      <c r="D110" s="81">
        <f t="shared" ref="D110:N110" si="41">D87*D70</f>
        <v>10734.015523540893</v>
      </c>
      <c r="E110" s="81">
        <f t="shared" si="41"/>
        <v>9371.8602069553272</v>
      </c>
      <c r="F110" s="81">
        <f t="shared" si="41"/>
        <v>9338.9182075563876</v>
      </c>
      <c r="G110" s="81">
        <f t="shared" si="41"/>
        <v>8301.9806641166397</v>
      </c>
      <c r="H110" s="81">
        <f t="shared" si="41"/>
        <v>8573.3327171327128</v>
      </c>
      <c r="I110" s="81">
        <f t="shared" si="41"/>
        <v>7550.6781170352779</v>
      </c>
      <c r="J110" s="81">
        <f t="shared" si="41"/>
        <v>8343.287655106411</v>
      </c>
      <c r="K110" s="81">
        <f t="shared" si="41"/>
        <v>8791.2777729604259</v>
      </c>
      <c r="L110" s="81">
        <f t="shared" si="41"/>
        <v>7438.5787509352758</v>
      </c>
      <c r="M110" s="81">
        <f t="shared" si="41"/>
        <v>8453.4772152668465</v>
      </c>
      <c r="N110" s="81">
        <f t="shared" si="41"/>
        <v>9262.0655516991028</v>
      </c>
      <c r="O110" s="77"/>
    </row>
    <row r="111" spans="1:15" hidden="1" outlineLevel="1">
      <c r="A111" t="str">
        <f t="shared" si="36"/>
        <v>Schedule 31/32</v>
      </c>
      <c r="B111" s="19"/>
      <c r="C111" s="81">
        <f t="shared" ref="C111:N111" si="42">C88*C71</f>
        <v>14684.577428163986</v>
      </c>
      <c r="D111" s="81">
        <f t="shared" si="42"/>
        <v>14991.329329309792</v>
      </c>
      <c r="E111" s="81">
        <f t="shared" si="42"/>
        <v>18230.966064439461</v>
      </c>
      <c r="F111" s="81">
        <f t="shared" si="42"/>
        <v>14974.228605250455</v>
      </c>
      <c r="G111" s="81">
        <f t="shared" si="42"/>
        <v>21227.150601707533</v>
      </c>
      <c r="H111" s="81">
        <f t="shared" si="42"/>
        <v>19951.450915721936</v>
      </c>
      <c r="I111" s="81">
        <f t="shared" si="42"/>
        <v>24794.774240851875</v>
      </c>
      <c r="J111" s="81">
        <f t="shared" si="42"/>
        <v>22425.997919177717</v>
      </c>
      <c r="K111" s="81">
        <f t="shared" si="42"/>
        <v>26226.210196223488</v>
      </c>
      <c r="L111" s="81">
        <f t="shared" si="42"/>
        <v>15045.699194791297</v>
      </c>
      <c r="M111" s="81">
        <f t="shared" si="42"/>
        <v>14523.191923145027</v>
      </c>
      <c r="N111" s="81">
        <f t="shared" si="42"/>
        <v>16439.855159700848</v>
      </c>
      <c r="O111" s="77"/>
    </row>
    <row r="112" spans="1:15" hidden="1" outlineLevel="1">
      <c r="A112" t="s">
        <v>275</v>
      </c>
      <c r="B112" s="43">
        <f>'Peak Calc CP'!B28</f>
        <v>7243308.4059299994</v>
      </c>
      <c r="C112" s="81">
        <f>$B112/'2019 Daylight'!Hrs_Darkness</f>
        <v>1687.9578372462809</v>
      </c>
      <c r="D112" s="81">
        <f>$B112/'2019 Daylight'!Hrs_Darkness</f>
        <v>1687.9578372462809</v>
      </c>
      <c r="E112" s="81">
        <f>$B112/'2019 Daylight'!Hrs_Darkness</f>
        <v>1687.9578372462809</v>
      </c>
      <c r="F112" s="81">
        <f>$B112/'2019 Daylight'!Hrs_Darkness</f>
        <v>1687.9578372462809</v>
      </c>
      <c r="G112" s="81">
        <f>$B112/'2019 Daylight'!Hrs_Darkness</f>
        <v>1687.9578372462809</v>
      </c>
      <c r="H112" s="81">
        <f>$B112/'2019 Daylight'!Hrs_Darkness</f>
        <v>1687.9578372462809</v>
      </c>
      <c r="I112" s="81">
        <f>$B112/'2019 Daylight'!Hrs_Darkness</f>
        <v>1687.9578372462809</v>
      </c>
      <c r="J112" s="81">
        <f>$B112/'2019 Daylight'!Hrs_Darkness</f>
        <v>1687.9578372462809</v>
      </c>
      <c r="K112" s="81">
        <f>$B112/'2019 Daylight'!Hrs_Darkness</f>
        <v>1687.9578372462809</v>
      </c>
      <c r="L112" s="81">
        <f>$B112/'2019 Daylight'!Hrs_Darkness</f>
        <v>1687.9578372462809</v>
      </c>
      <c r="M112" s="81">
        <f>$B112/'2019 Daylight'!Hrs_Darkness</f>
        <v>1687.9578372462809</v>
      </c>
      <c r="N112" s="81">
        <f>$B112/'2019 Daylight'!Hrs_Darkness</f>
        <v>1687.9578372462809</v>
      </c>
      <c r="O112" s="77"/>
    </row>
    <row r="113" spans="1:15" hidden="1" outlineLevel="1">
      <c r="A113" t="s">
        <v>276</v>
      </c>
      <c r="B113" s="43">
        <f>'Peak Calc CP'!B29</f>
        <v>3809164.0015500002</v>
      </c>
      <c r="C113" s="81">
        <f>$B113/'2019 Daylight'!Hrs_Darkness</f>
        <v>887.67561305394804</v>
      </c>
      <c r="D113" s="81">
        <f>$B113/'2019 Daylight'!Hrs_Darkness</f>
        <v>887.67561305394804</v>
      </c>
      <c r="E113" s="81">
        <f>$B113/'2019 Daylight'!Hrs_Darkness</f>
        <v>887.67561305394804</v>
      </c>
      <c r="F113" s="81">
        <f>$B113/'2019 Daylight'!Hrs_Darkness</f>
        <v>887.67561305394804</v>
      </c>
      <c r="G113" s="81">
        <f>$B113/'2019 Daylight'!Hrs_Darkness</f>
        <v>887.67561305394804</v>
      </c>
      <c r="H113" s="81">
        <f>$B113/'2019 Daylight'!Hrs_Darkness</f>
        <v>887.67561305394804</v>
      </c>
      <c r="I113" s="81">
        <f>$B113/'2019 Daylight'!Hrs_Darkness</f>
        <v>887.67561305394804</v>
      </c>
      <c r="J113" s="81">
        <f>$B113/'2019 Daylight'!Hrs_Darkness</f>
        <v>887.67561305394804</v>
      </c>
      <c r="K113" s="81">
        <f>$B113/'2019 Daylight'!Hrs_Darkness</f>
        <v>887.67561305394804</v>
      </c>
      <c r="L113" s="81">
        <f>$B113/'2019 Daylight'!Hrs_Darkness</f>
        <v>887.67561305394804</v>
      </c>
      <c r="M113" s="81">
        <f>$B113/'2019 Daylight'!Hrs_Darkness</f>
        <v>887.67561305394804</v>
      </c>
      <c r="N113" s="81">
        <f>$B113/'2019 Daylight'!Hrs_Darkness</f>
        <v>887.67561305394804</v>
      </c>
      <c r="O113" s="77"/>
    </row>
    <row r="114" spans="1:15" hidden="1" outlineLevel="1">
      <c r="A114" s="163" t="s">
        <v>2335</v>
      </c>
      <c r="B114" s="61"/>
      <c r="C114" s="82">
        <v>47591.57</v>
      </c>
      <c r="D114" s="82">
        <v>48727.584999999999</v>
      </c>
      <c r="E114" s="82">
        <v>46546.351000000002</v>
      </c>
      <c r="F114" s="82">
        <v>44319.222000000002</v>
      </c>
      <c r="G114" s="82">
        <v>43110.076000000001</v>
      </c>
      <c r="H114" s="82">
        <v>45180.101000000002</v>
      </c>
      <c r="I114" s="82">
        <v>45031.282000000007</v>
      </c>
      <c r="J114" s="82">
        <v>46388.460698924726</v>
      </c>
      <c r="K114" s="82">
        <v>46103.096388888887</v>
      </c>
      <c r="L114" s="82">
        <v>47544.766999999993</v>
      </c>
      <c r="M114" s="82">
        <v>47937.068999999989</v>
      </c>
      <c r="N114" s="82">
        <v>47759.155000000006</v>
      </c>
      <c r="O114" s="77"/>
    </row>
    <row r="115" spans="1:15" hidden="1" outlineLevel="1">
      <c r="A115" s="163" t="s">
        <v>411</v>
      </c>
      <c r="B115" s="61"/>
      <c r="C115" s="82">
        <v>566.4</v>
      </c>
      <c r="D115" s="82">
        <v>422.4</v>
      </c>
      <c r="E115" s="82">
        <v>614.4</v>
      </c>
      <c r="F115" s="82">
        <v>480</v>
      </c>
      <c r="G115" s="82">
        <v>1108.8</v>
      </c>
      <c r="H115" s="82">
        <v>758.4</v>
      </c>
      <c r="I115" s="82">
        <v>782.4</v>
      </c>
      <c r="J115" s="82">
        <v>633.6</v>
      </c>
      <c r="K115" s="82">
        <v>456</v>
      </c>
      <c r="L115" s="82">
        <v>700.8</v>
      </c>
      <c r="M115" s="82">
        <v>451.2</v>
      </c>
      <c r="N115" s="82">
        <v>1094.4000000000001</v>
      </c>
      <c r="O115" s="77"/>
    </row>
    <row r="116" spans="1:15" hidden="1" outlineLevel="1">
      <c r="A116" s="163" t="s">
        <v>2338</v>
      </c>
      <c r="B116" s="61"/>
      <c r="C116" s="82">
        <v>84080</v>
      </c>
      <c r="D116" s="82">
        <v>69920</v>
      </c>
      <c r="E116" s="82">
        <v>73990.000000000015</v>
      </c>
      <c r="F116" s="82">
        <v>56780</v>
      </c>
      <c r="G116" s="82">
        <v>58120.000000000007</v>
      </c>
      <c r="H116" s="82">
        <v>52200</v>
      </c>
      <c r="I116" s="82">
        <v>76070</v>
      </c>
      <c r="J116" s="82">
        <v>76030</v>
      </c>
      <c r="K116" s="82">
        <v>71650</v>
      </c>
      <c r="L116" s="82">
        <v>78850</v>
      </c>
      <c r="M116" s="82">
        <v>57440</v>
      </c>
      <c r="N116" s="82">
        <v>70190</v>
      </c>
      <c r="O116" s="77"/>
    </row>
    <row r="117" spans="1:15" hidden="1" outlineLevel="1">
      <c r="A117" s="163" t="s">
        <v>2337</v>
      </c>
      <c r="B117" s="61"/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77"/>
    </row>
    <row r="118" spans="1:15" hidden="1" outlineLevel="1">
      <c r="A118" t="s">
        <v>277</v>
      </c>
      <c r="B118" s="19"/>
      <c r="C118" s="65">
        <f t="shared" ref="C118:N118" si="43">SUM(C92:C102,C106:C117)</f>
        <v>1590750.506535406</v>
      </c>
      <c r="D118" s="65">
        <f t="shared" si="43"/>
        <v>1775714.5235487102</v>
      </c>
      <c r="E118" s="65">
        <f t="shared" si="43"/>
        <v>1854312.0462039006</v>
      </c>
      <c r="F118" s="65">
        <f t="shared" si="43"/>
        <v>1374952.2083839036</v>
      </c>
      <c r="G118" s="65">
        <f t="shared" si="43"/>
        <v>1297580.1316784678</v>
      </c>
      <c r="H118" s="65">
        <f t="shared" si="43"/>
        <v>1374478.7367557597</v>
      </c>
      <c r="I118" s="65">
        <f t="shared" si="43"/>
        <v>1500139.919467852</v>
      </c>
      <c r="J118" s="65">
        <f t="shared" si="43"/>
        <v>1552841.1182495023</v>
      </c>
      <c r="K118" s="65">
        <f t="shared" si="43"/>
        <v>1665460.3399169932</v>
      </c>
      <c r="L118" s="65">
        <f t="shared" si="43"/>
        <v>1284071.1058542521</v>
      </c>
      <c r="M118" s="65">
        <f t="shared" si="43"/>
        <v>1406944.7905779579</v>
      </c>
      <c r="N118" s="65">
        <f t="shared" si="43"/>
        <v>1692156.4041556087</v>
      </c>
      <c r="O118" s="77"/>
    </row>
    <row r="119" spans="1:15" hidden="1" outlineLevel="1">
      <c r="B119" s="19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77"/>
    </row>
    <row r="120" spans="1:15" collapsed="1">
      <c r="A120" s="3" t="s">
        <v>287</v>
      </c>
      <c r="B120" s="19"/>
      <c r="C120" s="105">
        <f>C$5</f>
        <v>43496</v>
      </c>
      <c r="D120" s="105">
        <f t="shared" ref="D120:N120" si="44">D$5</f>
        <v>43524</v>
      </c>
      <c r="E120" s="105">
        <f t="shared" si="44"/>
        <v>43555</v>
      </c>
      <c r="F120" s="105">
        <f t="shared" si="44"/>
        <v>43585</v>
      </c>
      <c r="G120" s="105">
        <f t="shared" si="44"/>
        <v>43616</v>
      </c>
      <c r="H120" s="105">
        <f t="shared" si="44"/>
        <v>43646</v>
      </c>
      <c r="I120" s="105">
        <f t="shared" si="44"/>
        <v>43677</v>
      </c>
      <c r="J120" s="105">
        <f t="shared" si="44"/>
        <v>43708</v>
      </c>
      <c r="K120" s="105">
        <f t="shared" si="44"/>
        <v>43738</v>
      </c>
      <c r="L120" s="105">
        <f t="shared" si="44"/>
        <v>43769</v>
      </c>
      <c r="M120" s="105">
        <f t="shared" si="44"/>
        <v>43799</v>
      </c>
      <c r="N120" s="105">
        <f t="shared" si="44"/>
        <v>43830</v>
      </c>
      <c r="O120" s="11" t="s">
        <v>288</v>
      </c>
    </row>
    <row r="121" spans="1:15" outlineLevel="1">
      <c r="A121" s="3" t="s">
        <v>252</v>
      </c>
      <c r="B121" s="19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11" t="s">
        <v>251</v>
      </c>
    </row>
    <row r="122" spans="1:15" outlineLevel="1">
      <c r="A122" t="str">
        <f t="shared" ref="A122:A132" si="45">A92</f>
        <v>Schedule 1</v>
      </c>
      <c r="B122" s="159">
        <f>'Peak Calc CP'!B41</f>
        <v>1.056</v>
      </c>
      <c r="C122" s="83">
        <f t="shared" ref="C122:N122" si="46">C92*$B122</f>
        <v>523955.56741609582</v>
      </c>
      <c r="D122" s="83">
        <f t="shared" si="46"/>
        <v>619214.17831905745</v>
      </c>
      <c r="E122" s="83">
        <f t="shared" si="46"/>
        <v>715479.69847414643</v>
      </c>
      <c r="F122" s="83">
        <f t="shared" si="46"/>
        <v>400869.26532359846</v>
      </c>
      <c r="G122" s="83">
        <f t="shared" si="46"/>
        <v>338863.14559125749</v>
      </c>
      <c r="H122" s="83">
        <f t="shared" si="46"/>
        <v>366860.57243069675</v>
      </c>
      <c r="I122" s="83">
        <f t="shared" si="46"/>
        <v>428576.12643965846</v>
      </c>
      <c r="J122" s="83">
        <f t="shared" si="46"/>
        <v>464629.95114565198</v>
      </c>
      <c r="K122" s="83">
        <f t="shared" si="46"/>
        <v>509753.68647729332</v>
      </c>
      <c r="L122" s="83">
        <f t="shared" si="46"/>
        <v>363857.55233235605</v>
      </c>
      <c r="M122" s="83">
        <f t="shared" si="46"/>
        <v>442867.91459476907</v>
      </c>
      <c r="N122" s="83">
        <f t="shared" si="46"/>
        <v>586303.72585303604</v>
      </c>
      <c r="O122" s="44">
        <f t="shared" ref="O122:O132" si="47">AVERAGE(C122:N122)</f>
        <v>480102.61536646815</v>
      </c>
    </row>
    <row r="123" spans="1:15" outlineLevel="1">
      <c r="A123" t="str">
        <f t="shared" si="45"/>
        <v>Schedule 11/12</v>
      </c>
      <c r="B123" s="159">
        <f>'Peak Calc CP'!B42</f>
        <v>1.056</v>
      </c>
      <c r="C123" s="83">
        <f t="shared" ref="C123:N123" si="48">C93*$B123</f>
        <v>118936.22528395786</v>
      </c>
      <c r="D123" s="83">
        <f t="shared" si="48"/>
        <v>141831.05427674935</v>
      </c>
      <c r="E123" s="83">
        <f t="shared" si="48"/>
        <v>131718.22438087908</v>
      </c>
      <c r="F123" s="83">
        <f t="shared" si="48"/>
        <v>109344.94821820396</v>
      </c>
      <c r="G123" s="83">
        <f t="shared" si="48"/>
        <v>108732.9399509846</v>
      </c>
      <c r="H123" s="83">
        <f t="shared" si="48"/>
        <v>113325.00887529449</v>
      </c>
      <c r="I123" s="83">
        <f t="shared" si="48"/>
        <v>116704.0175110401</v>
      </c>
      <c r="J123" s="83">
        <f t="shared" si="48"/>
        <v>119894.94454866427</v>
      </c>
      <c r="K123" s="83">
        <f t="shared" si="48"/>
        <v>121621.76601133657</v>
      </c>
      <c r="L123" s="83">
        <f t="shared" si="48"/>
        <v>95076.349916878113</v>
      </c>
      <c r="M123" s="83">
        <f t="shared" si="48"/>
        <v>104787.24000071162</v>
      </c>
      <c r="N123" s="83">
        <f t="shared" si="48"/>
        <v>121393.3149658731</v>
      </c>
      <c r="O123" s="44">
        <f t="shared" si="47"/>
        <v>116947.16949504775</v>
      </c>
    </row>
    <row r="124" spans="1:15" outlineLevel="1">
      <c r="A124" t="str">
        <f t="shared" si="45"/>
        <v>Schedule 21/22  Secondary</v>
      </c>
      <c r="B124" s="159">
        <f>'Peak Calc CP'!B43</f>
        <v>1.056</v>
      </c>
      <c r="C124" s="83">
        <f t="shared" ref="C124:N124" si="49">C94*$B124</f>
        <v>217341.19993485411</v>
      </c>
      <c r="D124" s="83">
        <f t="shared" si="49"/>
        <v>230168.69385284092</v>
      </c>
      <c r="E124" s="83">
        <f t="shared" si="49"/>
        <v>212763.15396780631</v>
      </c>
      <c r="F124" s="83">
        <f t="shared" si="49"/>
        <v>222635.96009863369</v>
      </c>
      <c r="G124" s="83">
        <f t="shared" si="49"/>
        <v>220419.94627451163</v>
      </c>
      <c r="H124" s="83">
        <f t="shared" si="49"/>
        <v>228902.73043263148</v>
      </c>
      <c r="I124" s="83">
        <f t="shared" si="49"/>
        <v>227289.30453714167</v>
      </c>
      <c r="J124" s="83">
        <f t="shared" si="49"/>
        <v>221931.17241065457</v>
      </c>
      <c r="K124" s="83">
        <f t="shared" si="49"/>
        <v>256936.67485528448</v>
      </c>
      <c r="L124" s="83">
        <f t="shared" si="49"/>
        <v>204344.53476056966</v>
      </c>
      <c r="M124" s="83">
        <f t="shared" si="49"/>
        <v>201787.94930137569</v>
      </c>
      <c r="N124" s="83">
        <f t="shared" si="49"/>
        <v>231565.68301531134</v>
      </c>
      <c r="O124" s="44">
        <f t="shared" si="47"/>
        <v>223007.25028680125</v>
      </c>
    </row>
    <row r="125" spans="1:15" outlineLevel="1">
      <c r="A125" t="str">
        <f t="shared" si="45"/>
        <v>Schedule 21 Primary</v>
      </c>
      <c r="B125" s="159">
        <f>'Peak Calc CP'!B44</f>
        <v>1.0429999999999999</v>
      </c>
      <c r="C125" s="83">
        <f>C95*$B125</f>
        <v>19151.977971051554</v>
      </c>
      <c r="D125" s="83">
        <f t="shared" ref="D125:N125" si="50">D95*$B125</f>
        <v>17762.447731968918</v>
      </c>
      <c r="E125" s="83">
        <f t="shared" si="50"/>
        <v>18732.708519367985</v>
      </c>
      <c r="F125" s="83">
        <f t="shared" si="50"/>
        <v>18991.215953234976</v>
      </c>
      <c r="G125" s="83">
        <f t="shared" si="50"/>
        <v>19367.22424908468</v>
      </c>
      <c r="H125" s="83">
        <f t="shared" si="50"/>
        <v>19931.294682323398</v>
      </c>
      <c r="I125" s="83">
        <f t="shared" si="50"/>
        <v>19541.628833240058</v>
      </c>
      <c r="J125" s="83">
        <f t="shared" si="50"/>
        <v>20542.110942042556</v>
      </c>
      <c r="K125" s="83">
        <f t="shared" si="50"/>
        <v>23152.024218237668</v>
      </c>
      <c r="L125" s="83">
        <f t="shared" si="50"/>
        <v>17122.748454021592</v>
      </c>
      <c r="M125" s="83">
        <f t="shared" si="50"/>
        <v>19039.396822392275</v>
      </c>
      <c r="N125" s="83">
        <f t="shared" si="50"/>
        <v>18773.373365896299</v>
      </c>
      <c r="O125" s="44">
        <f t="shared" si="47"/>
        <v>19342.345978571826</v>
      </c>
    </row>
    <row r="126" spans="1:15" outlineLevel="1">
      <c r="A126" t="str">
        <f t="shared" si="45"/>
        <v>Schedule 31/32</v>
      </c>
      <c r="B126" s="159">
        <f>'Peak Calc CP'!B45</f>
        <v>1.056</v>
      </c>
      <c r="C126" s="83">
        <f t="shared" ref="C126:N126" si="51">C96*$B126</f>
        <v>10900.679116606441</v>
      </c>
      <c r="D126" s="83">
        <f t="shared" si="51"/>
        <v>11120.66050269968</v>
      </c>
      <c r="E126" s="83">
        <f t="shared" si="51"/>
        <v>9506.9983220106133</v>
      </c>
      <c r="F126" s="83">
        <f t="shared" si="51"/>
        <v>16388.908118715284</v>
      </c>
      <c r="G126" s="83">
        <f t="shared" si="51"/>
        <v>36403.627953320865</v>
      </c>
      <c r="H126" s="83">
        <f t="shared" si="51"/>
        <v>44380.912879954303</v>
      </c>
      <c r="I126" s="83">
        <f t="shared" si="51"/>
        <v>48636.039554078103</v>
      </c>
      <c r="J126" s="83">
        <f t="shared" si="51"/>
        <v>50141.38687893482</v>
      </c>
      <c r="K126" s="83">
        <f t="shared" si="51"/>
        <v>74274.359335534216</v>
      </c>
      <c r="L126" s="83">
        <f t="shared" si="51"/>
        <v>25991.740527746115</v>
      </c>
      <c r="M126" s="83">
        <f t="shared" si="51"/>
        <v>10028.878576024315</v>
      </c>
      <c r="N126" s="83">
        <f t="shared" si="51"/>
        <v>10308.590588728992</v>
      </c>
      <c r="O126" s="44">
        <f t="shared" si="47"/>
        <v>29006.898529529481</v>
      </c>
    </row>
    <row r="127" spans="1:15" outlineLevel="1">
      <c r="A127" t="str">
        <f t="shared" si="45"/>
        <v>Street Lights</v>
      </c>
      <c r="B127" s="159">
        <f>'Peak Calc CP'!B46</f>
        <v>1.056</v>
      </c>
      <c r="C127" s="83">
        <f t="shared" ref="C127:N127" si="52">C97*$B127</f>
        <v>2640.4739313932032</v>
      </c>
      <c r="D127" s="83">
        <f t="shared" si="52"/>
        <v>2640.4739313932032</v>
      </c>
      <c r="E127" s="83">
        <f t="shared" si="52"/>
        <v>2640.4739313932032</v>
      </c>
      <c r="F127" s="83">
        <f t="shared" si="52"/>
        <v>2640.4739313932032</v>
      </c>
      <c r="G127" s="83">
        <f t="shared" si="52"/>
        <v>2640.4739313932032</v>
      </c>
      <c r="H127" s="83">
        <f t="shared" si="52"/>
        <v>2640.4739313932032</v>
      </c>
      <c r="I127" s="83">
        <f t="shared" si="52"/>
        <v>2640.4739313932032</v>
      </c>
      <c r="J127" s="83">
        <f t="shared" si="52"/>
        <v>2640.4739313932032</v>
      </c>
      <c r="K127" s="83">
        <f t="shared" si="52"/>
        <v>2640.4739313932032</v>
      </c>
      <c r="L127" s="83">
        <f t="shared" si="52"/>
        <v>2640.4739313932032</v>
      </c>
      <c r="M127" s="83">
        <f t="shared" si="52"/>
        <v>2640.4739313932032</v>
      </c>
      <c r="N127" s="83">
        <f t="shared" si="52"/>
        <v>2640.4739313932032</v>
      </c>
      <c r="O127" s="44">
        <f t="shared" si="47"/>
        <v>2640.4739313932037</v>
      </c>
    </row>
    <row r="128" spans="1:15" outlineLevel="1">
      <c r="A128" t="str">
        <f t="shared" si="45"/>
        <v>Area Lights</v>
      </c>
      <c r="B128" s="159">
        <f>'Peak Calc CP'!B47</f>
        <v>1.056</v>
      </c>
      <c r="C128" s="83">
        <f t="shared" ref="C128:N128" si="53">C98*$B128</f>
        <v>1779.7205887283612</v>
      </c>
      <c r="D128" s="83">
        <f t="shared" si="53"/>
        <v>1779.7205887283612</v>
      </c>
      <c r="E128" s="83">
        <f t="shared" si="53"/>
        <v>1779.7205887283612</v>
      </c>
      <c r="F128" s="83">
        <f t="shared" si="53"/>
        <v>1779.7205887283612</v>
      </c>
      <c r="G128" s="83">
        <f t="shared" si="53"/>
        <v>1779.7205887283612</v>
      </c>
      <c r="H128" s="83">
        <f t="shared" si="53"/>
        <v>1779.7205887283612</v>
      </c>
      <c r="I128" s="83">
        <f t="shared" si="53"/>
        <v>1779.7205887283612</v>
      </c>
      <c r="J128" s="83">
        <f t="shared" si="53"/>
        <v>1779.7205887283612</v>
      </c>
      <c r="K128" s="83">
        <f t="shared" si="53"/>
        <v>1779.7205887283612</v>
      </c>
      <c r="L128" s="83">
        <f t="shared" si="53"/>
        <v>1779.7205887283612</v>
      </c>
      <c r="M128" s="83">
        <f t="shared" si="53"/>
        <v>1779.7205887283612</v>
      </c>
      <c r="N128" s="83">
        <f t="shared" si="53"/>
        <v>1779.7205887283612</v>
      </c>
      <c r="O128" s="44">
        <f t="shared" si="47"/>
        <v>1779.720588728361</v>
      </c>
    </row>
    <row r="129" spans="1:15" outlineLevel="1">
      <c r="A129" t="str">
        <f t="shared" si="45"/>
        <v>Schedule 21 Transmission</v>
      </c>
      <c r="B129" s="159">
        <f>'Peak Calc CP'!B48</f>
        <v>1.03</v>
      </c>
      <c r="C129" s="83">
        <f t="shared" ref="C129:N129" si="54">C99*$B129</f>
        <v>0</v>
      </c>
      <c r="D129" s="83">
        <f t="shared" si="54"/>
        <v>0</v>
      </c>
      <c r="E129" s="83">
        <f t="shared" si="54"/>
        <v>0</v>
      </c>
      <c r="F129" s="83">
        <f t="shared" si="54"/>
        <v>0</v>
      </c>
      <c r="G129" s="83">
        <f t="shared" si="54"/>
        <v>0</v>
      </c>
      <c r="H129" s="83">
        <f t="shared" si="54"/>
        <v>0</v>
      </c>
      <c r="I129" s="83">
        <f t="shared" si="54"/>
        <v>0</v>
      </c>
      <c r="J129" s="83">
        <f t="shared" si="54"/>
        <v>0</v>
      </c>
      <c r="K129" s="83">
        <f t="shared" si="54"/>
        <v>0</v>
      </c>
      <c r="L129" s="83">
        <f t="shared" si="54"/>
        <v>0</v>
      </c>
      <c r="M129" s="83">
        <f t="shared" si="54"/>
        <v>0</v>
      </c>
      <c r="N129" s="83">
        <f t="shared" si="54"/>
        <v>0</v>
      </c>
      <c r="O129" s="44">
        <f t="shared" si="47"/>
        <v>0</v>
      </c>
    </row>
    <row r="130" spans="1:15" outlineLevel="1">
      <c r="A130" t="str">
        <f t="shared" si="45"/>
        <v>Schedule 25 Transmission</v>
      </c>
      <c r="B130" s="159">
        <f>'Peak Calc CP'!B49</f>
        <v>1.03</v>
      </c>
      <c r="C130" s="83">
        <f t="shared" ref="C130:N130" si="55">C100*$B130</f>
        <v>53098.560000000005</v>
      </c>
      <c r="D130" s="83">
        <f t="shared" si="55"/>
        <v>56213.279999999999</v>
      </c>
      <c r="E130" s="83">
        <f t="shared" si="55"/>
        <v>58883.040000000001</v>
      </c>
      <c r="F130" s="83">
        <f t="shared" si="55"/>
        <v>59587.560000000005</v>
      </c>
      <c r="G130" s="83">
        <f t="shared" si="55"/>
        <v>58586.400000000001</v>
      </c>
      <c r="H130" s="83">
        <f t="shared" si="55"/>
        <v>59105.520000000004</v>
      </c>
      <c r="I130" s="83">
        <f t="shared" si="55"/>
        <v>59958.36</v>
      </c>
      <c r="J130" s="83">
        <f t="shared" si="55"/>
        <v>57733.560000000005</v>
      </c>
      <c r="K130" s="83">
        <f t="shared" si="55"/>
        <v>56695.32</v>
      </c>
      <c r="L130" s="83">
        <f t="shared" si="55"/>
        <v>58549.32</v>
      </c>
      <c r="M130" s="83">
        <f t="shared" si="55"/>
        <v>55731.24</v>
      </c>
      <c r="N130" s="83">
        <f t="shared" si="55"/>
        <v>59290.92</v>
      </c>
      <c r="O130" s="44">
        <f t="shared" si="47"/>
        <v>57786.090000000004</v>
      </c>
    </row>
    <row r="131" spans="1:15" outlineLevel="1">
      <c r="A131" t="str">
        <f t="shared" si="45"/>
        <v>Schedule 25 Primary</v>
      </c>
      <c r="B131" s="159">
        <f>'Peak Calc CP'!B50</f>
        <v>1.0429999999999999</v>
      </c>
      <c r="C131" s="83">
        <f t="shared" ref="C131:N131" si="56">C101*$B131</f>
        <v>85218.002100000012</v>
      </c>
      <c r="D131" s="83">
        <f t="shared" si="56"/>
        <v>82528.730899999995</v>
      </c>
      <c r="E131" s="83">
        <f t="shared" si="56"/>
        <v>82324.927656999993</v>
      </c>
      <c r="F131" s="83">
        <f t="shared" si="56"/>
        <v>78955.874323199983</v>
      </c>
      <c r="G131" s="83">
        <f t="shared" si="56"/>
        <v>83123.264420771491</v>
      </c>
      <c r="H131" s="83">
        <f t="shared" si="56"/>
        <v>87691.372300000017</v>
      </c>
      <c r="I131" s="83">
        <f t="shared" si="56"/>
        <v>85279.643400000001</v>
      </c>
      <c r="J131" s="83">
        <f t="shared" si="56"/>
        <v>89356.730399999986</v>
      </c>
      <c r="K131" s="83">
        <f t="shared" si="56"/>
        <v>83791.803900000014</v>
      </c>
      <c r="L131" s="83">
        <f t="shared" si="56"/>
        <v>78751.967058333321</v>
      </c>
      <c r="M131" s="83">
        <f t="shared" si="56"/>
        <v>77342.339767961166</v>
      </c>
      <c r="N131" s="83">
        <f t="shared" si="56"/>
        <v>78921.457922849484</v>
      </c>
      <c r="O131" s="44">
        <f t="shared" si="47"/>
        <v>82773.84284584297</v>
      </c>
    </row>
    <row r="132" spans="1:15" outlineLevel="1">
      <c r="A132" t="str">
        <f t="shared" si="45"/>
        <v>Schedule 25 Secondary</v>
      </c>
      <c r="B132" s="159">
        <f>'Peak Calc CP'!B51</f>
        <v>1.056</v>
      </c>
      <c r="C132" s="83">
        <f t="shared" ref="C132:N132" si="57">C102*$B132</f>
        <v>11491.392</v>
      </c>
      <c r="D132" s="83">
        <f t="shared" si="57"/>
        <v>12303.667200000002</v>
      </c>
      <c r="E132" s="83">
        <f t="shared" si="57"/>
        <v>12648.768</v>
      </c>
      <c r="F132" s="83">
        <f t="shared" si="57"/>
        <v>11350.3104</v>
      </c>
      <c r="G132" s="83">
        <f t="shared" si="57"/>
        <v>11250.624</v>
      </c>
      <c r="H132" s="83">
        <f t="shared" si="57"/>
        <v>13910.899200000002</v>
      </c>
      <c r="I132" s="83">
        <f t="shared" si="57"/>
        <v>12313.8048</v>
      </c>
      <c r="J132" s="83">
        <f t="shared" si="57"/>
        <v>14956.339200000002</v>
      </c>
      <c r="K132" s="83">
        <f t="shared" si="57"/>
        <v>13797.2736</v>
      </c>
      <c r="L132" s="83">
        <f t="shared" si="57"/>
        <v>15151.910400000002</v>
      </c>
      <c r="M132" s="83">
        <f t="shared" si="57"/>
        <v>15707.366400000001</v>
      </c>
      <c r="N132" s="83">
        <f t="shared" si="57"/>
        <v>13622.822400000001</v>
      </c>
      <c r="O132" s="44">
        <f t="shared" si="47"/>
        <v>13208.764800000003</v>
      </c>
    </row>
    <row r="133" spans="1:15" outlineLevel="1">
      <c r="A133" t="s">
        <v>280</v>
      </c>
      <c r="B133" s="19"/>
      <c r="C133" s="84">
        <f t="shared" ref="C133:O133" si="58">SUM(C122:C132)</f>
        <v>1044513.7983426875</v>
      </c>
      <c r="D133" s="84">
        <f t="shared" si="58"/>
        <v>1175562.9073034381</v>
      </c>
      <c r="E133" s="84">
        <f t="shared" si="58"/>
        <v>1246477.7138413317</v>
      </c>
      <c r="F133" s="84">
        <f t="shared" si="58"/>
        <v>922544.23695570789</v>
      </c>
      <c r="G133" s="84">
        <f t="shared" si="58"/>
        <v>881167.3669600524</v>
      </c>
      <c r="H133" s="84">
        <f t="shared" si="58"/>
        <v>938528.50532102201</v>
      </c>
      <c r="I133" s="84">
        <f t="shared" si="58"/>
        <v>1002719.1195952799</v>
      </c>
      <c r="J133" s="84">
        <f t="shared" si="58"/>
        <v>1043606.3900460699</v>
      </c>
      <c r="K133" s="84">
        <f t="shared" si="58"/>
        <v>1144443.1029178076</v>
      </c>
      <c r="L133" s="84">
        <f t="shared" si="58"/>
        <v>863266.31797002652</v>
      </c>
      <c r="M133" s="84">
        <f t="shared" si="58"/>
        <v>931712.51998335565</v>
      </c>
      <c r="N133" s="84">
        <f t="shared" si="58"/>
        <v>1124600.0826318169</v>
      </c>
      <c r="O133" s="45">
        <f t="shared" si="58"/>
        <v>1026595.1718223828</v>
      </c>
    </row>
    <row r="134" spans="1:15">
      <c r="B134" s="1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77"/>
    </row>
    <row r="135" spans="1:15" hidden="1" outlineLevel="1">
      <c r="A135" s="3" t="s">
        <v>258</v>
      </c>
      <c r="B135" s="19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77"/>
    </row>
    <row r="136" spans="1:15" hidden="1" outlineLevel="1">
      <c r="A136" t="str">
        <f>A106</f>
        <v>Schedule 1</v>
      </c>
      <c r="B136" s="159">
        <f>'Peak Calc CP'!B55</f>
        <v>1.056</v>
      </c>
      <c r="C136" s="20">
        <f t="shared" ref="C136:N136" si="59">C106*$B136</f>
        <v>278808.71144940454</v>
      </c>
      <c r="D136" s="20">
        <f t="shared" si="59"/>
        <v>334211.00437836896</v>
      </c>
      <c r="E136" s="20">
        <f t="shared" si="59"/>
        <v>359296.6822174071</v>
      </c>
      <c r="F136" s="20">
        <f t="shared" si="59"/>
        <v>213052.68376917305</v>
      </c>
      <c r="G136" s="20">
        <f t="shared" si="59"/>
        <v>172870.66810618003</v>
      </c>
      <c r="H136" s="20">
        <f t="shared" si="59"/>
        <v>192893.51669674768</v>
      </c>
      <c r="I136" s="20">
        <f t="shared" si="59"/>
        <v>223545.38917693574</v>
      </c>
      <c r="J136" s="20">
        <f t="shared" si="59"/>
        <v>236497.09415951246</v>
      </c>
      <c r="K136" s="20">
        <f t="shared" si="59"/>
        <v>240215.38116437197</v>
      </c>
      <c r="L136" s="20">
        <f t="shared" si="59"/>
        <v>175127.33686792984</v>
      </c>
      <c r="M136" s="20">
        <f t="shared" si="59"/>
        <v>237630.43292534805</v>
      </c>
      <c r="N136" s="20">
        <f t="shared" si="59"/>
        <v>303549.60056779266</v>
      </c>
      <c r="O136" s="9">
        <f t="shared" ref="O136:O147" si="60">AVERAGE(C136:N136)</f>
        <v>247308.20845659764</v>
      </c>
    </row>
    <row r="137" spans="1:15" hidden="1" outlineLevel="1">
      <c r="A137" t="str">
        <f>A107</f>
        <v xml:space="preserve">Schedule 11/12 </v>
      </c>
      <c r="B137" s="159">
        <f>'Peak Calc CP'!B56</f>
        <v>1.056</v>
      </c>
      <c r="C137" s="20">
        <f t="shared" ref="C137:N137" si="61">C107*$B137</f>
        <v>72751.119763368857</v>
      </c>
      <c r="D137" s="20">
        <f t="shared" si="61"/>
        <v>86532.061391685114</v>
      </c>
      <c r="E137" s="20">
        <f t="shared" si="61"/>
        <v>78906.284721400021</v>
      </c>
      <c r="F137" s="20">
        <f t="shared" si="61"/>
        <v>68658.921335205319</v>
      </c>
      <c r="G137" s="20">
        <f t="shared" si="61"/>
        <v>66754.179588821353</v>
      </c>
      <c r="H137" s="20">
        <f t="shared" si="61"/>
        <v>69404.072269419979</v>
      </c>
      <c r="I137" s="20">
        <f t="shared" si="61"/>
        <v>75206.166899152042</v>
      </c>
      <c r="J137" s="20">
        <f t="shared" si="61"/>
        <v>77303.826220079092</v>
      </c>
      <c r="K137" s="20">
        <f t="shared" si="61"/>
        <v>81869.075826227796</v>
      </c>
      <c r="L137" s="20">
        <f t="shared" si="61"/>
        <v>55316.186609315948</v>
      </c>
      <c r="M137" s="20">
        <f t="shared" si="61"/>
        <v>66503.1481900738</v>
      </c>
      <c r="N137" s="20">
        <f t="shared" si="61"/>
        <v>82063.082701806517</v>
      </c>
      <c r="O137" s="9">
        <f t="shared" si="60"/>
        <v>73439.010459712983</v>
      </c>
    </row>
    <row r="138" spans="1:15" hidden="1" outlineLevel="1">
      <c r="A138" t="str">
        <f>A108</f>
        <v>Schedule 11/12 Demand Metered</v>
      </c>
      <c r="B138" s="159">
        <f>'Peak Calc CP'!B57</f>
        <v>1.056</v>
      </c>
      <c r="C138" s="20">
        <f t="shared" ref="C138:N138" si="62">C108*$B138</f>
        <v>0</v>
      </c>
      <c r="D138" s="20">
        <f t="shared" si="62"/>
        <v>0</v>
      </c>
      <c r="E138" s="20">
        <f t="shared" si="62"/>
        <v>0</v>
      </c>
      <c r="F138" s="20">
        <f t="shared" si="62"/>
        <v>0</v>
      </c>
      <c r="G138" s="20">
        <f t="shared" si="62"/>
        <v>0</v>
      </c>
      <c r="H138" s="20">
        <f t="shared" si="62"/>
        <v>0</v>
      </c>
      <c r="I138" s="20">
        <f t="shared" si="62"/>
        <v>0</v>
      </c>
      <c r="J138" s="20">
        <f t="shared" si="62"/>
        <v>0</v>
      </c>
      <c r="K138" s="20">
        <f t="shared" si="62"/>
        <v>0</v>
      </c>
      <c r="L138" s="20">
        <f t="shared" si="62"/>
        <v>0</v>
      </c>
      <c r="M138" s="20">
        <f t="shared" si="62"/>
        <v>0</v>
      </c>
      <c r="N138" s="20">
        <f t="shared" si="62"/>
        <v>0</v>
      </c>
      <c r="O138" s="9">
        <f t="shared" si="60"/>
        <v>0</v>
      </c>
    </row>
    <row r="139" spans="1:15" hidden="1" outlineLevel="1">
      <c r="A139" t="str">
        <f t="shared" ref="A139:A144" si="63">A109</f>
        <v>Schedule 21/22 Secondary</v>
      </c>
      <c r="B139" s="159">
        <f>'Peak Calc CP'!B58</f>
        <v>1.056</v>
      </c>
      <c r="C139" s="20">
        <f t="shared" ref="C139:N139" si="64">C109*$B139</f>
        <v>112809.41450573648</v>
      </c>
      <c r="D139" s="20">
        <f t="shared" si="64"/>
        <v>120555.8166798406</v>
      </c>
      <c r="E139" s="20">
        <f t="shared" si="64"/>
        <v>110923.23846098535</v>
      </c>
      <c r="F139" s="20">
        <f t="shared" si="64"/>
        <v>109306.51056263752</v>
      </c>
      <c r="G139" s="20">
        <f t="shared" si="64"/>
        <v>104723.59363367553</v>
      </c>
      <c r="H139" s="20">
        <f t="shared" si="64"/>
        <v>111313.75635690083</v>
      </c>
      <c r="I139" s="20">
        <f t="shared" si="64"/>
        <v>114271.23532013356</v>
      </c>
      <c r="J139" s="20">
        <f t="shared" si="64"/>
        <v>114410.56364163535</v>
      </c>
      <c r="K139" s="20">
        <f t="shared" si="64"/>
        <v>124907.3202429576</v>
      </c>
      <c r="L139" s="20">
        <f t="shared" si="64"/>
        <v>98920.130282208687</v>
      </c>
      <c r="M139" s="20">
        <f t="shared" si="64"/>
        <v>108541.59975341143</v>
      </c>
      <c r="N139" s="20">
        <f t="shared" si="64"/>
        <v>118418.96873894609</v>
      </c>
      <c r="O139" s="9">
        <f t="shared" si="60"/>
        <v>112425.17901492243</v>
      </c>
    </row>
    <row r="140" spans="1:15" hidden="1" outlineLevel="1">
      <c r="A140" t="str">
        <f t="shared" si="63"/>
        <v>Schedule 21 Primary</v>
      </c>
      <c r="B140" s="159">
        <f>'Peak Calc CP'!B59</f>
        <v>1.0429999999999999</v>
      </c>
      <c r="C140" s="20">
        <f>C110*$B140-'Schedule Shifting Adj - ID'!D14</f>
        <v>10309.687182205225</v>
      </c>
      <c r="D140" s="20">
        <f>D110*$B140-'Schedule Shifting Adj - ID'!E14</f>
        <v>11195.578191053151</v>
      </c>
      <c r="E140" s="20">
        <f>E110*$B140-'Schedule Shifting Adj - ID'!F14</f>
        <v>9774.8501958544057</v>
      </c>
      <c r="F140" s="20">
        <f>F110*$B140-'Schedule Shifting Adj - ID'!G14</f>
        <v>10152.268090481311</v>
      </c>
      <c r="G140" s="20">
        <f>G110*$B140-'Schedule Shifting Adj - ID'!H14</f>
        <v>8888.9473326736552</v>
      </c>
      <c r="H140" s="20">
        <f>H110*$B140-'Schedule Shifting Adj - ID'!I14</f>
        <v>9123.7809239694197</v>
      </c>
      <c r="I140" s="20">
        <f>I110*$B140-'Schedule Shifting Adj - ID'!J14</f>
        <v>8151.335076067794</v>
      </c>
      <c r="J140" s="20">
        <f>J110*$B140-'Schedule Shifting Adj - ID'!K14</f>
        <v>8942.9820242759852</v>
      </c>
      <c r="K140" s="20">
        <f>K110*$B140-'Schedule Shifting Adj - ID'!L14</f>
        <v>10623.661917197724</v>
      </c>
      <c r="L140" s="20">
        <f>L110*$B140-'Schedule Shifting Adj - ID'!M14</f>
        <v>9950.9279372254914</v>
      </c>
      <c r="M140" s="20">
        <f>M110*$B140-'Schedule Shifting Adj - ID'!N14</f>
        <v>11024.799135523321</v>
      </c>
      <c r="N140" s="20">
        <f>N110*$B140-'Schedule Shifting Adj - ID'!O14</f>
        <v>11806.828370422165</v>
      </c>
      <c r="O140" s="9">
        <f t="shared" si="60"/>
        <v>9995.4705314124712</v>
      </c>
    </row>
    <row r="141" spans="1:15" hidden="1" outlineLevel="1">
      <c r="A141" t="str">
        <f t="shared" si="63"/>
        <v>Schedule 31/32</v>
      </c>
      <c r="B141" s="159">
        <f>'Peak Calc CP'!B60</f>
        <v>1.056</v>
      </c>
      <c r="C141" s="20">
        <f t="shared" ref="C141:N141" si="65">C111*$B141</f>
        <v>15506.913764141171</v>
      </c>
      <c r="D141" s="20">
        <f t="shared" si="65"/>
        <v>15830.843771751141</v>
      </c>
      <c r="E141" s="20">
        <f t="shared" si="65"/>
        <v>19251.900164048071</v>
      </c>
      <c r="F141" s="20">
        <f t="shared" si="65"/>
        <v>15812.785407144482</v>
      </c>
      <c r="G141" s="20">
        <f t="shared" si="65"/>
        <v>22415.871035403157</v>
      </c>
      <c r="H141" s="20">
        <f t="shared" si="65"/>
        <v>21068.732167002367</v>
      </c>
      <c r="I141" s="20">
        <f t="shared" si="65"/>
        <v>26183.281598339581</v>
      </c>
      <c r="J141" s="20">
        <f t="shared" si="65"/>
        <v>23681.853802651669</v>
      </c>
      <c r="K141" s="20">
        <f t="shared" si="65"/>
        <v>27694.877967212004</v>
      </c>
      <c r="L141" s="20">
        <f t="shared" si="65"/>
        <v>15888.25834969961</v>
      </c>
      <c r="M141" s="20">
        <f t="shared" si="65"/>
        <v>15336.490670841149</v>
      </c>
      <c r="N141" s="20">
        <f t="shared" si="65"/>
        <v>17360.487048644096</v>
      </c>
      <c r="O141" s="9">
        <f t="shared" si="60"/>
        <v>19669.357978906544</v>
      </c>
    </row>
    <row r="142" spans="1:15" hidden="1" outlineLevel="1">
      <c r="A142" t="str">
        <f t="shared" si="63"/>
        <v>Street Lights</v>
      </c>
      <c r="B142" s="159">
        <f>'Peak Calc CP'!B61</f>
        <v>1.056</v>
      </c>
      <c r="C142" s="20">
        <f t="shared" ref="C142:N142" si="66">C112*$B142</f>
        <v>1782.4834761320726</v>
      </c>
      <c r="D142" s="20">
        <f t="shared" si="66"/>
        <v>1782.4834761320726</v>
      </c>
      <c r="E142" s="20">
        <f t="shared" si="66"/>
        <v>1782.4834761320726</v>
      </c>
      <c r="F142" s="20">
        <f t="shared" si="66"/>
        <v>1782.4834761320726</v>
      </c>
      <c r="G142" s="20">
        <f t="shared" si="66"/>
        <v>1782.4834761320726</v>
      </c>
      <c r="H142" s="20">
        <f t="shared" si="66"/>
        <v>1782.4834761320726</v>
      </c>
      <c r="I142" s="20">
        <f t="shared" si="66"/>
        <v>1782.4834761320726</v>
      </c>
      <c r="J142" s="20">
        <f t="shared" si="66"/>
        <v>1782.4834761320726</v>
      </c>
      <c r="K142" s="20">
        <f t="shared" si="66"/>
        <v>1782.4834761320726</v>
      </c>
      <c r="L142" s="20">
        <f t="shared" si="66"/>
        <v>1782.4834761320726</v>
      </c>
      <c r="M142" s="20">
        <f t="shared" si="66"/>
        <v>1782.4834761320726</v>
      </c>
      <c r="N142" s="20">
        <f t="shared" si="66"/>
        <v>1782.4834761320726</v>
      </c>
      <c r="O142" s="9">
        <f t="shared" si="60"/>
        <v>1782.4834761320726</v>
      </c>
    </row>
    <row r="143" spans="1:15" hidden="1" outlineLevel="1">
      <c r="A143" t="str">
        <f t="shared" si="63"/>
        <v>Area Lights</v>
      </c>
      <c r="B143" s="159">
        <f>'Peak Calc CP'!B62</f>
        <v>1.056</v>
      </c>
      <c r="C143" s="20">
        <f t="shared" ref="C143:N143" si="67">C113*$B143</f>
        <v>937.38544738496921</v>
      </c>
      <c r="D143" s="20">
        <f t="shared" si="67"/>
        <v>937.38544738496921</v>
      </c>
      <c r="E143" s="20">
        <f t="shared" si="67"/>
        <v>937.38544738496921</v>
      </c>
      <c r="F143" s="20">
        <f t="shared" si="67"/>
        <v>937.38544738496921</v>
      </c>
      <c r="G143" s="20">
        <f t="shared" si="67"/>
        <v>937.38544738496921</v>
      </c>
      <c r="H143" s="20">
        <f t="shared" si="67"/>
        <v>937.38544738496921</v>
      </c>
      <c r="I143" s="20">
        <f t="shared" si="67"/>
        <v>937.38544738496921</v>
      </c>
      <c r="J143" s="20">
        <f t="shared" si="67"/>
        <v>937.38544738496921</v>
      </c>
      <c r="K143" s="20">
        <f t="shared" si="67"/>
        <v>937.38544738496921</v>
      </c>
      <c r="L143" s="20">
        <f t="shared" si="67"/>
        <v>937.38544738496921</v>
      </c>
      <c r="M143" s="20">
        <f t="shared" si="67"/>
        <v>937.38544738496921</v>
      </c>
      <c r="N143" s="20">
        <f t="shared" si="67"/>
        <v>937.38544738496921</v>
      </c>
      <c r="O143" s="9">
        <f t="shared" si="60"/>
        <v>937.38544738496955</v>
      </c>
    </row>
    <row r="144" spans="1:15" hidden="1" outlineLevel="1">
      <c r="A144" t="str">
        <f t="shared" si="63"/>
        <v>Schedule 25 Primary</v>
      </c>
      <c r="B144" s="159">
        <f>'Peak Calc CP'!B63</f>
        <v>1.0429999999999999</v>
      </c>
      <c r="C144" s="20">
        <f>C114*$B144+'Schedule Shifting Adj - ID'!D14</f>
        <v>49638.007509999996</v>
      </c>
      <c r="D144" s="20">
        <f>D114*$B144+'Schedule Shifting Adj - ID'!E14</f>
        <v>50822.871154999993</v>
      </c>
      <c r="E144" s="20">
        <f>E114*$B144+'Schedule Shifting Adj - ID'!F14</f>
        <v>48547.844093</v>
      </c>
      <c r="F144" s="20">
        <f>F114*$B144+'Schedule Shifting Adj - ID'!G14</f>
        <v>45813.172145999997</v>
      </c>
      <c r="G144" s="20">
        <f>G114*$B144+'Schedule Shifting Adj - ID'!H14</f>
        <v>44733.827767999996</v>
      </c>
      <c r="H144" s="20">
        <f>H114*$B144+'Schedule Shifting Adj - ID'!I14</f>
        <v>46941.050443</v>
      </c>
      <c r="I144" s="20">
        <f>I114*$B144+'Schedule Shifting Adj - ID'!J14</f>
        <v>46691.649326000006</v>
      </c>
      <c r="J144" s="20">
        <f>J114*$B144+'Schedule Shifting Adj - ID'!K14</f>
        <v>48142.23150897849</v>
      </c>
      <c r="K144" s="20">
        <f>K114*$B144+'Schedule Shifting Adj - ID'!L14</f>
        <v>46631.17033361111</v>
      </c>
      <c r="L144" s="20">
        <f>L114*$B144+'Schedule Shifting Adj - ID'!M14</f>
        <v>47396.701680999991</v>
      </c>
      <c r="M144" s="20">
        <f>M114*$B144+'Schedule Shifting Adj - ID'!N14</f>
        <v>47790.540566999989</v>
      </c>
      <c r="N144" s="20">
        <f>N114*$B144+'Schedule Shifting Adj - ID'!O14</f>
        <v>47666.304665000003</v>
      </c>
      <c r="O144" s="9">
        <f t="shared" si="60"/>
        <v>47567.947599715808</v>
      </c>
    </row>
    <row r="145" spans="1:15" s="4" customFormat="1" hidden="1" outlineLevel="1">
      <c r="A145" t="str">
        <f>A115</f>
        <v>Schedule 25 Secondary</v>
      </c>
      <c r="B145" s="159">
        <f>'Peak Calc CP'!B64</f>
        <v>1.056</v>
      </c>
      <c r="C145" s="20">
        <f>C115*$B145</f>
        <v>598.11839999999995</v>
      </c>
      <c r="D145" s="20">
        <f t="shared" ref="D145:N145" si="68">D115*$B145</f>
        <v>446.05439999999999</v>
      </c>
      <c r="E145" s="20">
        <f t="shared" si="68"/>
        <v>648.80640000000005</v>
      </c>
      <c r="F145" s="20">
        <f t="shared" si="68"/>
        <v>506.88</v>
      </c>
      <c r="G145" s="20">
        <f t="shared" si="68"/>
        <v>1170.8928000000001</v>
      </c>
      <c r="H145" s="20">
        <f t="shared" si="68"/>
        <v>800.87040000000002</v>
      </c>
      <c r="I145" s="20">
        <f t="shared" si="68"/>
        <v>826.21440000000007</v>
      </c>
      <c r="J145" s="20">
        <f t="shared" si="68"/>
        <v>669.08160000000009</v>
      </c>
      <c r="K145" s="20">
        <f t="shared" si="68"/>
        <v>481.536</v>
      </c>
      <c r="L145" s="20">
        <f t="shared" si="68"/>
        <v>740.04480000000001</v>
      </c>
      <c r="M145" s="20">
        <f t="shared" si="68"/>
        <v>476.46719999999999</v>
      </c>
      <c r="N145" s="20">
        <f t="shared" si="68"/>
        <v>1155.6864</v>
      </c>
      <c r="O145" s="9">
        <f t="shared" si="60"/>
        <v>710.05439999999999</v>
      </c>
    </row>
    <row r="146" spans="1:15" s="4" customFormat="1" hidden="1" outlineLevel="1">
      <c r="A146" t="str">
        <f>A116</f>
        <v>Schedule 25P Primary</v>
      </c>
      <c r="B146" s="159">
        <f>'Peak Calc CP'!B65</f>
        <v>1.0429999999999999</v>
      </c>
      <c r="C146" s="20">
        <f>C116*$B146</f>
        <v>87695.439999999988</v>
      </c>
      <c r="D146" s="20">
        <f t="shared" ref="D146:N146" si="69">D116*$B146</f>
        <v>72926.559999999998</v>
      </c>
      <c r="E146" s="20">
        <f t="shared" si="69"/>
        <v>77171.570000000007</v>
      </c>
      <c r="F146" s="20">
        <f t="shared" si="69"/>
        <v>59221.539999999994</v>
      </c>
      <c r="G146" s="20">
        <f t="shared" si="69"/>
        <v>60619.16</v>
      </c>
      <c r="H146" s="20">
        <f t="shared" si="69"/>
        <v>54444.6</v>
      </c>
      <c r="I146" s="20">
        <f t="shared" si="69"/>
        <v>79341.009999999995</v>
      </c>
      <c r="J146" s="20">
        <f t="shared" si="69"/>
        <v>79299.289999999994</v>
      </c>
      <c r="K146" s="20">
        <f t="shared" si="69"/>
        <v>74730.95</v>
      </c>
      <c r="L146" s="20">
        <f t="shared" si="69"/>
        <v>82240.549999999988</v>
      </c>
      <c r="M146" s="20">
        <f t="shared" si="69"/>
        <v>59909.919999999998</v>
      </c>
      <c r="N146" s="20">
        <f t="shared" si="69"/>
        <v>73208.17</v>
      </c>
      <c r="O146" s="9">
        <f t="shared" si="60"/>
        <v>71734.063333333339</v>
      </c>
    </row>
    <row r="147" spans="1:15" hidden="1" outlineLevel="1">
      <c r="A147" t="str">
        <f>A117</f>
        <v>Schedule 25P Generation</v>
      </c>
      <c r="B147" s="159">
        <f>'Peak Calc CP'!B66</f>
        <v>1</v>
      </c>
      <c r="C147" s="20">
        <f>C117*$B147</f>
        <v>0</v>
      </c>
      <c r="D147" s="20">
        <f t="shared" ref="D147:N147" si="70">D117*$B147</f>
        <v>0</v>
      </c>
      <c r="E147" s="20">
        <f t="shared" si="70"/>
        <v>0</v>
      </c>
      <c r="F147" s="20">
        <f t="shared" si="70"/>
        <v>0</v>
      </c>
      <c r="G147" s="20">
        <f t="shared" si="70"/>
        <v>0</v>
      </c>
      <c r="H147" s="20">
        <f t="shared" si="70"/>
        <v>0</v>
      </c>
      <c r="I147" s="20">
        <f t="shared" si="70"/>
        <v>0</v>
      </c>
      <c r="J147" s="20">
        <f t="shared" si="70"/>
        <v>0</v>
      </c>
      <c r="K147" s="20">
        <f t="shared" si="70"/>
        <v>0</v>
      </c>
      <c r="L147" s="20">
        <f t="shared" si="70"/>
        <v>0</v>
      </c>
      <c r="M147" s="20">
        <f t="shared" si="70"/>
        <v>0</v>
      </c>
      <c r="N147" s="20">
        <f t="shared" si="70"/>
        <v>0</v>
      </c>
      <c r="O147" s="9">
        <f t="shared" si="60"/>
        <v>0</v>
      </c>
    </row>
    <row r="148" spans="1:15" hidden="1" outlineLevel="1">
      <c r="A148" t="s">
        <v>280</v>
      </c>
      <c r="B148" s="19"/>
      <c r="C148" s="68">
        <f>SUM(C136:C147)</f>
        <v>630837.28149837325</v>
      </c>
      <c r="D148" s="68">
        <f t="shared" ref="D148:N148" si="71">SUM(D136:D147)</f>
        <v>695240.65889121592</v>
      </c>
      <c r="E148" s="68">
        <f t="shared" si="71"/>
        <v>707241.04517621198</v>
      </c>
      <c r="F148" s="68">
        <f t="shared" si="71"/>
        <v>525244.63023415871</v>
      </c>
      <c r="G148" s="68">
        <f t="shared" si="71"/>
        <v>484897.00918827078</v>
      </c>
      <c r="H148" s="68">
        <f t="shared" si="71"/>
        <v>508710.24818055733</v>
      </c>
      <c r="I148" s="68">
        <f t="shared" si="71"/>
        <v>576936.15072014567</v>
      </c>
      <c r="J148" s="68">
        <f t="shared" si="71"/>
        <v>591666.7918806501</v>
      </c>
      <c r="K148" s="68">
        <f t="shared" si="71"/>
        <v>609873.84237509524</v>
      </c>
      <c r="L148" s="68">
        <f t="shared" si="71"/>
        <v>488300.00545089663</v>
      </c>
      <c r="M148" s="68">
        <f t="shared" si="71"/>
        <v>549933.26736571477</v>
      </c>
      <c r="N148" s="68">
        <f t="shared" si="71"/>
        <v>657948.99741612852</v>
      </c>
      <c r="O148" s="10">
        <f>SUM(O136:O147)</f>
        <v>585569.16069811827</v>
      </c>
    </row>
    <row r="149" spans="1:15" hidden="1" outlineLevel="1">
      <c r="B149" s="19"/>
      <c r="C149" s="6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77"/>
    </row>
    <row r="150" spans="1:15" collapsed="1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77"/>
    </row>
    <row r="151" spans="1:15">
      <c r="A151" s="3" t="s">
        <v>2454</v>
      </c>
      <c r="B151" t="s">
        <v>258</v>
      </c>
      <c r="C151" s="183">
        <f>C142+C143</f>
        <v>2719.8689235170418</v>
      </c>
      <c r="D151" s="183">
        <f t="shared" ref="D151:N151" si="72">D142+D143</f>
        <v>2719.8689235170418</v>
      </c>
      <c r="E151" s="183">
        <f t="shared" si="72"/>
        <v>2719.8689235170418</v>
      </c>
      <c r="F151" s="183">
        <f t="shared" si="72"/>
        <v>2719.8689235170418</v>
      </c>
      <c r="G151" s="183">
        <f t="shared" si="72"/>
        <v>2719.8689235170418</v>
      </c>
      <c r="H151" s="183">
        <f t="shared" si="72"/>
        <v>2719.8689235170418</v>
      </c>
      <c r="I151" s="183">
        <f t="shared" si="72"/>
        <v>2719.8689235170418</v>
      </c>
      <c r="J151" s="183">
        <f t="shared" si="72"/>
        <v>2719.8689235170418</v>
      </c>
      <c r="K151" s="183">
        <f t="shared" si="72"/>
        <v>2719.8689235170418</v>
      </c>
      <c r="L151" s="183">
        <f t="shared" si="72"/>
        <v>2719.8689235170418</v>
      </c>
      <c r="M151" s="183">
        <f t="shared" si="72"/>
        <v>2719.8689235170418</v>
      </c>
      <c r="N151" s="183">
        <f t="shared" si="72"/>
        <v>2719.8689235170418</v>
      </c>
      <c r="O151" s="183">
        <f>SUM(C151:N151)</f>
        <v>32638.427082204504</v>
      </c>
    </row>
    <row r="152" spans="1:1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</row>
    <row r="153" spans="1:15">
      <c r="C153" s="108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</row>
    <row r="154" spans="1:15">
      <c r="C154" s="108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</row>
    <row r="155" spans="1:1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</row>
    <row r="156" spans="1:15">
      <c r="C156" s="108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</row>
    <row r="157" spans="1:1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spans="1:1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spans="1:1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spans="1:1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spans="1:1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1:1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1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1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15">
      <c r="B165" s="5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1:15">
      <c r="B166" s="11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15">
      <c r="A167" s="3"/>
      <c r="B167" s="11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1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1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1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3:15">
      <c r="C177" s="109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3:15">
      <c r="C178" s="109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spans="3:1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</sheetData>
  <phoneticPr fontId="0" type="noConversion"/>
  <printOptions horizontalCentered="1" verticalCentered="1"/>
  <pageMargins left="0.5" right="0.47" top="0.5" bottom="0.53" header="0.75" footer="0.37"/>
  <pageSetup scale="67" orientation="landscape" r:id="rId1"/>
  <headerFooter alignWithMargins="0">
    <oddHeader>&amp;RPage &amp;P</oddHeader>
    <oddFooter>&amp;C&amp;F &amp;A &amp;D</oddFooter>
  </headerFooter>
  <rowBreaks count="1" manualBreakCount="1">
    <brk id="88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28"/>
  <sheetViews>
    <sheetView workbookViewId="0"/>
  </sheetViews>
  <sheetFormatPr defaultRowHeight="12.75"/>
  <cols>
    <col min="1" max="1" width="22.33203125" customWidth="1"/>
    <col min="2" max="2" width="26.6640625" bestFit="1" customWidth="1"/>
    <col min="4" max="15" width="11.83203125" bestFit="1" customWidth="1"/>
    <col min="16" max="16" width="10.83203125" bestFit="1" customWidth="1"/>
  </cols>
  <sheetData>
    <row r="1" spans="1:16" ht="15.75">
      <c r="A1" s="426" t="s">
        <v>2453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6">
      <c r="A4" s="77" t="s">
        <v>2449</v>
      </c>
      <c r="B4" s="77"/>
      <c r="C4" s="77"/>
      <c r="D4" s="77" t="s">
        <v>422</v>
      </c>
      <c r="E4" s="77" t="s">
        <v>432</v>
      </c>
      <c r="F4" s="77" t="s">
        <v>433</v>
      </c>
      <c r="G4" s="77" t="s">
        <v>434</v>
      </c>
      <c r="H4" s="77" t="s">
        <v>265</v>
      </c>
      <c r="I4" s="77" t="s">
        <v>435</v>
      </c>
      <c r="J4" s="77" t="s">
        <v>436</v>
      </c>
      <c r="K4" s="77" t="s">
        <v>437</v>
      </c>
      <c r="L4" s="77" t="s">
        <v>438</v>
      </c>
      <c r="M4" s="77" t="s">
        <v>439</v>
      </c>
      <c r="N4" s="77" t="s">
        <v>440</v>
      </c>
      <c r="O4" s="77" t="s">
        <v>441</v>
      </c>
    </row>
    <row r="5" spans="1:16">
      <c r="A5" s="427"/>
      <c r="B5" s="77"/>
      <c r="C5" s="77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1"/>
    </row>
    <row r="6" spans="1:16">
      <c r="A6" s="61" t="s">
        <v>2534</v>
      </c>
      <c r="B6" s="77"/>
      <c r="C6" s="77"/>
      <c r="D6" s="428">
        <f t="shared" ref="D6:O6" si="0">D20</f>
        <v>2072.0237999999999</v>
      </c>
      <c r="E6" s="428">
        <f t="shared" si="0"/>
        <v>2356.7627999999995</v>
      </c>
      <c r="F6" s="428">
        <f t="shared" si="0"/>
        <v>2264.7701999999999</v>
      </c>
      <c r="G6" s="428">
        <f t="shared" si="0"/>
        <v>424.91819999999996</v>
      </c>
      <c r="H6" s="428">
        <f t="shared" si="0"/>
        <v>258.4554</v>
      </c>
      <c r="I6" s="428">
        <f t="shared" si="0"/>
        <v>155.51129999999998</v>
      </c>
      <c r="J6" s="428">
        <f t="shared" si="0"/>
        <v>183.98519999999999</v>
      </c>
      <c r="K6" s="428">
        <f t="shared" si="0"/>
        <v>245.31359999999998</v>
      </c>
      <c r="L6" s="428">
        <f t="shared" si="0"/>
        <v>1217.8067999999998</v>
      </c>
      <c r="M6" s="428">
        <f t="shared" si="0"/>
        <v>2240.6768999999999</v>
      </c>
      <c r="N6" s="428">
        <f t="shared" si="0"/>
        <v>1938.4154999999998</v>
      </c>
      <c r="O6" s="428">
        <f t="shared" si="0"/>
        <v>1881.4676999999999</v>
      </c>
      <c r="P6" s="1"/>
    </row>
    <row r="7" spans="1:16">
      <c r="A7" s="77" t="s">
        <v>2498</v>
      </c>
      <c r="B7" s="77"/>
      <c r="C7" s="77"/>
      <c r="D7" s="429">
        <v>0</v>
      </c>
      <c r="E7" s="429">
        <v>0</v>
      </c>
      <c r="F7" s="429">
        <v>0</v>
      </c>
      <c r="G7" s="429">
        <f t="shared" ref="G7:O7" si="1">-G6</f>
        <v>-424.91819999999996</v>
      </c>
      <c r="H7" s="429">
        <f t="shared" si="1"/>
        <v>-258.4554</v>
      </c>
      <c r="I7" s="429">
        <f t="shared" si="1"/>
        <v>-155.51129999999998</v>
      </c>
      <c r="J7" s="429">
        <f t="shared" si="1"/>
        <v>-183.98519999999999</v>
      </c>
      <c r="K7" s="429">
        <f t="shared" si="1"/>
        <v>-245.31359999999998</v>
      </c>
      <c r="L7" s="429">
        <f t="shared" si="1"/>
        <v>-1217.8067999999998</v>
      </c>
      <c r="M7" s="429">
        <f t="shared" si="1"/>
        <v>-2240.6768999999999</v>
      </c>
      <c r="N7" s="429">
        <f t="shared" si="1"/>
        <v>-1938.4154999999998</v>
      </c>
      <c r="O7" s="429">
        <f t="shared" si="1"/>
        <v>-1881.4676999999999</v>
      </c>
      <c r="P7" s="1"/>
    </row>
    <row r="8" spans="1:16">
      <c r="A8" s="77" t="s">
        <v>2497</v>
      </c>
      <c r="B8" s="77"/>
      <c r="C8" s="77"/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</row>
    <row r="9" spans="1:16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6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6">
      <c r="A11" s="77" t="s">
        <v>2450</v>
      </c>
      <c r="B11" s="77"/>
      <c r="C11" s="77"/>
      <c r="D11" s="77" t="s">
        <v>422</v>
      </c>
      <c r="E11" s="77" t="s">
        <v>432</v>
      </c>
      <c r="F11" s="77" t="s">
        <v>433</v>
      </c>
      <c r="G11" s="77" t="s">
        <v>434</v>
      </c>
      <c r="H11" s="77" t="s">
        <v>265</v>
      </c>
      <c r="I11" s="77" t="s">
        <v>435</v>
      </c>
      <c r="J11" s="77" t="s">
        <v>436</v>
      </c>
      <c r="K11" s="77" t="s">
        <v>437</v>
      </c>
      <c r="L11" s="77" t="s">
        <v>438</v>
      </c>
      <c r="M11" s="77" t="s">
        <v>439</v>
      </c>
      <c r="N11" s="77" t="s">
        <v>440</v>
      </c>
      <c r="O11" s="77" t="s">
        <v>441</v>
      </c>
    </row>
    <row r="12" spans="1:16">
      <c r="A12" s="77"/>
      <c r="B12" s="77"/>
      <c r="C12" s="77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</row>
    <row r="13" spans="1:16">
      <c r="A13" s="61" t="s">
        <v>2534</v>
      </c>
      <c r="B13" s="77"/>
      <c r="C13" s="77"/>
      <c r="D13" s="428">
        <f>D25</f>
        <v>2323.9082999999996</v>
      </c>
      <c r="E13" s="428">
        <f t="shared" ref="E13:O13" si="2">E25</f>
        <v>1914.3222000000001</v>
      </c>
      <c r="F13" s="428">
        <f t="shared" si="2"/>
        <v>2247.2477999999996</v>
      </c>
      <c r="G13" s="428">
        <f t="shared" si="2"/>
        <v>411.77639999999997</v>
      </c>
      <c r="H13" s="428">
        <f t="shared" si="2"/>
        <v>229.98149999999998</v>
      </c>
      <c r="I13" s="428">
        <f t="shared" si="2"/>
        <v>181.79490000000001</v>
      </c>
      <c r="J13" s="428">
        <f t="shared" si="2"/>
        <v>275.9778</v>
      </c>
      <c r="K13" s="428">
        <f t="shared" si="2"/>
        <v>240.93299999999999</v>
      </c>
      <c r="L13" s="428">
        <f t="shared" si="2"/>
        <v>1454.3592000000001</v>
      </c>
      <c r="M13" s="428">
        <f t="shared" si="2"/>
        <v>2192.4902999999999</v>
      </c>
      <c r="N13" s="428">
        <f t="shared" si="2"/>
        <v>2207.8224</v>
      </c>
      <c r="O13" s="428">
        <f t="shared" si="2"/>
        <v>2146.4939999999997</v>
      </c>
    </row>
    <row r="14" spans="1:16">
      <c r="A14" s="77" t="s">
        <v>2498</v>
      </c>
      <c r="B14" s="77"/>
      <c r="C14" s="77"/>
      <c r="D14" s="429">
        <v>0</v>
      </c>
      <c r="E14" s="429">
        <v>0</v>
      </c>
      <c r="F14" s="429">
        <v>0</v>
      </c>
      <c r="G14" s="429">
        <f t="shared" ref="G14:O14" si="3">-G13</f>
        <v>-411.77639999999997</v>
      </c>
      <c r="H14" s="429">
        <f t="shared" si="3"/>
        <v>-229.98149999999998</v>
      </c>
      <c r="I14" s="429">
        <f t="shared" si="3"/>
        <v>-181.79490000000001</v>
      </c>
      <c r="J14" s="429">
        <f t="shared" si="3"/>
        <v>-275.9778</v>
      </c>
      <c r="K14" s="429">
        <f t="shared" si="3"/>
        <v>-240.93299999999999</v>
      </c>
      <c r="L14" s="429">
        <f t="shared" si="3"/>
        <v>-1454.3592000000001</v>
      </c>
      <c r="M14" s="429">
        <f t="shared" si="3"/>
        <v>-2192.4902999999999</v>
      </c>
      <c r="N14" s="429">
        <f t="shared" si="3"/>
        <v>-2207.8224</v>
      </c>
      <c r="O14" s="429">
        <f t="shared" si="3"/>
        <v>-2146.4939999999997</v>
      </c>
    </row>
    <row r="15" spans="1:16">
      <c r="A15" s="77" t="s">
        <v>2497</v>
      </c>
      <c r="B15" s="77"/>
      <c r="C15" s="77"/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</row>
    <row r="16" spans="1: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>
      <c r="A17" s="77"/>
      <c r="B17" s="77"/>
      <c r="C17" s="77"/>
      <c r="D17" s="77" t="s">
        <v>422</v>
      </c>
      <c r="E17" s="77" t="s">
        <v>432</v>
      </c>
      <c r="F17" s="77" t="s">
        <v>433</v>
      </c>
      <c r="G17" s="77" t="s">
        <v>434</v>
      </c>
      <c r="H17" s="77" t="s">
        <v>265</v>
      </c>
      <c r="I17" s="77" t="s">
        <v>435</v>
      </c>
      <c r="J17" s="77" t="s">
        <v>436</v>
      </c>
      <c r="K17" s="77" t="s">
        <v>437</v>
      </c>
      <c r="L17" s="77" t="s">
        <v>438</v>
      </c>
      <c r="M17" s="77" t="s">
        <v>439</v>
      </c>
      <c r="N17" s="77" t="s">
        <v>440</v>
      </c>
      <c r="O17" s="77" t="s">
        <v>441</v>
      </c>
    </row>
    <row r="18" spans="1:15">
      <c r="A18" s="61"/>
      <c r="B18" s="61" t="s">
        <v>2535</v>
      </c>
      <c r="C18" s="77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</row>
    <row r="19" spans="1:15">
      <c r="A19" s="61" t="s">
        <v>2496</v>
      </c>
      <c r="B19" s="61"/>
      <c r="C19" s="61"/>
      <c r="D19" s="402">
        <v>1986.6</v>
      </c>
      <c r="E19" s="402">
        <v>2259.6</v>
      </c>
      <c r="F19" s="402">
        <v>2171.4</v>
      </c>
      <c r="G19" s="402">
        <v>407.4</v>
      </c>
      <c r="H19" s="402">
        <v>247.8</v>
      </c>
      <c r="I19" s="402">
        <v>149.1</v>
      </c>
      <c r="J19" s="402">
        <v>176.4</v>
      </c>
      <c r="K19" s="402">
        <v>235.2</v>
      </c>
      <c r="L19" s="402">
        <v>1167.5999999999999</v>
      </c>
      <c r="M19" s="402">
        <v>2148.3000000000002</v>
      </c>
      <c r="N19" s="402">
        <v>1858.5</v>
      </c>
      <c r="O19" s="402">
        <v>1803.9</v>
      </c>
    </row>
    <row r="20" spans="1:15">
      <c r="A20" s="61" t="s">
        <v>2499</v>
      </c>
      <c r="B20" s="77"/>
      <c r="C20" s="77"/>
      <c r="D20" s="428">
        <f>D19*'Peak Calc CP'!$B$63</f>
        <v>2072.0237999999999</v>
      </c>
      <c r="E20" s="428">
        <f>E19*'Peak Calc CP'!$B$63</f>
        <v>2356.7627999999995</v>
      </c>
      <c r="F20" s="428">
        <f>F19*'Peak Calc CP'!$B$63</f>
        <v>2264.7701999999999</v>
      </c>
      <c r="G20" s="428">
        <f>G19*'Peak Calc CP'!$B$63</f>
        <v>424.91819999999996</v>
      </c>
      <c r="H20" s="428">
        <f>H19*'Peak Calc CP'!$B$63</f>
        <v>258.4554</v>
      </c>
      <c r="I20" s="428">
        <f>I19*'Peak Calc CP'!$B$63</f>
        <v>155.51129999999998</v>
      </c>
      <c r="J20" s="428">
        <f>J19*'Peak Calc CP'!$B$63</f>
        <v>183.98519999999999</v>
      </c>
      <c r="K20" s="428">
        <f>K19*'Peak Calc CP'!$B$63</f>
        <v>245.31359999999998</v>
      </c>
      <c r="L20" s="428">
        <f>L19*'Peak Calc CP'!$B$63</f>
        <v>1217.8067999999998</v>
      </c>
      <c r="M20" s="428">
        <f>M19*'Peak Calc CP'!$B$63</f>
        <v>2240.6768999999999</v>
      </c>
      <c r="N20" s="428">
        <f>N19*'Peak Calc CP'!$B$63</f>
        <v>1938.4154999999998</v>
      </c>
      <c r="O20" s="428">
        <f>O19*'Peak Calc CP'!$B$63</f>
        <v>1881.4676999999999</v>
      </c>
    </row>
    <row r="21" spans="1: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>
      <c r="A22" s="77"/>
      <c r="B22" s="77"/>
      <c r="C22" s="77"/>
      <c r="D22" s="77" t="s">
        <v>422</v>
      </c>
      <c r="E22" s="77" t="s">
        <v>432</v>
      </c>
      <c r="F22" s="77" t="s">
        <v>433</v>
      </c>
      <c r="G22" s="77" t="s">
        <v>434</v>
      </c>
      <c r="H22" s="77" t="s">
        <v>265</v>
      </c>
      <c r="I22" s="77" t="s">
        <v>435</v>
      </c>
      <c r="J22" s="77" t="s">
        <v>436</v>
      </c>
      <c r="K22" s="77" t="s">
        <v>437</v>
      </c>
      <c r="L22" s="77" t="s">
        <v>438</v>
      </c>
      <c r="M22" s="77" t="s">
        <v>439</v>
      </c>
      <c r="N22" s="77" t="s">
        <v>440</v>
      </c>
      <c r="O22" s="77" t="s">
        <v>441</v>
      </c>
    </row>
    <row r="23" spans="1:15">
      <c r="A23" s="61"/>
      <c r="B23" s="61" t="s">
        <v>2535</v>
      </c>
      <c r="C23" s="77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</row>
    <row r="24" spans="1:15">
      <c r="A24" s="61" t="s">
        <v>2500</v>
      </c>
      <c r="B24" s="77"/>
      <c r="C24" s="77"/>
      <c r="D24" s="402">
        <v>2228.1</v>
      </c>
      <c r="E24" s="402">
        <v>1835.4</v>
      </c>
      <c r="F24" s="402">
        <v>2154.6</v>
      </c>
      <c r="G24" s="402">
        <v>394.8</v>
      </c>
      <c r="H24" s="402">
        <v>220.5</v>
      </c>
      <c r="I24" s="402">
        <v>174.3</v>
      </c>
      <c r="J24" s="402">
        <v>264.60000000000002</v>
      </c>
      <c r="K24" s="402">
        <v>231</v>
      </c>
      <c r="L24" s="402">
        <v>1394.4</v>
      </c>
      <c r="M24" s="402">
        <v>2102.1</v>
      </c>
      <c r="N24" s="402">
        <v>2116.8000000000002</v>
      </c>
      <c r="O24" s="402">
        <v>2058</v>
      </c>
    </row>
    <row r="25" spans="1:15">
      <c r="A25" s="61" t="s">
        <v>2499</v>
      </c>
      <c r="B25" s="77"/>
      <c r="C25" s="77"/>
      <c r="D25" s="428">
        <f>D24*'Peak Calc CP'!$B$63</f>
        <v>2323.9082999999996</v>
      </c>
      <c r="E25" s="428">
        <f>E24*'Peak Calc CP'!$B$63</f>
        <v>1914.3222000000001</v>
      </c>
      <c r="F25" s="428">
        <f>F24*'Peak Calc CP'!$B$63</f>
        <v>2247.2477999999996</v>
      </c>
      <c r="G25" s="428">
        <f>G24*'Peak Calc CP'!$B$63</f>
        <v>411.77639999999997</v>
      </c>
      <c r="H25" s="428">
        <f>H24*'Peak Calc CP'!$B$63</f>
        <v>229.98149999999998</v>
      </c>
      <c r="I25" s="428">
        <f>I24*'Peak Calc CP'!$B$63</f>
        <v>181.79490000000001</v>
      </c>
      <c r="J25" s="428">
        <f>J24*'Peak Calc CP'!$B$63</f>
        <v>275.9778</v>
      </c>
      <c r="K25" s="428">
        <f>K24*'Peak Calc CP'!$B$63</f>
        <v>240.93299999999999</v>
      </c>
      <c r="L25" s="428">
        <f>L24*'Peak Calc CP'!$B$63</f>
        <v>1454.3592000000001</v>
      </c>
      <c r="M25" s="428">
        <f>M24*'Peak Calc CP'!$B$63</f>
        <v>2192.4902999999999</v>
      </c>
      <c r="N25" s="428">
        <f>N24*'Peak Calc CP'!$B$63</f>
        <v>2207.8224</v>
      </c>
      <c r="O25" s="428">
        <f>O24*'Peak Calc CP'!$B$63</f>
        <v>2146.4939999999997</v>
      </c>
    </row>
    <row r="26" spans="1: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>
      <c r="A27" s="61" t="s">
        <v>2539</v>
      </c>
      <c r="B27" s="77"/>
      <c r="C27" s="77"/>
      <c r="D27" s="61" t="s">
        <v>2536</v>
      </c>
      <c r="E27" s="61" t="s">
        <v>2536</v>
      </c>
      <c r="F27" s="61" t="s">
        <v>2536</v>
      </c>
      <c r="G27" s="61" t="s">
        <v>2536</v>
      </c>
      <c r="H27" s="61" t="s">
        <v>2537</v>
      </c>
      <c r="I27" s="61" t="s">
        <v>2537</v>
      </c>
      <c r="J27" s="61" t="s">
        <v>2537</v>
      </c>
      <c r="K27" s="61" t="s">
        <v>2537</v>
      </c>
      <c r="L27" s="61" t="s">
        <v>2537</v>
      </c>
      <c r="M27" s="61" t="s">
        <v>2537</v>
      </c>
      <c r="N27" s="61" t="s">
        <v>2537</v>
      </c>
      <c r="O27" s="61" t="s">
        <v>2537</v>
      </c>
    </row>
    <row r="28" spans="1:15">
      <c r="A28" s="61" t="s">
        <v>2538</v>
      </c>
      <c r="D28" s="402">
        <v>1534341.9000000001</v>
      </c>
      <c r="E28" s="402">
        <v>1374916.2000000009</v>
      </c>
      <c r="F28" s="402">
        <v>1207079.9999999995</v>
      </c>
      <c r="G28" s="402">
        <v>296960.99999999942</v>
      </c>
      <c r="H28" s="402">
        <v>146552.69999999995</v>
      </c>
      <c r="I28" s="402">
        <v>126493.5</v>
      </c>
      <c r="J28" s="402">
        <v>129431.40000000005</v>
      </c>
      <c r="K28" s="402">
        <v>152714.10000000003</v>
      </c>
      <c r="L28" s="402">
        <v>753225.89999999967</v>
      </c>
      <c r="M28" s="402">
        <v>1114228.4999999993</v>
      </c>
      <c r="N28" s="402">
        <v>1372900.2000000016</v>
      </c>
      <c r="O28" s="402">
        <v>1411340.700000002</v>
      </c>
    </row>
  </sheetData>
  <phoneticPr fontId="25" type="noConversion"/>
  <printOptions horizontalCentered="1"/>
  <pageMargins left="0.45" right="0.45" top="0.75" bottom="0.75" header="0.3" footer="0.5"/>
  <pageSetup scale="58" orientation="landscape" r:id="rId1"/>
  <headerFooter scaleWithDoc="0">
    <oddFooter>&amp;C&amp;F /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48"/>
  <sheetViews>
    <sheetView workbookViewId="0"/>
  </sheetViews>
  <sheetFormatPr defaultRowHeight="12.75" outlineLevelRow="1"/>
  <cols>
    <col min="1" max="1" width="31.1640625" customWidth="1"/>
    <col min="2" max="2" width="11.6640625" customWidth="1"/>
    <col min="3" max="14" width="12.33203125" customWidth="1"/>
    <col min="15" max="15" width="13" customWidth="1"/>
  </cols>
  <sheetData>
    <row r="1" spans="1:15">
      <c r="A1" t="s">
        <v>319</v>
      </c>
    </row>
    <row r="2" spans="1:15">
      <c r="A2" s="13" t="s">
        <v>378</v>
      </c>
    </row>
    <row r="3" spans="1:15">
      <c r="A3" s="164" t="s">
        <v>2501</v>
      </c>
    </row>
    <row r="4" spans="1:15">
      <c r="A4" t="s">
        <v>2436</v>
      </c>
    </row>
    <row r="5" spans="1:15" ht="12.75" customHeight="1">
      <c r="A5" s="30" t="str">
        <f>RIGHT(A3,4)</f>
        <v>2019</v>
      </c>
      <c r="C5" s="105">
        <f>DATE($A5,COLUMN(C1)-COLUMN($C1)+2,0)</f>
        <v>43496</v>
      </c>
      <c r="D5" s="105">
        <f t="shared" ref="D5:N5" si="0">DATE($A5,COLUMN(D1)-COLUMN($C1)+2,0)</f>
        <v>43524</v>
      </c>
      <c r="E5" s="105">
        <f t="shared" si="0"/>
        <v>43555</v>
      </c>
      <c r="F5" s="105">
        <f t="shared" si="0"/>
        <v>43585</v>
      </c>
      <c r="G5" s="105">
        <f t="shared" si="0"/>
        <v>43616</v>
      </c>
      <c r="H5" s="105">
        <f t="shared" si="0"/>
        <v>43646</v>
      </c>
      <c r="I5" s="105">
        <f t="shared" si="0"/>
        <v>43677</v>
      </c>
      <c r="J5" s="105">
        <f t="shared" si="0"/>
        <v>43708</v>
      </c>
      <c r="K5" s="105">
        <f t="shared" si="0"/>
        <v>43738</v>
      </c>
      <c r="L5" s="105">
        <f t="shared" si="0"/>
        <v>43769</v>
      </c>
      <c r="M5" s="105">
        <f t="shared" si="0"/>
        <v>43799</v>
      </c>
      <c r="N5" s="105">
        <f t="shared" si="0"/>
        <v>43830</v>
      </c>
    </row>
    <row r="6" spans="1:15">
      <c r="A6" s="3" t="s">
        <v>2451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3" t="s">
        <v>2435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outlineLevel="1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7"/>
    </row>
    <row r="9" spans="1:15" outlineLevel="1">
      <c r="A9" s="3" t="s">
        <v>252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/>
    </row>
    <row r="10" spans="1:15" outlineLevel="1">
      <c r="A10" t="s">
        <v>253</v>
      </c>
      <c r="C10" s="236">
        <v>1532794.33</v>
      </c>
      <c r="D10" s="236">
        <v>1573167.53</v>
      </c>
      <c r="E10" s="236">
        <v>1485152.94</v>
      </c>
      <c r="F10" s="236">
        <v>1340494.8999999999</v>
      </c>
      <c r="G10" s="236">
        <v>1240116.55</v>
      </c>
      <c r="H10" s="236">
        <v>1251942.07</v>
      </c>
      <c r="I10" s="236">
        <v>1337810.24</v>
      </c>
      <c r="J10" s="236">
        <v>1295810.3400000001</v>
      </c>
      <c r="K10" s="236">
        <v>1291960.6100000001</v>
      </c>
      <c r="L10" s="236">
        <v>1374625.44</v>
      </c>
      <c r="M10" s="236">
        <v>1460726.95</v>
      </c>
      <c r="N10" s="236">
        <v>1588979.67</v>
      </c>
      <c r="O10" s="77"/>
    </row>
    <row r="11" spans="1:15" outlineLevel="1">
      <c r="A11" t="s">
        <v>254</v>
      </c>
      <c r="C11" s="236">
        <v>212496.86</v>
      </c>
      <c r="D11" s="236">
        <v>222798.72</v>
      </c>
      <c r="E11" s="236">
        <v>210544.46</v>
      </c>
      <c r="F11" s="236">
        <v>195152.76</v>
      </c>
      <c r="G11" s="236">
        <v>190258.33</v>
      </c>
      <c r="H11" s="236">
        <v>187706.61</v>
      </c>
      <c r="I11" s="236">
        <v>211017.51</v>
      </c>
      <c r="J11" s="236">
        <v>205230.87</v>
      </c>
      <c r="K11" s="236">
        <v>206309.43</v>
      </c>
      <c r="L11" s="236">
        <v>197819.48</v>
      </c>
      <c r="M11" s="236">
        <v>202994.35</v>
      </c>
      <c r="N11" s="236">
        <v>219421</v>
      </c>
      <c r="O11" s="77"/>
    </row>
    <row r="12" spans="1:15" outlineLevel="1">
      <c r="A12" t="s">
        <v>321</v>
      </c>
      <c r="C12" s="236">
        <v>255572</v>
      </c>
      <c r="D12" s="236">
        <v>263659.23</v>
      </c>
      <c r="E12" s="236">
        <v>258513.13</v>
      </c>
      <c r="F12" s="236">
        <v>254799.44</v>
      </c>
      <c r="G12" s="236">
        <v>283461.84000000003</v>
      </c>
      <c r="H12" s="236">
        <v>280541.8</v>
      </c>
      <c r="I12" s="236">
        <v>314780.07</v>
      </c>
      <c r="J12" s="236">
        <v>311514.19</v>
      </c>
      <c r="K12" s="236">
        <v>326416.01</v>
      </c>
      <c r="L12" s="236">
        <v>275958.19</v>
      </c>
      <c r="M12" s="236">
        <v>267561.18</v>
      </c>
      <c r="N12" s="236">
        <v>269192.37</v>
      </c>
      <c r="O12" s="77"/>
    </row>
    <row r="13" spans="1:15" outlineLevel="1">
      <c r="A13" t="s">
        <v>273</v>
      </c>
      <c r="C13" s="236">
        <v>28557.99</v>
      </c>
      <c r="D13" s="236">
        <v>29385.14</v>
      </c>
      <c r="E13" s="236">
        <v>28542.09</v>
      </c>
      <c r="F13" s="236">
        <v>27741.360000000001</v>
      </c>
      <c r="G13" s="236">
        <v>29304.37</v>
      </c>
      <c r="H13" s="236">
        <v>29349.65</v>
      </c>
      <c r="I13" s="236">
        <v>31298.61</v>
      </c>
      <c r="J13" s="236">
        <v>29854.23</v>
      </c>
      <c r="K13" s="236">
        <v>29456.73</v>
      </c>
      <c r="L13" s="236">
        <v>26076.17</v>
      </c>
      <c r="M13" s="236">
        <v>25890.29</v>
      </c>
      <c r="N13" s="236">
        <v>28356.02</v>
      </c>
      <c r="O13" s="77"/>
    </row>
    <row r="14" spans="1:15" outlineLevel="1">
      <c r="A14" t="s">
        <v>256</v>
      </c>
      <c r="C14" s="236">
        <v>32862.660000000003</v>
      </c>
      <c r="D14" s="236">
        <v>24043.33</v>
      </c>
      <c r="E14" s="236">
        <v>26304.58</v>
      </c>
      <c r="F14" s="236">
        <v>45125.57</v>
      </c>
      <c r="G14" s="236">
        <v>65844.929999999993</v>
      </c>
      <c r="H14" s="236">
        <v>66747.34</v>
      </c>
      <c r="I14" s="236">
        <v>68989.61</v>
      </c>
      <c r="J14" s="236">
        <v>57916.93</v>
      </c>
      <c r="K14" s="236">
        <v>43411.43</v>
      </c>
      <c r="L14" s="236">
        <v>35825.760000000002</v>
      </c>
      <c r="M14" s="236">
        <v>21751.9</v>
      </c>
      <c r="N14" s="236">
        <v>24460.27</v>
      </c>
      <c r="O14" s="77"/>
    </row>
    <row r="15" spans="1:15" outlineLevel="1">
      <c r="A15" t="s">
        <v>257</v>
      </c>
      <c r="C15" s="96">
        <f t="shared" ref="C15:N15" si="1">SUM(C10:C14)</f>
        <v>2062283.8399999999</v>
      </c>
      <c r="D15" s="96">
        <f t="shared" si="1"/>
        <v>2113053.9499999997</v>
      </c>
      <c r="E15" s="96">
        <f t="shared" si="1"/>
        <v>2009057.2</v>
      </c>
      <c r="F15" s="96">
        <f t="shared" si="1"/>
        <v>1863314.03</v>
      </c>
      <c r="G15" s="96">
        <f t="shared" si="1"/>
        <v>1808986.0200000003</v>
      </c>
      <c r="H15" s="96">
        <f t="shared" si="1"/>
        <v>1816287.4700000002</v>
      </c>
      <c r="I15" s="96">
        <f t="shared" si="1"/>
        <v>1963896.0400000003</v>
      </c>
      <c r="J15" s="96">
        <f t="shared" si="1"/>
        <v>1900326.5599999998</v>
      </c>
      <c r="K15" s="96">
        <f t="shared" si="1"/>
        <v>1897554.21</v>
      </c>
      <c r="L15" s="96">
        <f t="shared" si="1"/>
        <v>1910305.0399999998</v>
      </c>
      <c r="M15" s="96">
        <f t="shared" si="1"/>
        <v>1978924.67</v>
      </c>
      <c r="N15" s="96">
        <f t="shared" si="1"/>
        <v>2130409.33</v>
      </c>
      <c r="O15" s="77"/>
    </row>
    <row r="16" spans="1:15">
      <c r="C16" s="9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7"/>
    </row>
    <row r="17" spans="1:15" outlineLevel="1">
      <c r="A17" s="3" t="s">
        <v>258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7"/>
    </row>
    <row r="18" spans="1:15" outlineLevel="1">
      <c r="A18" t="s">
        <v>253</v>
      </c>
      <c r="C18" s="63">
        <v>731101.08</v>
      </c>
      <c r="D18" s="63">
        <v>767700.69</v>
      </c>
      <c r="E18" s="63">
        <v>717778.53</v>
      </c>
      <c r="F18" s="63">
        <v>631690.65</v>
      </c>
      <c r="G18" s="63">
        <v>616013</v>
      </c>
      <c r="H18" s="63">
        <v>583732.64</v>
      </c>
      <c r="I18" s="63">
        <v>602144.49</v>
      </c>
      <c r="J18" s="63">
        <v>622828.55000000005</v>
      </c>
      <c r="K18" s="63">
        <v>640928.16</v>
      </c>
      <c r="L18" s="63">
        <v>643206.91</v>
      </c>
      <c r="M18" s="63">
        <v>674116.76</v>
      </c>
      <c r="N18" s="63">
        <v>735227.51</v>
      </c>
      <c r="O18" s="77"/>
    </row>
    <row r="19" spans="1:15" outlineLevel="1">
      <c r="A19" t="s">
        <v>254</v>
      </c>
      <c r="C19" s="63">
        <v>147699.92000000001</v>
      </c>
      <c r="D19" s="63">
        <v>148613.31</v>
      </c>
      <c r="E19" s="63">
        <v>151533.42000000001</v>
      </c>
      <c r="F19" s="63">
        <v>131878.18</v>
      </c>
      <c r="G19" s="63">
        <v>129263.67</v>
      </c>
      <c r="H19" s="63">
        <v>130229.57</v>
      </c>
      <c r="I19" s="63">
        <v>128655.14</v>
      </c>
      <c r="J19" s="63">
        <v>122026.25</v>
      </c>
      <c r="K19" s="63">
        <v>120283.19</v>
      </c>
      <c r="L19" s="63">
        <v>122060.16</v>
      </c>
      <c r="M19" s="63">
        <v>129351</v>
      </c>
      <c r="N19" s="63">
        <v>178515.93</v>
      </c>
      <c r="O19" s="77"/>
    </row>
    <row r="20" spans="1:15" outlineLevel="1">
      <c r="A20" t="s">
        <v>321</v>
      </c>
      <c r="C20" s="63">
        <v>135125.35999999999</v>
      </c>
      <c r="D20" s="63">
        <v>137838.98000000001</v>
      </c>
      <c r="E20" s="63">
        <v>132357.32</v>
      </c>
      <c r="F20" s="63">
        <v>132601.26999999999</v>
      </c>
      <c r="G20" s="63">
        <v>132518.68</v>
      </c>
      <c r="H20" s="63">
        <v>131054.12</v>
      </c>
      <c r="I20" s="63">
        <v>148941.75</v>
      </c>
      <c r="J20" s="63">
        <v>150501.04999999999</v>
      </c>
      <c r="K20" s="63">
        <v>147877.20000000001</v>
      </c>
      <c r="L20" s="63">
        <v>131536.29</v>
      </c>
      <c r="M20" s="63">
        <v>133235.57999999999</v>
      </c>
      <c r="N20" s="63">
        <v>137792.44</v>
      </c>
      <c r="O20" s="77"/>
    </row>
    <row r="21" spans="1:15" outlineLevel="1">
      <c r="A21" t="s">
        <v>273</v>
      </c>
      <c r="C21" s="63">
        <v>20632.71</v>
      </c>
      <c r="D21" s="63">
        <v>20672.89</v>
      </c>
      <c r="E21" s="63">
        <v>20943.8</v>
      </c>
      <c r="F21" s="63">
        <v>20488.29</v>
      </c>
      <c r="G21" s="63">
        <v>19975.29</v>
      </c>
      <c r="H21" s="63">
        <v>19773.98</v>
      </c>
      <c r="I21" s="63">
        <v>18964.349999999999</v>
      </c>
      <c r="J21" s="63">
        <v>19180.46</v>
      </c>
      <c r="K21" s="63">
        <v>19307.64</v>
      </c>
      <c r="L21" s="63">
        <v>19519.78</v>
      </c>
      <c r="M21" s="63">
        <v>20560.830000000002</v>
      </c>
      <c r="N21" s="63">
        <v>21399.31</v>
      </c>
      <c r="O21" s="77"/>
    </row>
    <row r="22" spans="1:15" outlineLevel="1">
      <c r="A22" t="s">
        <v>256</v>
      </c>
      <c r="C22" s="63">
        <v>23623.94</v>
      </c>
      <c r="D22" s="63">
        <v>19491.45</v>
      </c>
      <c r="E22" s="63">
        <v>31410.98</v>
      </c>
      <c r="F22" s="63">
        <v>26032.68</v>
      </c>
      <c r="G22" s="63">
        <v>38090.07</v>
      </c>
      <c r="H22" s="63">
        <v>39449.949999999997</v>
      </c>
      <c r="I22" s="63">
        <v>51325.4</v>
      </c>
      <c r="J22" s="63">
        <v>43851.89</v>
      </c>
      <c r="K22" s="63">
        <v>47064.91</v>
      </c>
      <c r="L22" s="63">
        <v>22924.41</v>
      </c>
      <c r="M22" s="63">
        <v>23326.97</v>
      </c>
      <c r="N22" s="63">
        <v>27330.67</v>
      </c>
      <c r="O22" s="77"/>
    </row>
    <row r="23" spans="1:15" outlineLevel="1">
      <c r="A23" t="s">
        <v>259</v>
      </c>
      <c r="C23" s="98">
        <f t="shared" ref="C23:N23" si="2">SUM(C18:C22)</f>
        <v>1058183.01</v>
      </c>
      <c r="D23" s="98">
        <f t="shared" si="2"/>
        <v>1094317.3199999998</v>
      </c>
      <c r="E23" s="98">
        <f t="shared" si="2"/>
        <v>1054024.05</v>
      </c>
      <c r="F23" s="98">
        <f t="shared" si="2"/>
        <v>942691.07000000018</v>
      </c>
      <c r="G23" s="98">
        <f t="shared" si="2"/>
        <v>935860.71000000008</v>
      </c>
      <c r="H23" s="98">
        <f t="shared" si="2"/>
        <v>904240.25999999989</v>
      </c>
      <c r="I23" s="98">
        <f t="shared" si="2"/>
        <v>950031.13</v>
      </c>
      <c r="J23" s="98">
        <f t="shared" si="2"/>
        <v>958388.20000000007</v>
      </c>
      <c r="K23" s="98">
        <f t="shared" si="2"/>
        <v>975461.10000000009</v>
      </c>
      <c r="L23" s="98">
        <f t="shared" si="2"/>
        <v>939247.55000000016</v>
      </c>
      <c r="M23" s="98">
        <f t="shared" si="2"/>
        <v>980591.1399999999</v>
      </c>
      <c r="N23" s="98">
        <f t="shared" si="2"/>
        <v>1100265.8599999999</v>
      </c>
      <c r="O23" s="77"/>
    </row>
    <row r="24" spans="1:15" outlineLevel="1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>
      <c r="A25" s="3" t="s">
        <v>260</v>
      </c>
      <c r="C25" s="99" t="s">
        <v>261</v>
      </c>
      <c r="D25" s="99" t="s">
        <v>262</v>
      </c>
      <c r="E25" s="99" t="s">
        <v>263</v>
      </c>
      <c r="F25" s="99" t="s">
        <v>264</v>
      </c>
      <c r="G25" s="99" t="s">
        <v>265</v>
      </c>
      <c r="H25" s="99" t="s">
        <v>266</v>
      </c>
      <c r="I25" s="99" t="s">
        <v>267</v>
      </c>
      <c r="J25" s="99" t="s">
        <v>268</v>
      </c>
      <c r="K25" s="99" t="s">
        <v>269</v>
      </c>
      <c r="L25" s="99" t="s">
        <v>270</v>
      </c>
      <c r="M25" s="99" t="s">
        <v>271</v>
      </c>
      <c r="N25" s="99" t="s">
        <v>272</v>
      </c>
      <c r="O25" s="77"/>
    </row>
    <row r="26" spans="1:15" outlineLevel="1">
      <c r="A26" s="3" t="s">
        <v>252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outlineLevel="1">
      <c r="A27" t="str">
        <f>A10</f>
        <v>Schedule 1</v>
      </c>
      <c r="C27" s="82">
        <v>274145636.94</v>
      </c>
      <c r="D27" s="82">
        <v>264080031.38</v>
      </c>
      <c r="E27" s="82">
        <v>225090809.40000001</v>
      </c>
      <c r="F27" s="82">
        <v>175969889.75999999</v>
      </c>
      <c r="G27" s="82">
        <v>157862499.27000001</v>
      </c>
      <c r="H27" s="82">
        <v>157780438.08000001</v>
      </c>
      <c r="I27" s="82">
        <v>224439339.38</v>
      </c>
      <c r="J27" s="82">
        <v>206247756.84</v>
      </c>
      <c r="K27" s="82">
        <v>171964807.30000001</v>
      </c>
      <c r="L27" s="82">
        <v>194630473.93000001</v>
      </c>
      <c r="M27" s="82">
        <v>243789672.81999999</v>
      </c>
      <c r="N27" s="82">
        <v>310636626.92000002</v>
      </c>
      <c r="O27" s="77"/>
    </row>
    <row r="28" spans="1:15" outlineLevel="1">
      <c r="A28" t="str">
        <f>A11</f>
        <v>Schedule 11/12</v>
      </c>
      <c r="C28" s="82">
        <v>60470813.119999997</v>
      </c>
      <c r="D28" s="82">
        <v>55841909.32</v>
      </c>
      <c r="E28" s="82">
        <v>53036987.990000002</v>
      </c>
      <c r="F28" s="82">
        <v>46792751.079999998</v>
      </c>
      <c r="G28" s="82">
        <v>46682773.560000002</v>
      </c>
      <c r="H28" s="82">
        <v>46086295.780000001</v>
      </c>
      <c r="I28" s="82">
        <v>56493222.020000003</v>
      </c>
      <c r="J28" s="82">
        <v>53658065.369999997</v>
      </c>
      <c r="K28" s="82">
        <v>48977016.119999997</v>
      </c>
      <c r="L28" s="82">
        <v>49930255.509999998</v>
      </c>
      <c r="M28" s="82">
        <v>54443209.960000001</v>
      </c>
      <c r="N28" s="82">
        <v>61779452.390000001</v>
      </c>
      <c r="O28" s="77"/>
    </row>
    <row r="29" spans="1:15" outlineLevel="1">
      <c r="A29" t="str">
        <f>A12</f>
        <v>Schedule 21/22 Secondary</v>
      </c>
      <c r="C29" s="82">
        <v>115112236.29000001</v>
      </c>
      <c r="D29" s="82">
        <v>104931143.40000001</v>
      </c>
      <c r="E29" s="82">
        <v>109549055.5</v>
      </c>
      <c r="F29" s="82">
        <v>105331705.25</v>
      </c>
      <c r="G29" s="82">
        <v>113503682.45</v>
      </c>
      <c r="H29" s="82">
        <v>110129391.06999999</v>
      </c>
      <c r="I29" s="82">
        <v>125768613.09</v>
      </c>
      <c r="J29" s="82">
        <v>125685575.77</v>
      </c>
      <c r="K29" s="82">
        <v>115178491.26000001</v>
      </c>
      <c r="L29" s="82">
        <v>113349590.45999999</v>
      </c>
      <c r="M29" s="82">
        <v>111319943.55</v>
      </c>
      <c r="N29" s="82">
        <v>116194385.64</v>
      </c>
      <c r="O29" s="77"/>
    </row>
    <row r="30" spans="1:15" outlineLevel="1">
      <c r="A30" t="str">
        <f>A13</f>
        <v>Schedule 21 Primary</v>
      </c>
      <c r="C30" s="82">
        <v>12824351.640000001</v>
      </c>
      <c r="D30" s="82">
        <v>12259201.57</v>
      </c>
      <c r="E30" s="82">
        <v>12736146.960000001</v>
      </c>
      <c r="F30" s="82">
        <v>12102715.9</v>
      </c>
      <c r="G30" s="82">
        <v>12288086.199999999</v>
      </c>
      <c r="H30" s="82">
        <v>11776620.6</v>
      </c>
      <c r="I30" s="82">
        <v>12892900.51</v>
      </c>
      <c r="J30" s="82">
        <v>12584113.49</v>
      </c>
      <c r="K30" s="82">
        <v>11365458.439999999</v>
      </c>
      <c r="L30" s="82">
        <v>12077046.49</v>
      </c>
      <c r="M30" s="82">
        <v>11618844.949999999</v>
      </c>
      <c r="N30" s="82">
        <v>12838879.140000001</v>
      </c>
      <c r="O30" s="77"/>
    </row>
    <row r="31" spans="1:15" outlineLevel="1">
      <c r="A31" t="str">
        <f>A14</f>
        <v>Schedule 31/32</v>
      </c>
      <c r="C31" s="82">
        <v>6066578.9100000001</v>
      </c>
      <c r="D31" s="82">
        <v>4344676.3899999997</v>
      </c>
      <c r="E31" s="82">
        <v>4776252.45</v>
      </c>
      <c r="F31" s="82">
        <v>6097816.1799999997</v>
      </c>
      <c r="G31" s="82">
        <v>17895192.460000001</v>
      </c>
      <c r="H31" s="82">
        <v>24228254.890000001</v>
      </c>
      <c r="I31" s="82">
        <v>26393810.52</v>
      </c>
      <c r="J31" s="82">
        <v>21159226.239999998</v>
      </c>
      <c r="K31" s="82">
        <v>11680999.460000001</v>
      </c>
      <c r="L31" s="82">
        <v>6785895.6299999999</v>
      </c>
      <c r="M31" s="82">
        <v>5290683.59</v>
      </c>
      <c r="N31" s="82">
        <v>5071140.78</v>
      </c>
      <c r="O31" s="77"/>
    </row>
    <row r="32" spans="1:15" outlineLevel="1">
      <c r="A32" t="s">
        <v>257</v>
      </c>
      <c r="C32" s="100">
        <f t="shared" ref="C32:N32" si="3">SUM(C27:C31)</f>
        <v>468619616.90000004</v>
      </c>
      <c r="D32" s="100">
        <f t="shared" si="3"/>
        <v>441456962.06</v>
      </c>
      <c r="E32" s="100">
        <f t="shared" si="3"/>
        <v>405189252.29999995</v>
      </c>
      <c r="F32" s="100">
        <f t="shared" si="3"/>
        <v>346294878.16999996</v>
      </c>
      <c r="G32" s="100">
        <f t="shared" si="3"/>
        <v>348232233.94</v>
      </c>
      <c r="H32" s="100">
        <f t="shared" si="3"/>
        <v>350001000.42000002</v>
      </c>
      <c r="I32" s="100">
        <f t="shared" si="3"/>
        <v>445987885.51999998</v>
      </c>
      <c r="J32" s="100">
        <f t="shared" si="3"/>
        <v>419334737.71000004</v>
      </c>
      <c r="K32" s="100">
        <f t="shared" si="3"/>
        <v>359166772.57999998</v>
      </c>
      <c r="L32" s="100">
        <f t="shared" si="3"/>
        <v>376773262.01999998</v>
      </c>
      <c r="M32" s="100">
        <f t="shared" si="3"/>
        <v>426462354.86999995</v>
      </c>
      <c r="N32" s="100">
        <f t="shared" si="3"/>
        <v>506520484.86999995</v>
      </c>
      <c r="O32" s="77"/>
    </row>
    <row r="33" spans="1:1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outlineLevel="1">
      <c r="A34" s="3" t="s">
        <v>258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outlineLevel="1">
      <c r="A35" t="str">
        <f>A18</f>
        <v>Schedule 1</v>
      </c>
      <c r="C35" s="82">
        <v>139199851.49000001</v>
      </c>
      <c r="D35" s="82">
        <v>133633182.54000001</v>
      </c>
      <c r="E35" s="82">
        <v>117635348.72</v>
      </c>
      <c r="F35" s="82">
        <v>98131288.810000002</v>
      </c>
      <c r="G35" s="82">
        <v>80754914.159999996</v>
      </c>
      <c r="H35" s="82">
        <v>71756362.170000002</v>
      </c>
      <c r="I35" s="82">
        <v>93213781.980000004</v>
      </c>
      <c r="J35" s="82">
        <v>87867556.829999998</v>
      </c>
      <c r="K35" s="82">
        <v>76735058.519999996</v>
      </c>
      <c r="L35" s="82">
        <v>93922380.469999999</v>
      </c>
      <c r="M35" s="82">
        <v>113844327.09</v>
      </c>
      <c r="N35" s="82">
        <v>151248173.59</v>
      </c>
      <c r="O35" s="77"/>
    </row>
    <row r="36" spans="1:15" outlineLevel="1">
      <c r="A36" t="str">
        <f t="shared" ref="A36:A38" si="4">A19</f>
        <v>Schedule 11/12</v>
      </c>
      <c r="C36" s="82">
        <v>41202569.990000002</v>
      </c>
      <c r="D36" s="82">
        <v>38804160.670000002</v>
      </c>
      <c r="E36" s="82">
        <v>35187479.640000001</v>
      </c>
      <c r="F36" s="82">
        <v>28766972.739999998</v>
      </c>
      <c r="G36" s="82">
        <v>26714399.829999998</v>
      </c>
      <c r="H36" s="82">
        <v>25857421.469999999</v>
      </c>
      <c r="I36" s="82">
        <v>30614799.57</v>
      </c>
      <c r="J36" s="82">
        <v>30620453.379999999</v>
      </c>
      <c r="K36" s="82">
        <v>27728993.440000001</v>
      </c>
      <c r="L36" s="82">
        <v>29961500.75</v>
      </c>
      <c r="M36" s="82">
        <v>33281014.879999999</v>
      </c>
      <c r="N36" s="82">
        <v>44164859.32</v>
      </c>
      <c r="O36" s="77"/>
    </row>
    <row r="37" spans="1:15" outlineLevel="1">
      <c r="A37" t="str">
        <f t="shared" si="4"/>
        <v>Schedule 21/22 Secondary</v>
      </c>
      <c r="C37" s="82">
        <v>56186903.710000001</v>
      </c>
      <c r="D37" s="82">
        <v>51509767.990000002</v>
      </c>
      <c r="E37" s="82">
        <v>53661657.289999999</v>
      </c>
      <c r="F37" s="82">
        <v>53115637.18</v>
      </c>
      <c r="G37" s="82">
        <v>54068840.030000001</v>
      </c>
      <c r="H37" s="82">
        <v>52531517.93</v>
      </c>
      <c r="I37" s="82">
        <v>54490134.920000002</v>
      </c>
      <c r="J37" s="82">
        <v>57049651.210000001</v>
      </c>
      <c r="K37" s="82">
        <v>52937224.079999998</v>
      </c>
      <c r="L37" s="82">
        <v>54269426.649999999</v>
      </c>
      <c r="M37" s="82">
        <v>53720422.539999999</v>
      </c>
      <c r="N37" s="82">
        <v>57454741.899999999</v>
      </c>
      <c r="O37" s="77"/>
    </row>
    <row r="38" spans="1:15" outlineLevel="1">
      <c r="A38" t="str">
        <f t="shared" si="4"/>
        <v>Schedule 21 Primary</v>
      </c>
      <c r="C38" s="82">
        <v>9059799.4100000001</v>
      </c>
      <c r="D38" s="82">
        <v>8238944.3799999999</v>
      </c>
      <c r="E38" s="82">
        <v>8825853.4100000001</v>
      </c>
      <c r="F38" s="82">
        <v>8409761.4600000009</v>
      </c>
      <c r="G38" s="82">
        <v>8123746.7699999996</v>
      </c>
      <c r="H38" s="82">
        <v>8107965.46</v>
      </c>
      <c r="I38" s="82">
        <v>7835964.3300000001</v>
      </c>
      <c r="J38" s="82">
        <v>7778007.8300000001</v>
      </c>
      <c r="K38" s="82">
        <v>7506774.9100000001</v>
      </c>
      <c r="L38" s="82">
        <v>8245671.3399999999</v>
      </c>
      <c r="M38" s="82">
        <v>8403416.1699999999</v>
      </c>
      <c r="N38" s="82">
        <v>8940971.5999999996</v>
      </c>
      <c r="O38" s="77"/>
    </row>
    <row r="39" spans="1:15" outlineLevel="1">
      <c r="A39" t="str">
        <f>A22</f>
        <v>Schedule 31/32</v>
      </c>
      <c r="C39" s="82">
        <v>3157426.16</v>
      </c>
      <c r="D39" s="82">
        <v>3122714.45</v>
      </c>
      <c r="E39" s="82">
        <v>3260629.3</v>
      </c>
      <c r="F39" s="82">
        <v>2974703.96</v>
      </c>
      <c r="G39" s="82">
        <v>4298937.88</v>
      </c>
      <c r="H39" s="82">
        <v>6269028.5099999998</v>
      </c>
      <c r="I39" s="82">
        <v>12076616.6</v>
      </c>
      <c r="J39" s="82">
        <v>9769644.0299999993</v>
      </c>
      <c r="K39" s="82">
        <v>6942761.71</v>
      </c>
      <c r="L39" s="82">
        <v>3634800.6400000001</v>
      </c>
      <c r="M39" s="82">
        <v>2733408</v>
      </c>
      <c r="N39" s="82">
        <v>3138474.66</v>
      </c>
      <c r="O39" s="77"/>
    </row>
    <row r="40" spans="1:15" outlineLevel="1">
      <c r="A40" t="s">
        <v>259</v>
      </c>
      <c r="C40" s="101">
        <f t="shared" ref="C40:N40" si="5">SUM(C35:C39)</f>
        <v>248806550.76000002</v>
      </c>
      <c r="D40" s="101">
        <f t="shared" si="5"/>
        <v>235308770.03</v>
      </c>
      <c r="E40" s="101">
        <f t="shared" si="5"/>
        <v>218570968.36000001</v>
      </c>
      <c r="F40" s="101">
        <f t="shared" si="5"/>
        <v>191398364.15000001</v>
      </c>
      <c r="G40" s="101">
        <f t="shared" si="5"/>
        <v>173960838.66999999</v>
      </c>
      <c r="H40" s="101">
        <f t="shared" si="5"/>
        <v>164522295.53999999</v>
      </c>
      <c r="I40" s="101">
        <f t="shared" si="5"/>
        <v>198231297.40000004</v>
      </c>
      <c r="J40" s="101">
        <f t="shared" si="5"/>
        <v>193085313.28</v>
      </c>
      <c r="K40" s="101">
        <f t="shared" si="5"/>
        <v>171850812.66</v>
      </c>
      <c r="L40" s="101">
        <f t="shared" si="5"/>
        <v>190033779.84999999</v>
      </c>
      <c r="M40" s="101">
        <f t="shared" si="5"/>
        <v>211982588.67999998</v>
      </c>
      <c r="N40" s="101">
        <f t="shared" si="5"/>
        <v>264947221.06999999</v>
      </c>
      <c r="O40" s="77"/>
    </row>
    <row r="41" spans="1:15" outlineLevel="1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>
      <c r="C42" s="123">
        <f>C$5</f>
        <v>43496</v>
      </c>
      <c r="D42" s="123">
        <f t="shared" ref="D42:N42" si="6">D$5</f>
        <v>43524</v>
      </c>
      <c r="E42" s="123">
        <f t="shared" si="6"/>
        <v>43555</v>
      </c>
      <c r="F42" s="123">
        <f t="shared" si="6"/>
        <v>43585</v>
      </c>
      <c r="G42" s="123">
        <f t="shared" si="6"/>
        <v>43616</v>
      </c>
      <c r="H42" s="123">
        <f t="shared" si="6"/>
        <v>43646</v>
      </c>
      <c r="I42" s="123">
        <f t="shared" si="6"/>
        <v>43677</v>
      </c>
      <c r="J42" s="123">
        <f t="shared" si="6"/>
        <v>43708</v>
      </c>
      <c r="K42" s="123">
        <f t="shared" si="6"/>
        <v>43738</v>
      </c>
      <c r="L42" s="123">
        <f t="shared" si="6"/>
        <v>43769</v>
      </c>
      <c r="M42" s="123">
        <f t="shared" si="6"/>
        <v>43799</v>
      </c>
      <c r="N42" s="123">
        <f t="shared" si="6"/>
        <v>43830</v>
      </c>
      <c r="O42" s="77"/>
    </row>
    <row r="43" spans="1:15">
      <c r="A43" s="3" t="s">
        <v>2452</v>
      </c>
      <c r="C43" s="83">
        <f>IF(MONTH(C$5)=IF($A$5+0&gt;2006,3,4),-1,IF(MONTH(C$5)=IF($A$5+0&gt;2006,11,10),1))+DAY(C$5)*24</f>
        <v>744</v>
      </c>
      <c r="D43" s="83">
        <f t="shared" ref="D43:N43" si="7">IF(MONTH(D$5)=IF($A$5+0&gt;2006,3,4),-1,IF(MONTH(D$5)=IF($A$5+0&gt;2006,11,10),1))+DAY(D$5)*24</f>
        <v>672</v>
      </c>
      <c r="E43" s="83">
        <f t="shared" si="7"/>
        <v>743</v>
      </c>
      <c r="F43" s="83">
        <f t="shared" si="7"/>
        <v>720</v>
      </c>
      <c r="G43" s="83">
        <f t="shared" si="7"/>
        <v>744</v>
      </c>
      <c r="H43" s="83">
        <f t="shared" si="7"/>
        <v>720</v>
      </c>
      <c r="I43" s="83">
        <f t="shared" si="7"/>
        <v>744</v>
      </c>
      <c r="J43" s="83">
        <f t="shared" si="7"/>
        <v>744</v>
      </c>
      <c r="K43" s="83">
        <f t="shared" si="7"/>
        <v>720</v>
      </c>
      <c r="L43" s="83">
        <f t="shared" si="7"/>
        <v>744</v>
      </c>
      <c r="M43" s="83">
        <f t="shared" si="7"/>
        <v>721</v>
      </c>
      <c r="N43" s="83">
        <f t="shared" si="7"/>
        <v>744</v>
      </c>
      <c r="O43" s="77"/>
    </row>
    <row r="44" spans="1:15" outlineLevel="1">
      <c r="A44" s="3" t="s">
        <v>252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77"/>
    </row>
    <row r="45" spans="1:15" outlineLevel="1">
      <c r="A45" t="str">
        <f>A27</f>
        <v>Schedule 1</v>
      </c>
      <c r="C45" s="102">
        <f>C27/C$43</f>
        <v>368475.31846774195</v>
      </c>
      <c r="D45" s="102">
        <f t="shared" ref="C45:N49" si="8">D27/D$43</f>
        <v>392976.23717261903</v>
      </c>
      <c r="E45" s="102">
        <f t="shared" si="8"/>
        <v>302948.59946164198</v>
      </c>
      <c r="F45" s="102">
        <f t="shared" si="8"/>
        <v>244402.62466666664</v>
      </c>
      <c r="G45" s="102">
        <f t="shared" si="8"/>
        <v>212180.77858870968</v>
      </c>
      <c r="H45" s="102">
        <f t="shared" si="8"/>
        <v>219139.49733333336</v>
      </c>
      <c r="I45" s="102">
        <f t="shared" si="8"/>
        <v>301665.77873655915</v>
      </c>
      <c r="J45" s="102">
        <f t="shared" si="8"/>
        <v>277214.72693548386</v>
      </c>
      <c r="K45" s="102">
        <f t="shared" si="8"/>
        <v>238840.0101388889</v>
      </c>
      <c r="L45" s="102">
        <f t="shared" si="8"/>
        <v>261600.09936827957</v>
      </c>
      <c r="M45" s="102">
        <f t="shared" si="8"/>
        <v>338127.14676837722</v>
      </c>
      <c r="N45" s="102">
        <f t="shared" si="8"/>
        <v>417522.3480107527</v>
      </c>
      <c r="O45" s="77"/>
    </row>
    <row r="46" spans="1:15" outlineLevel="1">
      <c r="A46" t="str">
        <f>A28</f>
        <v>Schedule 11/12</v>
      </c>
      <c r="C46" s="102">
        <f t="shared" si="8"/>
        <v>81277.974623655915</v>
      </c>
      <c r="D46" s="102">
        <f t="shared" si="8"/>
        <v>83098.079345238089</v>
      </c>
      <c r="E46" s="102">
        <f t="shared" si="8"/>
        <v>71382.218021534325</v>
      </c>
      <c r="F46" s="102">
        <f t="shared" si="8"/>
        <v>64989.932055555553</v>
      </c>
      <c r="G46" s="102">
        <f t="shared" si="8"/>
        <v>62745.663387096778</v>
      </c>
      <c r="H46" s="102">
        <f t="shared" si="8"/>
        <v>64008.744138888891</v>
      </c>
      <c r="I46" s="102">
        <f t="shared" si="8"/>
        <v>75931.750026881724</v>
      </c>
      <c r="J46" s="102">
        <f t="shared" si="8"/>
        <v>72121.055604838708</v>
      </c>
      <c r="K46" s="102">
        <f t="shared" si="8"/>
        <v>68023.633499999996</v>
      </c>
      <c r="L46" s="102">
        <f t="shared" si="8"/>
        <v>67110.558481182787</v>
      </c>
      <c r="M46" s="102">
        <f t="shared" si="8"/>
        <v>75510.693425797508</v>
      </c>
      <c r="N46" s="102">
        <f t="shared" si="8"/>
        <v>83036.898373655917</v>
      </c>
      <c r="O46" s="77"/>
    </row>
    <row r="47" spans="1:15" outlineLevel="1">
      <c r="A47" t="str">
        <f>A29</f>
        <v>Schedule 21/22 Secondary</v>
      </c>
      <c r="C47" s="102">
        <f t="shared" si="8"/>
        <v>154720.74770161291</v>
      </c>
      <c r="D47" s="102">
        <f t="shared" si="8"/>
        <v>156147.53482142859</v>
      </c>
      <c r="E47" s="102">
        <f t="shared" si="8"/>
        <v>147441.52826379542</v>
      </c>
      <c r="F47" s="102">
        <f t="shared" si="8"/>
        <v>146294.03506944445</v>
      </c>
      <c r="G47" s="102">
        <f t="shared" si="8"/>
        <v>152558.71297043012</v>
      </c>
      <c r="H47" s="102">
        <f t="shared" si="8"/>
        <v>152957.48759722221</v>
      </c>
      <c r="I47" s="102">
        <f t="shared" si="8"/>
        <v>169043.83479838711</v>
      </c>
      <c r="J47" s="102">
        <f t="shared" si="8"/>
        <v>168932.22549731183</v>
      </c>
      <c r="K47" s="102">
        <f t="shared" si="8"/>
        <v>159970.12675</v>
      </c>
      <c r="L47" s="102">
        <f t="shared" si="8"/>
        <v>152351.60008064515</v>
      </c>
      <c r="M47" s="102">
        <f t="shared" si="8"/>
        <v>154396.59299583911</v>
      </c>
      <c r="N47" s="102">
        <f t="shared" si="8"/>
        <v>156175.24951612903</v>
      </c>
      <c r="O47" s="77"/>
    </row>
    <row r="48" spans="1:15" outlineLevel="1">
      <c r="A48" t="str">
        <f>A30</f>
        <v>Schedule 21 Primary</v>
      </c>
      <c r="C48" s="102">
        <f t="shared" si="8"/>
        <v>17237.031774193551</v>
      </c>
      <c r="D48" s="102">
        <f t="shared" si="8"/>
        <v>18242.859479166666</v>
      </c>
      <c r="E48" s="102">
        <f t="shared" si="8"/>
        <v>17141.516769851954</v>
      </c>
      <c r="F48" s="102">
        <f t="shared" si="8"/>
        <v>16809.327638888888</v>
      </c>
      <c r="G48" s="102">
        <f t="shared" si="8"/>
        <v>16516.244892473118</v>
      </c>
      <c r="H48" s="102">
        <f t="shared" si="8"/>
        <v>16356.4175</v>
      </c>
      <c r="I48" s="102">
        <f t="shared" si="8"/>
        <v>17329.167352150536</v>
      </c>
      <c r="J48" s="102">
        <f t="shared" si="8"/>
        <v>16914.131034946236</v>
      </c>
      <c r="K48" s="102">
        <f t="shared" si="8"/>
        <v>15785.358944444444</v>
      </c>
      <c r="L48" s="102">
        <f t="shared" si="8"/>
        <v>16232.58936827957</v>
      </c>
      <c r="M48" s="102">
        <f t="shared" si="8"/>
        <v>16114.90284327323</v>
      </c>
      <c r="N48" s="102">
        <f t="shared" si="8"/>
        <v>17256.557983870967</v>
      </c>
      <c r="O48" s="77"/>
    </row>
    <row r="49" spans="1:15" outlineLevel="1">
      <c r="A49" t="str">
        <f>A31</f>
        <v>Schedule 31/32</v>
      </c>
      <c r="C49" s="102">
        <f t="shared" si="8"/>
        <v>8154.0039112903232</v>
      </c>
      <c r="D49" s="102">
        <f t="shared" si="8"/>
        <v>6465.2922470238091</v>
      </c>
      <c r="E49" s="102">
        <f t="shared" si="8"/>
        <v>6428.334387617766</v>
      </c>
      <c r="F49" s="102">
        <f t="shared" si="8"/>
        <v>8469.1891388888889</v>
      </c>
      <c r="G49" s="102">
        <f t="shared" si="8"/>
        <v>24052.67803763441</v>
      </c>
      <c r="H49" s="102">
        <f t="shared" si="8"/>
        <v>33650.354013888893</v>
      </c>
      <c r="I49" s="102">
        <f t="shared" si="8"/>
        <v>35475.551774193547</v>
      </c>
      <c r="J49" s="102">
        <f t="shared" si="8"/>
        <v>28439.820215053762</v>
      </c>
      <c r="K49" s="102">
        <f t="shared" si="8"/>
        <v>16223.610361111112</v>
      </c>
      <c r="L49" s="102">
        <f t="shared" si="8"/>
        <v>9120.827459677419</v>
      </c>
      <c r="M49" s="102">
        <f t="shared" si="8"/>
        <v>7337.9800138696255</v>
      </c>
      <c r="N49" s="102">
        <f t="shared" si="8"/>
        <v>6816.0494354838711</v>
      </c>
      <c r="O49" s="77"/>
    </row>
    <row r="50" spans="1:15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77"/>
    </row>
    <row r="51" spans="1:15" outlineLevel="1">
      <c r="A51" s="3" t="s">
        <v>258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outlineLevel="1">
      <c r="A52" t="str">
        <f>A35</f>
        <v>Schedule 1</v>
      </c>
      <c r="C52" s="103">
        <f t="shared" ref="C52:N52" si="9">C35/C$43</f>
        <v>187096.57458333333</v>
      </c>
      <c r="D52" s="103">
        <f t="shared" si="9"/>
        <v>198858.90258928572</v>
      </c>
      <c r="E52" s="103">
        <f t="shared" si="9"/>
        <v>158324.83004037684</v>
      </c>
      <c r="F52" s="103">
        <f t="shared" si="9"/>
        <v>136293.45668055557</v>
      </c>
      <c r="G52" s="103">
        <f t="shared" si="9"/>
        <v>108541.55129032258</v>
      </c>
      <c r="H52" s="103">
        <f t="shared" si="9"/>
        <v>99661.614125000007</v>
      </c>
      <c r="I52" s="103">
        <f t="shared" si="9"/>
        <v>125287.34137096774</v>
      </c>
      <c r="J52" s="103">
        <f t="shared" si="9"/>
        <v>118101.55487903225</v>
      </c>
      <c r="K52" s="103">
        <f t="shared" si="9"/>
        <v>106576.47016666667</v>
      </c>
      <c r="L52" s="103">
        <f t="shared" si="9"/>
        <v>126239.75869623656</v>
      </c>
      <c r="M52" s="103">
        <f t="shared" si="9"/>
        <v>157897.81843273231</v>
      </c>
      <c r="N52" s="103">
        <f t="shared" si="9"/>
        <v>203290.55590053764</v>
      </c>
      <c r="O52" s="77"/>
    </row>
    <row r="53" spans="1:15" outlineLevel="1">
      <c r="A53" t="str">
        <f>A36</f>
        <v>Schedule 11/12</v>
      </c>
      <c r="C53" s="103">
        <f t="shared" ref="C53:N53" si="10">C36/C$43</f>
        <v>55379.798373655918</v>
      </c>
      <c r="D53" s="103">
        <f t="shared" si="10"/>
        <v>57744.286711309527</v>
      </c>
      <c r="E53" s="103">
        <f t="shared" si="10"/>
        <v>47358.653620457604</v>
      </c>
      <c r="F53" s="103">
        <f t="shared" si="10"/>
        <v>39954.128805555556</v>
      </c>
      <c r="G53" s="103">
        <f t="shared" si="10"/>
        <v>35906.451384408603</v>
      </c>
      <c r="H53" s="103">
        <f t="shared" si="10"/>
        <v>35913.085374999995</v>
      </c>
      <c r="I53" s="103">
        <f t="shared" si="10"/>
        <v>41148.924153225809</v>
      </c>
      <c r="J53" s="103">
        <f t="shared" si="10"/>
        <v>41156.523360215055</v>
      </c>
      <c r="K53" s="103">
        <f t="shared" si="10"/>
        <v>38512.490888888889</v>
      </c>
      <c r="L53" s="103">
        <f t="shared" si="10"/>
        <v>40270.834341397851</v>
      </c>
      <c r="M53" s="103">
        <f t="shared" si="10"/>
        <v>46159.521331484051</v>
      </c>
      <c r="N53" s="103">
        <f t="shared" si="10"/>
        <v>59361.370053763443</v>
      </c>
      <c r="O53" s="77"/>
    </row>
    <row r="54" spans="1:15" outlineLevel="1">
      <c r="A54" t="str">
        <f>A37</f>
        <v>Schedule 21/22 Secondary</v>
      </c>
      <c r="C54" s="103">
        <f t="shared" ref="C54:N54" si="11">C37/C$43</f>
        <v>75520.031868279577</v>
      </c>
      <c r="D54" s="103">
        <f t="shared" si="11"/>
        <v>76651.440461309525</v>
      </c>
      <c r="E54" s="103">
        <f t="shared" si="11"/>
        <v>72222.957321668902</v>
      </c>
      <c r="F54" s="103">
        <f t="shared" si="11"/>
        <v>73771.718305555551</v>
      </c>
      <c r="G54" s="103">
        <f t="shared" si="11"/>
        <v>72673.172083333338</v>
      </c>
      <c r="H54" s="103">
        <f t="shared" si="11"/>
        <v>72960.441569444447</v>
      </c>
      <c r="I54" s="103">
        <f t="shared" si="11"/>
        <v>73239.428655913987</v>
      </c>
      <c r="J54" s="103">
        <f t="shared" si="11"/>
        <v>76679.638723118274</v>
      </c>
      <c r="K54" s="103">
        <f t="shared" si="11"/>
        <v>73523.922333333336</v>
      </c>
      <c r="L54" s="103">
        <f t="shared" si="11"/>
        <v>72942.777755376344</v>
      </c>
      <c r="M54" s="103">
        <f t="shared" si="11"/>
        <v>74508.214341192783</v>
      </c>
      <c r="N54" s="103">
        <f t="shared" si="11"/>
        <v>77224.115456989239</v>
      </c>
      <c r="O54" s="77"/>
    </row>
    <row r="55" spans="1:15" outlineLevel="1">
      <c r="A55" t="str">
        <f>A38</f>
        <v>Schedule 21 Primary</v>
      </c>
      <c r="C55" s="103">
        <f t="shared" ref="C55:N55" si="12">C38/C$43</f>
        <v>12177.149744623655</v>
      </c>
      <c r="D55" s="103">
        <f t="shared" si="12"/>
        <v>12260.333898809524</v>
      </c>
      <c r="E55" s="103">
        <f t="shared" si="12"/>
        <v>11878.672153432033</v>
      </c>
      <c r="F55" s="103">
        <f t="shared" si="12"/>
        <v>11680.224250000001</v>
      </c>
      <c r="G55" s="103">
        <f t="shared" si="12"/>
        <v>10919.014475806451</v>
      </c>
      <c r="H55" s="103">
        <f t="shared" si="12"/>
        <v>11261.063138888889</v>
      </c>
      <c r="I55" s="103">
        <f t="shared" si="12"/>
        <v>10532.210120967742</v>
      </c>
      <c r="J55" s="103">
        <f t="shared" si="12"/>
        <v>10454.311599462366</v>
      </c>
      <c r="K55" s="103">
        <f t="shared" si="12"/>
        <v>10426.076263888888</v>
      </c>
      <c r="L55" s="103">
        <f t="shared" si="12"/>
        <v>11082.891586021506</v>
      </c>
      <c r="M55" s="103">
        <f t="shared" si="12"/>
        <v>11655.223536754507</v>
      </c>
      <c r="N55" s="103">
        <f t="shared" si="12"/>
        <v>12017.434946236559</v>
      </c>
      <c r="O55" s="77"/>
    </row>
    <row r="56" spans="1:15" outlineLevel="1">
      <c r="A56" t="str">
        <f>A39</f>
        <v>Schedule 31/32</v>
      </c>
      <c r="C56" s="103">
        <f t="shared" ref="C56:N56" si="13">C39/C$43</f>
        <v>4243.8523655913978</v>
      </c>
      <c r="D56" s="103">
        <f t="shared" si="13"/>
        <v>4646.8965029761912</v>
      </c>
      <c r="E56" s="103">
        <f t="shared" si="13"/>
        <v>4388.464737550471</v>
      </c>
      <c r="F56" s="103">
        <f t="shared" si="13"/>
        <v>4131.5332777777776</v>
      </c>
      <c r="G56" s="103">
        <f t="shared" si="13"/>
        <v>5778.1423118279572</v>
      </c>
      <c r="H56" s="103">
        <f t="shared" si="13"/>
        <v>8706.9840416666666</v>
      </c>
      <c r="I56" s="103">
        <f t="shared" si="13"/>
        <v>16232.011559139784</v>
      </c>
      <c r="J56" s="103">
        <f t="shared" si="13"/>
        <v>13131.241975806452</v>
      </c>
      <c r="K56" s="103">
        <f t="shared" si="13"/>
        <v>9642.7245972222227</v>
      </c>
      <c r="L56" s="103">
        <f t="shared" si="13"/>
        <v>4885.4847311827962</v>
      </c>
      <c r="M56" s="103">
        <f t="shared" si="13"/>
        <v>3791.1345353675451</v>
      </c>
      <c r="N56" s="103">
        <f t="shared" si="13"/>
        <v>4218.3799193548393</v>
      </c>
      <c r="O56" s="77"/>
    </row>
    <row r="57" spans="1:1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>
      <c r="A58" s="3" t="s">
        <v>2437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77"/>
    </row>
    <row r="59" spans="1:15" outlineLevel="1">
      <c r="A59" s="3" t="s">
        <v>252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outlineLevel="1">
      <c r="A60" t="str">
        <f>A45</f>
        <v>Schedule 1</v>
      </c>
      <c r="C60" s="104">
        <f t="shared" ref="C60:N60" si="14">C10/C45</f>
        <v>4.1598290392255626</v>
      </c>
      <c r="D60" s="104">
        <f t="shared" si="14"/>
        <v>4.003212869354666</v>
      </c>
      <c r="E60" s="104">
        <f t="shared" si="14"/>
        <v>4.9023264759738341</v>
      </c>
      <c r="F60" s="104">
        <f t="shared" si="14"/>
        <v>5.4847811140664318</v>
      </c>
      <c r="G60" s="104">
        <f t="shared" si="14"/>
        <v>5.8446224877128792</v>
      </c>
      <c r="H60" s="104">
        <f t="shared" si="14"/>
        <v>5.7129914289055312</v>
      </c>
      <c r="I60" s="104">
        <f t="shared" si="14"/>
        <v>4.4347431306362814</v>
      </c>
      <c r="J60" s="104">
        <f t="shared" si="14"/>
        <v>4.6743921375489323</v>
      </c>
      <c r="K60" s="104">
        <f t="shared" si="14"/>
        <v>5.4093139974692948</v>
      </c>
      <c r="L60" s="104">
        <f t="shared" si="14"/>
        <v>5.2546824076882626</v>
      </c>
      <c r="M60" s="104">
        <f t="shared" si="14"/>
        <v>4.3200522760765567</v>
      </c>
      <c r="N60" s="104">
        <f t="shared" si="14"/>
        <v>3.8057356152803536</v>
      </c>
      <c r="O60" s="77"/>
    </row>
    <row r="61" spans="1:15" outlineLevel="1">
      <c r="A61" t="str">
        <f>A46</f>
        <v>Schedule 11/12</v>
      </c>
      <c r="C61" s="104">
        <f t="shared" ref="C61:N61" si="15">C11/C46</f>
        <v>2.6144458075380346</v>
      </c>
      <c r="D61" s="104">
        <f t="shared" si="15"/>
        <v>2.6811536651089569</v>
      </c>
      <c r="E61" s="104">
        <f t="shared" si="15"/>
        <v>2.9495365349460521</v>
      </c>
      <c r="F61" s="104">
        <f t="shared" si="15"/>
        <v>3.002815264265501</v>
      </c>
      <c r="G61" s="104">
        <f t="shared" si="15"/>
        <v>3.032214813416497</v>
      </c>
      <c r="H61" s="104">
        <f t="shared" si="15"/>
        <v>2.9325151200077637</v>
      </c>
      <c r="I61" s="104">
        <f t="shared" si="15"/>
        <v>2.7790418359289042</v>
      </c>
      <c r="J61" s="104">
        <f t="shared" si="15"/>
        <v>2.8456442890199565</v>
      </c>
      <c r="K61" s="104">
        <f t="shared" si="15"/>
        <v>3.0329081142071015</v>
      </c>
      <c r="L61" s="104">
        <f t="shared" si="15"/>
        <v>2.9476655309829805</v>
      </c>
      <c r="M61" s="104">
        <f t="shared" si="15"/>
        <v>2.6882861326055432</v>
      </c>
      <c r="N61" s="104">
        <f t="shared" si="15"/>
        <v>2.6424517810459665</v>
      </c>
      <c r="O61" s="77"/>
    </row>
    <row r="62" spans="1:15" outlineLevel="1">
      <c r="A62" t="str">
        <f>A47</f>
        <v>Schedule 21/22 Secondary</v>
      </c>
      <c r="C62" s="104">
        <f t="shared" ref="C62:N62" si="16">C12/C47</f>
        <v>1.6518275912994165</v>
      </c>
      <c r="D62" s="104">
        <f t="shared" si="16"/>
        <v>1.6885263689979</v>
      </c>
      <c r="E62" s="104">
        <f t="shared" si="16"/>
        <v>1.7533264409568552</v>
      </c>
      <c r="F62" s="104">
        <f t="shared" si="16"/>
        <v>1.7416939786987831</v>
      </c>
      <c r="G62" s="104">
        <f t="shared" si="16"/>
        <v>1.8580508086414071</v>
      </c>
      <c r="H62" s="104">
        <f t="shared" si="16"/>
        <v>1.8341161613398178</v>
      </c>
      <c r="I62" s="104">
        <f t="shared" si="16"/>
        <v>1.8621209722047989</v>
      </c>
      <c r="J62" s="104">
        <f t="shared" si="16"/>
        <v>1.8440187423266796</v>
      </c>
      <c r="K62" s="104">
        <f t="shared" si="16"/>
        <v>2.0404810362507262</v>
      </c>
      <c r="L62" s="104">
        <f t="shared" si="16"/>
        <v>1.8113245273034577</v>
      </c>
      <c r="M62" s="104">
        <f t="shared" si="16"/>
        <v>1.7329474362637691</v>
      </c>
      <c r="N62" s="104">
        <f t="shared" si="16"/>
        <v>1.7236557702582642</v>
      </c>
      <c r="O62" s="77"/>
    </row>
    <row r="63" spans="1:15" outlineLevel="1">
      <c r="A63" t="str">
        <f>A48</f>
        <v>Schedule 21 Primary</v>
      </c>
      <c r="C63" s="104">
        <f t="shared" ref="C63:N63" si="17">C13/C48</f>
        <v>1.6567811891346422</v>
      </c>
      <c r="D63" s="104">
        <f t="shared" si="17"/>
        <v>1.6107748915984257</v>
      </c>
      <c r="E63" s="104">
        <f t="shared" si="17"/>
        <v>1.66508544040858</v>
      </c>
      <c r="F63" s="104">
        <f t="shared" si="17"/>
        <v>1.6503551240098102</v>
      </c>
      <c r="G63" s="104">
        <f t="shared" si="17"/>
        <v>1.7742755808467554</v>
      </c>
      <c r="H63" s="104">
        <f t="shared" si="17"/>
        <v>1.7943813185252824</v>
      </c>
      <c r="I63" s="104">
        <f t="shared" si="17"/>
        <v>1.8061231312487653</v>
      </c>
      <c r="J63" s="104">
        <f t="shared" si="17"/>
        <v>1.7650466310281185</v>
      </c>
      <c r="K63" s="104">
        <f t="shared" si="17"/>
        <v>1.8660792005852427</v>
      </c>
      <c r="L63" s="104">
        <f t="shared" si="17"/>
        <v>1.606408528448084</v>
      </c>
      <c r="M63" s="104">
        <f t="shared" si="17"/>
        <v>1.6066054044382443</v>
      </c>
      <c r="N63" s="104">
        <f t="shared" si="17"/>
        <v>1.643202545171712</v>
      </c>
      <c r="O63" s="77"/>
    </row>
    <row r="64" spans="1:15" outlineLevel="1">
      <c r="A64" t="str">
        <f>A49</f>
        <v>Schedule 31/32</v>
      </c>
      <c r="C64" s="104">
        <f t="shared" ref="C64:N64" si="18">C14/C49</f>
        <v>4.030248250739394</v>
      </c>
      <c r="D64" s="104">
        <f t="shared" si="18"/>
        <v>3.718831118743001</v>
      </c>
      <c r="E64" s="104">
        <f t="shared" si="18"/>
        <v>4.0919744390814188</v>
      </c>
      <c r="F64" s="104">
        <f t="shared" si="18"/>
        <v>5.3282043014947034</v>
      </c>
      <c r="G64" s="104">
        <f t="shared" si="18"/>
        <v>2.7375300952756554</v>
      </c>
      <c r="H64" s="104">
        <f t="shared" si="18"/>
        <v>1.9835553579154206</v>
      </c>
      <c r="I64" s="104">
        <f t="shared" si="18"/>
        <v>1.944708582381685</v>
      </c>
      <c r="J64" s="104">
        <f t="shared" si="18"/>
        <v>2.0364731409006382</v>
      </c>
      <c r="K64" s="104">
        <f t="shared" si="18"/>
        <v>2.6758180844912047</v>
      </c>
      <c r="L64" s="104">
        <f t="shared" si="18"/>
        <v>3.9279067780180408</v>
      </c>
      <c r="M64" s="104">
        <f t="shared" si="18"/>
        <v>2.9642898943423681</v>
      </c>
      <c r="N64" s="104">
        <f t="shared" si="18"/>
        <v>3.5886286083345529</v>
      </c>
      <c r="O64" s="77"/>
    </row>
    <row r="65" spans="1:15"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77"/>
    </row>
    <row r="66" spans="1:15" outlineLevel="1">
      <c r="A66" s="3" t="s">
        <v>258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outlineLevel="1">
      <c r="A67" t="str">
        <f>A52</f>
        <v>Schedule 1</v>
      </c>
      <c r="C67" s="104">
        <f t="shared" ref="C67:N67" si="19">C18/C52</f>
        <v>3.9076133896527621</v>
      </c>
      <c r="D67" s="104">
        <f t="shared" si="19"/>
        <v>3.8605296519491241</v>
      </c>
      <c r="E67" s="104">
        <f t="shared" si="19"/>
        <v>4.5335815602451515</v>
      </c>
      <c r="F67" s="104">
        <f t="shared" si="19"/>
        <v>4.6347833959524252</v>
      </c>
      <c r="G67" s="104">
        <f t="shared" si="19"/>
        <v>5.6753657256317744</v>
      </c>
      <c r="H67" s="104">
        <f t="shared" si="19"/>
        <v>5.8571461552675306</v>
      </c>
      <c r="I67" s="104">
        <f t="shared" si="19"/>
        <v>4.8061079707732723</v>
      </c>
      <c r="J67" s="104">
        <f t="shared" si="19"/>
        <v>5.2736693487053916</v>
      </c>
      <c r="K67" s="104">
        <f t="shared" si="19"/>
        <v>6.0137867110601642</v>
      </c>
      <c r="L67" s="104">
        <f t="shared" si="19"/>
        <v>5.0951215103928682</v>
      </c>
      <c r="M67" s="104">
        <f t="shared" si="19"/>
        <v>4.2693228234004224</v>
      </c>
      <c r="N67" s="104">
        <f t="shared" si="19"/>
        <v>3.6166338703885437</v>
      </c>
      <c r="O67" s="77"/>
    </row>
    <row r="68" spans="1:15" outlineLevel="1">
      <c r="A68" t="str">
        <f>A53</f>
        <v>Schedule 11/12</v>
      </c>
      <c r="C68" s="104">
        <f t="shared" ref="C68:N68" si="20">C19/C53</f>
        <v>2.6670360733971292</v>
      </c>
      <c r="D68" s="104">
        <f t="shared" si="20"/>
        <v>2.5736452636948632</v>
      </c>
      <c r="E68" s="104">
        <f t="shared" si="20"/>
        <v>3.1996986488345152</v>
      </c>
      <c r="F68" s="104">
        <f t="shared" si="20"/>
        <v>3.3007397218397752</v>
      </c>
      <c r="G68" s="104">
        <f t="shared" si="20"/>
        <v>3.6000123937652391</v>
      </c>
      <c r="H68" s="104">
        <f t="shared" si="20"/>
        <v>3.6262428761037642</v>
      </c>
      <c r="I68" s="104">
        <f t="shared" si="20"/>
        <v>3.1265736018013066</v>
      </c>
      <c r="J68" s="104">
        <f t="shared" si="20"/>
        <v>2.9649309523058407</v>
      </c>
      <c r="K68" s="104">
        <f t="shared" si="20"/>
        <v>3.1232254061941891</v>
      </c>
      <c r="L68" s="104">
        <f t="shared" si="20"/>
        <v>3.0309816520122075</v>
      </c>
      <c r="M68" s="104">
        <f t="shared" si="20"/>
        <v>2.8022604279428149</v>
      </c>
      <c r="N68" s="104">
        <f t="shared" si="20"/>
        <v>3.0072744250733865</v>
      </c>
      <c r="O68" s="77"/>
    </row>
    <row r="69" spans="1:15" outlineLevel="1">
      <c r="A69" t="str">
        <f>A54</f>
        <v>Schedule 21/22 Secondary</v>
      </c>
      <c r="C69" s="104">
        <f t="shared" ref="C69:N69" si="21">C20/C54</f>
        <v>1.7892651347881148</v>
      </c>
      <c r="D69" s="104">
        <f t="shared" si="21"/>
        <v>1.798256877763118</v>
      </c>
      <c r="E69" s="104">
        <f t="shared" si="21"/>
        <v>1.8326211624165814</v>
      </c>
      <c r="F69" s="104">
        <f t="shared" si="21"/>
        <v>1.7974539978962933</v>
      </c>
      <c r="G69" s="104">
        <f t="shared" si="21"/>
        <v>1.8234883135146849</v>
      </c>
      <c r="H69" s="104">
        <f t="shared" si="21"/>
        <v>1.7962352910825166</v>
      </c>
      <c r="I69" s="104">
        <f t="shared" si="21"/>
        <v>2.0336279615143225</v>
      </c>
      <c r="J69" s="104">
        <f t="shared" si="21"/>
        <v>1.9627250793844073</v>
      </c>
      <c r="K69" s="104">
        <f t="shared" si="21"/>
        <v>2.0112800746615953</v>
      </c>
      <c r="L69" s="104">
        <f t="shared" si="21"/>
        <v>1.8032805172449708</v>
      </c>
      <c r="M69" s="104">
        <f t="shared" si="21"/>
        <v>1.7881998807524644</v>
      </c>
      <c r="N69" s="104">
        <f t="shared" si="21"/>
        <v>1.7843187867492625</v>
      </c>
      <c r="O69" s="77"/>
    </row>
    <row r="70" spans="1:15" outlineLevel="1">
      <c r="A70" t="str">
        <f>A55</f>
        <v>Schedule 21 Primary</v>
      </c>
      <c r="C70" s="104">
        <f t="shared" ref="C70:N70" si="22">C21/C55</f>
        <v>1.6943792622004641</v>
      </c>
      <c r="D70" s="104">
        <f t="shared" si="22"/>
        <v>1.6861604398887808</v>
      </c>
      <c r="E70" s="104">
        <f t="shared" si="22"/>
        <v>1.7631431972763751</v>
      </c>
      <c r="F70" s="104">
        <f t="shared" si="22"/>
        <v>1.7541007399750908</v>
      </c>
      <c r="G70" s="104">
        <f t="shared" si="22"/>
        <v>1.8294041137375336</v>
      </c>
      <c r="H70" s="104">
        <f t="shared" si="22"/>
        <v>1.7559603170781144</v>
      </c>
      <c r="I70" s="104">
        <f t="shared" si="22"/>
        <v>1.8006049805487052</v>
      </c>
      <c r="J70" s="104">
        <f t="shared" si="22"/>
        <v>1.8346937354523079</v>
      </c>
      <c r="K70" s="104">
        <f t="shared" si="22"/>
        <v>1.8518606148002912</v>
      </c>
      <c r="L70" s="104">
        <f t="shared" si="22"/>
        <v>1.7612533559941765</v>
      </c>
      <c r="M70" s="104">
        <f t="shared" si="22"/>
        <v>1.7640871438597336</v>
      </c>
      <c r="N70" s="104">
        <f t="shared" si="22"/>
        <v>1.780688649094915</v>
      </c>
      <c r="O70" s="77"/>
    </row>
    <row r="71" spans="1:15" outlineLevel="1">
      <c r="A71" t="str">
        <f>A56</f>
        <v>Schedule 31/32</v>
      </c>
      <c r="C71" s="104">
        <f t="shared" ref="C71:N71" si="23">C22/C56</f>
        <v>5.566626254848031</v>
      </c>
      <c r="D71" s="104">
        <f t="shared" si="23"/>
        <v>4.1945091713396971</v>
      </c>
      <c r="E71" s="104">
        <f t="shared" si="23"/>
        <v>7.1576238795376099</v>
      </c>
      <c r="F71" s="104">
        <f t="shared" si="23"/>
        <v>6.3009730891002684</v>
      </c>
      <c r="G71" s="104">
        <f t="shared" si="23"/>
        <v>6.5920962040046964</v>
      </c>
      <c r="H71" s="104">
        <f t="shared" si="23"/>
        <v>4.5308398190711046</v>
      </c>
      <c r="I71" s="104">
        <f t="shared" si="23"/>
        <v>3.1619864126513715</v>
      </c>
      <c r="J71" s="104">
        <f t="shared" si="23"/>
        <v>3.3395081806271296</v>
      </c>
      <c r="K71" s="104">
        <f t="shared" si="23"/>
        <v>4.8808725713848533</v>
      </c>
      <c r="L71" s="104">
        <f t="shared" si="23"/>
        <v>4.6923511711497881</v>
      </c>
      <c r="M71" s="104">
        <f t="shared" si="23"/>
        <v>6.1530314427996116</v>
      </c>
      <c r="N71" s="104">
        <f t="shared" si="23"/>
        <v>6.4789493887454217</v>
      </c>
      <c r="O71" s="77"/>
    </row>
    <row r="72" spans="1:15" outlineLevel="1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>
      <c r="A73" s="30" t="str">
        <f>RIGHT(A3,4)</f>
        <v>2019</v>
      </c>
      <c r="C73" s="123">
        <f>C$5</f>
        <v>43496</v>
      </c>
      <c r="D73" s="123">
        <f t="shared" ref="D73:N73" si="24">D$5</f>
        <v>43524</v>
      </c>
      <c r="E73" s="123">
        <f t="shared" si="24"/>
        <v>43555</v>
      </c>
      <c r="F73" s="123">
        <f t="shared" si="24"/>
        <v>43585</v>
      </c>
      <c r="G73" s="123">
        <f t="shared" si="24"/>
        <v>43616</v>
      </c>
      <c r="H73" s="123">
        <f t="shared" si="24"/>
        <v>43646</v>
      </c>
      <c r="I73" s="123">
        <f t="shared" si="24"/>
        <v>43677</v>
      </c>
      <c r="J73" s="123">
        <f t="shared" si="24"/>
        <v>43708</v>
      </c>
      <c r="K73" s="123">
        <f t="shared" si="24"/>
        <v>43738</v>
      </c>
      <c r="L73" s="123">
        <f t="shared" si="24"/>
        <v>43769</v>
      </c>
      <c r="M73" s="123">
        <f t="shared" si="24"/>
        <v>43799</v>
      </c>
      <c r="N73" s="123">
        <f t="shared" si="24"/>
        <v>43830</v>
      </c>
      <c r="O73" s="77"/>
    </row>
    <row r="74" spans="1:15">
      <c r="A74" s="186" t="s">
        <v>2502</v>
      </c>
      <c r="C74" s="106">
        <f>C43</f>
        <v>744</v>
      </c>
      <c r="D74" s="106">
        <f t="shared" ref="D74:N74" si="25">D43</f>
        <v>672</v>
      </c>
      <c r="E74" s="106">
        <f t="shared" si="25"/>
        <v>743</v>
      </c>
      <c r="F74" s="106">
        <f t="shared" si="25"/>
        <v>720</v>
      </c>
      <c r="G74" s="106">
        <f t="shared" si="25"/>
        <v>744</v>
      </c>
      <c r="H74" s="106">
        <f t="shared" si="25"/>
        <v>720</v>
      </c>
      <c r="I74" s="106">
        <f t="shared" si="25"/>
        <v>744</v>
      </c>
      <c r="J74" s="106">
        <f t="shared" si="25"/>
        <v>744</v>
      </c>
      <c r="K74" s="106">
        <f t="shared" si="25"/>
        <v>720</v>
      </c>
      <c r="L74" s="106">
        <f t="shared" si="25"/>
        <v>744</v>
      </c>
      <c r="M74" s="106">
        <f t="shared" si="25"/>
        <v>721</v>
      </c>
      <c r="N74" s="106">
        <f t="shared" si="25"/>
        <v>744</v>
      </c>
      <c r="O74" s="77"/>
    </row>
    <row r="75" spans="1:15">
      <c r="A75" s="3" t="s">
        <v>252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7"/>
    </row>
    <row r="76" spans="1:15">
      <c r="A76" t="s">
        <v>253</v>
      </c>
      <c r="C76" s="102">
        <f>'12.2019 WA Usage'!C87/C$74</f>
        <v>360001.74640456989</v>
      </c>
      <c r="D76" s="102">
        <f>'12.2019 WA Usage'!D87/D$74</f>
        <v>368932.04607142857</v>
      </c>
      <c r="E76" s="102">
        <f>'12.2019 WA Usage'!E87/E$74</f>
        <v>365413.67970121134</v>
      </c>
      <c r="F76" s="102">
        <f>'12.2019 WA Usage'!F87/F$74</f>
        <v>262314.67617916665</v>
      </c>
      <c r="G76" s="102">
        <f>'12.2019 WA Usage'!G87/G$74</f>
        <v>213484.45895564515</v>
      </c>
      <c r="H76" s="102">
        <f>'12.2019 WA Usage'!H87/H$74</f>
        <v>208876.09463472222</v>
      </c>
      <c r="I76" s="102">
        <f>'12.2019 WA Usage'!I87/I$74</f>
        <v>224128.56281317206</v>
      </c>
      <c r="J76" s="102">
        <f>'12.2019 WA Usage'!J87/J$74</f>
        <v>245394.40148924731</v>
      </c>
      <c r="K76" s="102">
        <f>'12.2019 WA Usage'!K87/K$74</f>
        <v>243396.06242916666</v>
      </c>
      <c r="L76" s="102">
        <f>'12.2019 WA Usage'!L87/L$74</f>
        <v>224140.89845833334</v>
      </c>
      <c r="M76" s="102">
        <f>'12.2019 WA Usage'!M87/M$74</f>
        <v>272966.96773647715</v>
      </c>
      <c r="N76" s="102">
        <f>'12.2019 WA Usage'!N87/N$74</f>
        <v>347133.07456989249</v>
      </c>
      <c r="O76" s="77"/>
    </row>
    <row r="77" spans="1:15">
      <c r="A77" t="s">
        <v>254</v>
      </c>
      <c r="C77" s="102">
        <f>(SUM('12.2019 WA Usage'!C89:C90)+'12.2019 WA Usage'!C116)/C$74</f>
        <v>80538.074090053764</v>
      </c>
      <c r="D77" s="102">
        <f>(SUM('12.2019 WA Usage'!D89:D90)+'12.2019 WA Usage'!D116)/D$74</f>
        <v>86070.667391369047</v>
      </c>
      <c r="E77" s="102">
        <f>(SUM('12.2019 WA Usage'!E89:E90)+'12.2019 WA Usage'!E116)/E$74</f>
        <v>82876.124393001344</v>
      </c>
      <c r="F77" s="102">
        <f>(SUM('12.2019 WA Usage'!F89:F90)+'12.2019 WA Usage'!F116)/F$74</f>
        <v>69402.45673333334</v>
      </c>
      <c r="G77" s="102">
        <f>(SUM('12.2019 WA Usage'!G89:G90)+'12.2019 WA Usage'!G116)/G$74</f>
        <v>61134.244280913983</v>
      </c>
      <c r="H77" s="102">
        <f>(SUM('12.2019 WA Usage'!H89:H90)+'12.2019 WA Usage'!H116)/H$74</f>
        <v>62852.211751388895</v>
      </c>
      <c r="I77" s="102">
        <f>(SUM('12.2019 WA Usage'!I89:I90)+'12.2019 WA Usage'!I116)/I$74</f>
        <v>65057.842831989248</v>
      </c>
      <c r="J77" s="102">
        <f>(SUM('12.2019 WA Usage'!J89:J90)+'12.2019 WA Usage'!J116)/J$74</f>
        <v>68904.027430107541</v>
      </c>
      <c r="K77" s="102">
        <f>(SUM('12.2019 WA Usage'!K89:K90)+'12.2019 WA Usage'!K116)/K$74</f>
        <v>70973.863943055549</v>
      </c>
      <c r="L77" s="102">
        <f>(SUM('12.2019 WA Usage'!L89:L90)+'12.2019 WA Usage'!L116)/L$74</f>
        <v>62533.399759408596</v>
      </c>
      <c r="M77" s="102">
        <f>(SUM('12.2019 WA Usage'!M89:M90)+'12.2019 WA Usage'!M116)/M$74</f>
        <v>68805.423027739249</v>
      </c>
      <c r="N77" s="102">
        <f>(SUM('12.2019 WA Usage'!N89:N90)+'12.2019 WA Usage'!N116)/N$74</f>
        <v>80845.584018817201</v>
      </c>
      <c r="O77" s="77"/>
    </row>
    <row r="78" spans="1:15">
      <c r="A78" t="s">
        <v>320</v>
      </c>
      <c r="C78" s="102">
        <f>(SUM('12.2019 WA Usage'!C91:C92)-'12.2019 WA Usage'!C116)/C$74-C79</f>
        <v>150158.86735887098</v>
      </c>
      <c r="D78" s="102">
        <f>(SUM('12.2019 WA Usage'!D91:D92)-'12.2019 WA Usage'!D116)/D$74-D79</f>
        <v>156977.87950892857</v>
      </c>
      <c r="E78" s="102">
        <f>(SUM('12.2019 WA Usage'!E91:E92)-'12.2019 WA Usage'!E116)/E$74-E79</f>
        <v>149265.15632301482</v>
      </c>
      <c r="F78" s="102">
        <f>(SUM('12.2019 WA Usage'!F91:F92)-'12.2019 WA Usage'!F116)/F$74-F79</f>
        <v>139403.221575</v>
      </c>
      <c r="G78" s="102">
        <f>(SUM('12.2019 WA Usage'!G91:G92)-'12.2019 WA Usage'!G116)/G$74-G79</f>
        <v>132883.0730672043</v>
      </c>
      <c r="H78" s="102">
        <f>(SUM('12.2019 WA Usage'!H91:H92)-'12.2019 WA Usage'!H116)/H$74-H79</f>
        <v>141328.09101805557</v>
      </c>
      <c r="I78" s="102">
        <f>(SUM('12.2019 WA Usage'!I91:I92)-'12.2019 WA Usage'!I116)/I$74-I79</f>
        <v>144828.10875000001</v>
      </c>
      <c r="J78" s="102">
        <f>(SUM('12.2019 WA Usage'!J91:J92)-'12.2019 WA Usage'!J116)/J$74-J79</f>
        <v>146417.35709946239</v>
      </c>
      <c r="K78" s="102">
        <f>(SUM('12.2019 WA Usage'!K91:K92)-'12.2019 WA Usage'!K116)/K$74-K79</f>
        <v>149695.11496388886</v>
      </c>
      <c r="L78" s="102">
        <f>(SUM('12.2019 WA Usage'!L91:L92)-'12.2019 WA Usage'!L116)/L$74-L79</f>
        <v>140886.07296102151</v>
      </c>
      <c r="M78" s="102">
        <f>(SUM('12.2019 WA Usage'!M91:M92)-'12.2019 WA Usage'!M116)/M$74-M79</f>
        <v>137467.75946185854</v>
      </c>
      <c r="N78" s="102">
        <f>(SUM('12.2019 WA Usage'!N91:N92)-'12.2019 WA Usage'!N116)/N$74-N79</f>
        <v>152676.64071774192</v>
      </c>
      <c r="O78" s="77"/>
    </row>
    <row r="79" spans="1:15">
      <c r="A79" t="s">
        <v>273</v>
      </c>
      <c r="C79" s="102">
        <f>'12.2019 WA Usage'!C114/C$74</f>
        <v>11912.929180107527</v>
      </c>
      <c r="D79" s="102">
        <f>'12.2019 WA Usage'!D114/D$74</f>
        <v>11557.52994047619</v>
      </c>
      <c r="E79" s="102">
        <f>'12.2019 WA Usage'!E114/E$74</f>
        <v>12050.272786002692</v>
      </c>
      <c r="F79" s="102">
        <f>'12.2019 WA Usage'!F114/F$74</f>
        <v>11530.171027777777</v>
      </c>
      <c r="G79" s="102">
        <f>'12.2019 WA Usage'!G114/G$74</f>
        <v>11412.789569892473</v>
      </c>
      <c r="H79" s="102">
        <f>'12.2019 WA Usage'!H114/H$74</f>
        <v>12170.663861111112</v>
      </c>
      <c r="I79" s="102">
        <f>'12.2019 WA Usage'!I114/I$74</f>
        <v>11732.04120967742</v>
      </c>
      <c r="J79" s="102">
        <f>'12.2019 WA Usage'!J114/J$74</f>
        <v>12348.74314516129</v>
      </c>
      <c r="K79" s="102">
        <f>'12.2019 WA Usage'!K114/K$74</f>
        <v>13229.943708333332</v>
      </c>
      <c r="L79" s="102">
        <f>'12.2019 WA Usage'!L114/L$74</f>
        <v>11281.172459677418</v>
      </c>
      <c r="M79" s="102">
        <f>'12.2019 WA Usage'!M114/M$74</f>
        <v>12298.159292649096</v>
      </c>
      <c r="N79" s="102">
        <f>'12.2019 WA Usage'!N114/N$74</f>
        <v>12222.152634408603</v>
      </c>
      <c r="O79" s="77"/>
    </row>
    <row r="80" spans="1:15">
      <c r="A80" t="s">
        <v>256</v>
      </c>
      <c r="C80" s="102">
        <f>SUM('12.2019 WA Usage'!C95:C97)/C$74</f>
        <v>5870.715838709677</v>
      </c>
      <c r="D80" s="102">
        <f>SUM('12.2019 WA Usage'!D95:D97)/D$74</f>
        <v>6215.6371949404756</v>
      </c>
      <c r="E80" s="102">
        <f>SUM('12.2019 WA Usage'!E95:E97)/E$74</f>
        <v>5921.0592018842526</v>
      </c>
      <c r="F80" s="102">
        <f>SUM('12.2019 WA Usage'!F95:F97)/F$74</f>
        <v>6410.671638888889</v>
      </c>
      <c r="G80" s="102">
        <f>SUM('12.2019 WA Usage'!G95:G97)/G$74</f>
        <v>16024.228845430107</v>
      </c>
      <c r="H80" s="102">
        <f>SUM('12.2019 WA Usage'!H95:H97)/H$74</f>
        <v>25750.850647222218</v>
      </c>
      <c r="I80" s="102">
        <f>SUM('12.2019 WA Usage'!I95:I97)/I$74</f>
        <v>31354.794169354838</v>
      </c>
      <c r="J80" s="102">
        <f>SUM('12.2019 WA Usage'!J95:J97)/J$74</f>
        <v>33745.151240591404</v>
      </c>
      <c r="K80" s="102">
        <f>SUM('12.2019 WA Usage'!K95:K97)/K$74</f>
        <v>33725.448568055552</v>
      </c>
      <c r="L80" s="102">
        <f>SUM('12.2019 WA Usage'!L95:L97)/L$74</f>
        <v>13876.177530913979</v>
      </c>
      <c r="M80" s="102">
        <f>SUM('12.2019 WA Usage'!M95:M97)/M$74</f>
        <v>5820.6589514563111</v>
      </c>
      <c r="N80" s="102">
        <f>SUM('12.2019 WA Usage'!N95:N97)/N$74</f>
        <v>5780.0207365591405</v>
      </c>
      <c r="O80" s="77"/>
    </row>
    <row r="81" spans="1:15"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77"/>
    </row>
    <row r="82" spans="1:15" outlineLevel="1">
      <c r="A82" s="3" t="s">
        <v>258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outlineLevel="1">
      <c r="A83" t="s">
        <v>253</v>
      </c>
      <c r="C83" s="107">
        <f>'12.2019 ID Usage'!C103/C$74</f>
        <v>177266.04991852149</v>
      </c>
      <c r="D83" s="107">
        <f>'12.2019 ID Usage'!D103/D$74</f>
        <v>189398.64598514879</v>
      </c>
      <c r="E83" s="107">
        <f>'12.2019 ID Usage'!E103/E$74</f>
        <v>174727.43023553165</v>
      </c>
      <c r="F83" s="107">
        <f>'12.2019 ID Usage'!F103/F$74</f>
        <v>133082.18353472222</v>
      </c>
      <c r="G83" s="107">
        <f>'12.2019 ID Usage'!G103/G$74</f>
        <v>104272.85418010753</v>
      </c>
      <c r="H83" s="107">
        <f>'12.2019 ID Usage'!H103/H$74</f>
        <v>104337.48346666667</v>
      </c>
      <c r="I83" s="107">
        <f>'12.2019 ID Usage'!I103/I$74</f>
        <v>106773.32087768817</v>
      </c>
      <c r="J83" s="107">
        <f>'12.2019 ID Usage'!J103/J$74</f>
        <v>118844.53978897849</v>
      </c>
      <c r="K83" s="107">
        <f>'12.2019 ID Usage'!K103/K$74</f>
        <v>113027.65516527777</v>
      </c>
      <c r="L83" s="107">
        <f>'12.2019 ID Usage'!L103/L$74</f>
        <v>106640.16714784945</v>
      </c>
      <c r="M83" s="107">
        <f>'12.2019 ID Usage'!M103/M$74</f>
        <v>140772.4578821082</v>
      </c>
      <c r="N83" s="107">
        <f>'12.2019 ID Usage'!N103/N$74</f>
        <v>173456.24177977152</v>
      </c>
      <c r="O83" s="77"/>
    </row>
    <row r="84" spans="1:15" outlineLevel="1">
      <c r="A84" s="163" t="s">
        <v>2339</v>
      </c>
      <c r="B84" s="107"/>
      <c r="C84" s="107">
        <f>SUM('12.2019 ID Usage'!C104:C105)/C$74-C85</f>
        <v>50723.325628508064</v>
      </c>
      <c r="D84" s="107">
        <f>SUM('12.2019 ID Usage'!D104:D105)/D$74-D85</f>
        <v>54706.354752991072</v>
      </c>
      <c r="E84" s="107">
        <f>SUM('12.2019 ID Usage'!E104:E105)/E$74-E85</f>
        <v>50119.902052476442</v>
      </c>
      <c r="F84" s="107">
        <f>SUM('12.2019 ID Usage'!F104:F105)/F$74-F85</f>
        <v>42858.266802791666</v>
      </c>
      <c r="G84" s="107">
        <f>SUM('12.2019 ID Usage'!G104:G105)/G$74-G85</f>
        <v>37008.769715053764</v>
      </c>
      <c r="H84" s="107">
        <f>SUM('12.2019 ID Usage'!H104:H105)/H$74-H85</f>
        <v>38865.927994444442</v>
      </c>
      <c r="I84" s="107">
        <f>SUM('12.2019 ID Usage'!I104:I105)/I$74-I85</f>
        <v>39715.323370967744</v>
      </c>
      <c r="J84" s="107">
        <f>SUM('12.2019 ID Usage'!J104:J105)/J$74-J85</f>
        <v>43240.794470430112</v>
      </c>
      <c r="K84" s="107">
        <f>SUM('12.2019 ID Usage'!K104:K105)/K$74-K85</f>
        <v>43476.617483333335</v>
      </c>
      <c r="L84" s="107">
        <f>SUM('12.2019 ID Usage'!L104:L105)/L$74-L85</f>
        <v>37730.506467741936</v>
      </c>
      <c r="M84" s="107">
        <f>SUM('12.2019 ID Usage'!M104:M105)/M$74-M85</f>
        <v>44021.310546463246</v>
      </c>
      <c r="N84" s="107">
        <f>SUM('12.2019 ID Usage'!N104:N105)/N$74-N85</f>
        <v>51383.737087983871</v>
      </c>
      <c r="O84" s="77"/>
    </row>
    <row r="85" spans="1:15" outlineLevel="1">
      <c r="A85" t="s">
        <v>414</v>
      </c>
      <c r="C85" s="107">
        <f>'12.2019 ID Usage'!C134/C$74</f>
        <v>0</v>
      </c>
      <c r="D85" s="107">
        <f>'12.2019 ID Usage'!D134/D$74</f>
        <v>0</v>
      </c>
      <c r="E85" s="107">
        <f>'12.2019 ID Usage'!E134/E$74</f>
        <v>0</v>
      </c>
      <c r="F85" s="107">
        <f>'12.2019 ID Usage'!F134/F$74</f>
        <v>0</v>
      </c>
      <c r="G85" s="107">
        <f>'12.2019 ID Usage'!G134/G$74</f>
        <v>0</v>
      </c>
      <c r="H85" s="107">
        <f>'12.2019 ID Usage'!H134/H$74</f>
        <v>0</v>
      </c>
      <c r="I85" s="107">
        <f>'12.2019 ID Usage'!I134/I$74</f>
        <v>0</v>
      </c>
      <c r="J85" s="107">
        <f>'12.2019 ID Usage'!J134/J$74</f>
        <v>0</v>
      </c>
      <c r="K85" s="107">
        <f>'12.2019 ID Usage'!K134/K$74</f>
        <v>0</v>
      </c>
      <c r="L85" s="107">
        <f>'12.2019 ID Usage'!L134/L$74</f>
        <v>0</v>
      </c>
      <c r="M85" s="107">
        <f>'12.2019 ID Usage'!M134/M$74</f>
        <v>0</v>
      </c>
      <c r="N85" s="107">
        <f>'12.2019 ID Usage'!N134/N$74</f>
        <v>0</v>
      </c>
      <c r="O85" s="77"/>
    </row>
    <row r="86" spans="1:15" outlineLevel="1">
      <c r="A86" t="s">
        <v>321</v>
      </c>
      <c r="C86" s="107">
        <f>SUM('12.2019 ID Usage'!C106:C107)/C$74-C87</f>
        <v>67892.083872311821</v>
      </c>
      <c r="D86" s="107">
        <f>SUM('12.2019 ID Usage'!D106:D107)/D$74-D87</f>
        <v>74218.095833333326</v>
      </c>
      <c r="E86" s="107">
        <f>SUM('12.2019 ID Usage'!E106:E107)/E$74-E87</f>
        <v>67565.492866756409</v>
      </c>
      <c r="F86" s="107">
        <f>SUM('12.2019 ID Usage'!F106:F107)/F$74-F87</f>
        <v>65351.841111111113</v>
      </c>
      <c r="G86" s="107">
        <f>SUM('12.2019 ID Usage'!G106:G107)/G$74-G87</f>
        <v>60033.463978494627</v>
      </c>
      <c r="H86" s="107">
        <f>SUM('12.2019 ID Usage'!H106:H107)/H$74-H87</f>
        <v>63871.584444444437</v>
      </c>
      <c r="I86" s="107">
        <f>SUM('12.2019 ID Usage'!I106:I107)/I$74-I87</f>
        <v>63486.300537634415</v>
      </c>
      <c r="J86" s="107">
        <f>SUM('12.2019 ID Usage'!J106:J107)/J$74-J87</f>
        <v>66703.717741935485</v>
      </c>
      <c r="K86" s="107">
        <f>SUM('12.2019 ID Usage'!K106:K107)/K$74-K87</f>
        <v>69714.640555555568</v>
      </c>
      <c r="L86" s="107">
        <f>SUM('12.2019 ID Usage'!L106:L107)/L$74-L87</f>
        <v>60363.172311827962</v>
      </c>
      <c r="M86" s="107">
        <f>SUM('12.2019 ID Usage'!M106:M107)/M$74-M87</f>
        <v>64403.254368932045</v>
      </c>
      <c r="N86" s="107">
        <f>SUM('12.2019 ID Usage'!N106:N107)/N$74-N87</f>
        <v>70778.835752688174</v>
      </c>
      <c r="O86" s="77"/>
    </row>
    <row r="87" spans="1:15" outlineLevel="1">
      <c r="A87" t="s">
        <v>273</v>
      </c>
      <c r="C87" s="107">
        <f>'12.2019 ID Usage'!C133/C$74</f>
        <v>6337.511288978495</v>
      </c>
      <c r="D87" s="107">
        <f>'12.2019 ID Usage'!D133/D$74</f>
        <v>6953.4657738095239</v>
      </c>
      <c r="E87" s="107">
        <f>'12.2019 ID Usage'!E133/E$74</f>
        <v>6358.8559892328394</v>
      </c>
      <c r="F87" s="107">
        <f>'12.2019 ID Usage'!F133/F$74</f>
        <v>6031.354166666667</v>
      </c>
      <c r="G87" s="107">
        <f>'12.2019 ID Usage'!G133/G$74</f>
        <v>5391.7822580645161</v>
      </c>
      <c r="H87" s="107">
        <f>'12.2019 ID Usage'!H133/H$74</f>
        <v>5442.3347222222219</v>
      </c>
      <c r="I87" s="107">
        <f>'12.2019 ID Usage'!I133/I$74</f>
        <v>4983.4301075268813</v>
      </c>
      <c r="J87" s="107">
        <f>'12.2019 ID Usage'!J133/J$74</f>
        <v>5360.6223118279568</v>
      </c>
      <c r="K87" s="107">
        <f>'12.2019 ID Usage'!K133/K$74</f>
        <v>5569.7972222222224</v>
      </c>
      <c r="L87" s="107">
        <f>'12.2019 ID Usage'!L133/L$74</f>
        <v>4912.811827956989</v>
      </c>
      <c r="M87" s="107">
        <f>'12.2019 ID Usage'!M133/M$74</f>
        <v>5479.1192787794726</v>
      </c>
      <c r="N87" s="107">
        <f>'12.2019 ID Usage'!N133/N$74</f>
        <v>6028.4556451612907</v>
      </c>
      <c r="O87" s="77"/>
    </row>
    <row r="88" spans="1:15" ht="12.75" customHeight="1" outlineLevel="1">
      <c r="A88" t="s">
        <v>256</v>
      </c>
      <c r="C88" s="107">
        <f>SUM('12.2019 ID Usage'!C112:C114)/C$74</f>
        <v>4775.818548400538</v>
      </c>
      <c r="D88" s="107">
        <f>SUM('12.2019 ID Usage'!D112:D114)/D$74</f>
        <v>5426.3880505952384</v>
      </c>
      <c r="E88" s="107">
        <f>SUM('12.2019 ID Usage'!E112:E114)/E$74</f>
        <v>4685.9286002691788</v>
      </c>
      <c r="F88" s="107">
        <f>SUM('12.2019 ID Usage'!F112:F114)/F$74</f>
        <v>4960.0634166666669</v>
      </c>
      <c r="G88" s="107">
        <f>SUM('12.2019 ID Usage'!G112:G114)/G$74</f>
        <v>5866.2615188172049</v>
      </c>
      <c r="H88" s="107">
        <f>SUM('12.2019 ID Usage'!H112:H114)/H$74</f>
        <v>8805.5330416666675</v>
      </c>
      <c r="I88" s="107">
        <f>SUM('12.2019 ID Usage'!I112:I114)/I$74</f>
        <v>10841.635892473118</v>
      </c>
      <c r="J88" s="107">
        <f>SUM('12.2019 ID Usage'!J112:J114)/J$74</f>
        <v>11983.982567204301</v>
      </c>
      <c r="K88" s="107">
        <f>SUM('12.2019 ID Usage'!K112:K114)/K$74</f>
        <v>10276.32438888889</v>
      </c>
      <c r="L88" s="107">
        <f>SUM('12.2019 ID Usage'!L112:L114)/L$74</f>
        <v>5481.7281048387094</v>
      </c>
      <c r="M88" s="107">
        <f>SUM('12.2019 ID Usage'!M112:M114)/M$74</f>
        <v>4321.215672676838</v>
      </c>
      <c r="N88" s="107">
        <f>SUM('12.2019 ID Usage'!N112:N114)/N$74</f>
        <v>5133.6500806720423</v>
      </c>
      <c r="O88" s="77"/>
    </row>
    <row r="89" spans="1:15" ht="12.75" customHeight="1" outlineLevel="1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77"/>
    </row>
    <row r="90" spans="1:15">
      <c r="A90" s="3" t="s">
        <v>2438</v>
      </c>
      <c r="C90" s="105">
        <f>C$5</f>
        <v>43496</v>
      </c>
      <c r="D90" s="105">
        <f t="shared" ref="D90:N90" si="26">D$5</f>
        <v>43524</v>
      </c>
      <c r="E90" s="105">
        <f t="shared" si="26"/>
        <v>43555</v>
      </c>
      <c r="F90" s="105">
        <f t="shared" si="26"/>
        <v>43585</v>
      </c>
      <c r="G90" s="105">
        <f t="shared" si="26"/>
        <v>43616</v>
      </c>
      <c r="H90" s="105">
        <f t="shared" si="26"/>
        <v>43646</v>
      </c>
      <c r="I90" s="105">
        <f t="shared" si="26"/>
        <v>43677</v>
      </c>
      <c r="J90" s="105">
        <f t="shared" si="26"/>
        <v>43708</v>
      </c>
      <c r="K90" s="105">
        <f t="shared" si="26"/>
        <v>43738</v>
      </c>
      <c r="L90" s="105">
        <f t="shared" si="26"/>
        <v>43769</v>
      </c>
      <c r="M90" s="105">
        <f t="shared" si="26"/>
        <v>43799</v>
      </c>
      <c r="N90" s="105">
        <f t="shared" si="26"/>
        <v>43830</v>
      </c>
      <c r="O90" s="80" t="s">
        <v>2445</v>
      </c>
    </row>
    <row r="91" spans="1:15" outlineLevel="1">
      <c r="A91" s="3" t="s">
        <v>252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77"/>
    </row>
    <row r="92" spans="1:15" outlineLevel="1">
      <c r="A92" t="str">
        <f>A76</f>
        <v>Schedule 1</v>
      </c>
      <c r="B92" s="19"/>
      <c r="C92" s="81">
        <f>C76*C60</f>
        <v>1497545.7188656465</v>
      </c>
      <c r="D92" s="81">
        <f t="shared" ref="C92:N96" si="27">D76*D60</f>
        <v>1476913.5147504914</v>
      </c>
      <c r="E92" s="81">
        <f t="shared" si="27"/>
        <v>1791377.1566822708</v>
      </c>
      <c r="F92" s="81">
        <f t="shared" si="27"/>
        <v>1438738.581849945</v>
      </c>
      <c r="G92" s="81">
        <f t="shared" si="27"/>
        <v>1247736.0695893809</v>
      </c>
      <c r="H92" s="81">
        <f t="shared" si="27"/>
        <v>1193307.3383514287</v>
      </c>
      <c r="I92" s="81">
        <f t="shared" si="27"/>
        <v>993952.60431509709</v>
      </c>
      <c r="J92" s="81">
        <f t="shared" si="27"/>
        <v>1147069.6609198637</v>
      </c>
      <c r="K92" s="81">
        <f t="shared" si="27"/>
        <v>1316605.7274270016</v>
      </c>
      <c r="L92" s="81">
        <f t="shared" si="27"/>
        <v>1177789.2359724455</v>
      </c>
      <c r="M92" s="81">
        <f t="shared" si="27"/>
        <v>1179231.570263684</v>
      </c>
      <c r="N92" s="81">
        <f t="shared" si="27"/>
        <v>1321096.7051324106</v>
      </c>
      <c r="O92" s="106">
        <f>SUM(C92:N92)</f>
        <v>15781363.884119665</v>
      </c>
    </row>
    <row r="93" spans="1:15" outlineLevel="1">
      <c r="A93" t="str">
        <f>A77</f>
        <v>Schedule 11/12</v>
      </c>
      <c r="B93" s="19"/>
      <c r="C93" s="81">
        <f t="shared" si="27"/>
        <v>210562.43015192868</v>
      </c>
      <c r="D93" s="81">
        <f t="shared" si="27"/>
        <v>230768.68533474312</v>
      </c>
      <c r="E93" s="81">
        <f t="shared" si="27"/>
        <v>244446.15677189117</v>
      </c>
      <c r="F93" s="81">
        <f t="shared" si="27"/>
        <v>208402.75645637934</v>
      </c>
      <c r="G93" s="81">
        <f t="shared" si="27"/>
        <v>185372.16111561013</v>
      </c>
      <c r="H93" s="81">
        <f t="shared" si="27"/>
        <v>184315.06128687758</v>
      </c>
      <c r="I93" s="81">
        <f t="shared" si="27"/>
        <v>180798.46698538549</v>
      </c>
      <c r="J93" s="81">
        <f t="shared" si="27"/>
        <v>196076.35214695995</v>
      </c>
      <c r="K93" s="81">
        <f t="shared" si="27"/>
        <v>215257.20784952401</v>
      </c>
      <c r="L93" s="81">
        <f t="shared" si="27"/>
        <v>184327.54700598813</v>
      </c>
      <c r="M93" s="81">
        <f t="shared" si="27"/>
        <v>184968.66457352953</v>
      </c>
      <c r="N93" s="81">
        <f t="shared" si="27"/>
        <v>213630.55748022484</v>
      </c>
      <c r="O93" s="106">
        <f t="shared" ref="O93:O98" si="28">SUM(C93:N93)</f>
        <v>2438926.0471590417</v>
      </c>
    </row>
    <row r="94" spans="1:15" outlineLevel="1">
      <c r="A94" t="str">
        <f>A78</f>
        <v>Schedule 21/22  Secondary</v>
      </c>
      <c r="B94" s="19"/>
      <c r="C94" s="81">
        <f t="shared" si="27"/>
        <v>248036.56018165243</v>
      </c>
      <c r="D94" s="81">
        <f t="shared" si="27"/>
        <v>265061.28890020103</v>
      </c>
      <c r="E94" s="81">
        <f t="shared" si="27"/>
        <v>261710.54529470019</v>
      </c>
      <c r="F94" s="81">
        <f t="shared" si="27"/>
        <v>242797.75162838979</v>
      </c>
      <c r="G94" s="81">
        <f t="shared" si="27"/>
        <v>246903.50136727415</v>
      </c>
      <c r="H94" s="81">
        <f t="shared" si="27"/>
        <v>259212.13578752047</v>
      </c>
      <c r="I94" s="81">
        <f t="shared" si="27"/>
        <v>269687.45866813237</v>
      </c>
      <c r="J94" s="81">
        <f t="shared" si="27"/>
        <v>269996.35069334699</v>
      </c>
      <c r="K94" s="81">
        <f t="shared" si="27"/>
        <v>305450.04330318753</v>
      </c>
      <c r="L94" s="81">
        <f t="shared" si="27"/>
        <v>255190.39950976273</v>
      </c>
      <c r="M94" s="81">
        <f t="shared" si="27"/>
        <v>238224.40132835225</v>
      </c>
      <c r="N94" s="81">
        <f t="shared" si="27"/>
        <v>263161.97275678371</v>
      </c>
      <c r="O94" s="106">
        <f t="shared" si="28"/>
        <v>3125432.4094193038</v>
      </c>
    </row>
    <row r="95" spans="1:15" outlineLevel="1">
      <c r="A95" t="str">
        <f>A79</f>
        <v>Schedule 21 Primary</v>
      </c>
      <c r="B95" s="19"/>
      <c r="C95" s="81">
        <f t="shared" si="27"/>
        <v>19737.116973095326</v>
      </c>
      <c r="D95" s="81">
        <f t="shared" si="27"/>
        <v>18616.579037016094</v>
      </c>
      <c r="E95" s="81">
        <f t="shared" si="27"/>
        <v>20064.733768924816</v>
      </c>
      <c r="F95" s="81">
        <f t="shared" si="27"/>
        <v>19028.876836402513</v>
      </c>
      <c r="G95" s="81">
        <f t="shared" si="27"/>
        <v>20249.433843202758</v>
      </c>
      <c r="H95" s="81">
        <f t="shared" si="27"/>
        <v>21838.811866428561</v>
      </c>
      <c r="I95" s="81">
        <f t="shared" si="27"/>
        <v>21189.511005562134</v>
      </c>
      <c r="J95" s="81">
        <f t="shared" si="27"/>
        <v>21796.107485798508</v>
      </c>
      <c r="K95" s="81">
        <f t="shared" si="27"/>
        <v>24688.122779034427</v>
      </c>
      <c r="L95" s="81">
        <f t="shared" si="27"/>
        <v>18122.171650119453</v>
      </c>
      <c r="M95" s="81">
        <f t="shared" si="27"/>
        <v>19758.289184212452</v>
      </c>
      <c r="N95" s="81">
        <f t="shared" si="27"/>
        <v>20083.472316337364</v>
      </c>
      <c r="O95" s="106">
        <f t="shared" si="28"/>
        <v>245173.2267461344</v>
      </c>
    </row>
    <row r="96" spans="1:15" outlineLevel="1">
      <c r="A96" t="str">
        <f>A80</f>
        <v>Schedule 31/32</v>
      </c>
      <c r="B96" s="19"/>
      <c r="C96" s="81">
        <f t="shared" si="27"/>
        <v>23660.44223954773</v>
      </c>
      <c r="D96" s="81">
        <f t="shared" si="27"/>
        <v>23114.905023361098</v>
      </c>
      <c r="E96" s="81">
        <f t="shared" si="27"/>
        <v>24228.822906398189</v>
      </c>
      <c r="F96" s="81">
        <f t="shared" si="27"/>
        <v>34157.368201797879</v>
      </c>
      <c r="G96" s="81">
        <f t="shared" si="27"/>
        <v>43866.808717949185</v>
      </c>
      <c r="H96" s="81">
        <f t="shared" si="27"/>
        <v>51078.23777217741</v>
      </c>
      <c r="I96" s="81">
        <f t="shared" si="27"/>
        <v>60975.93731995557</v>
      </c>
      <c r="J96" s="81">
        <f t="shared" si="27"/>
        <v>68721.094137094246</v>
      </c>
      <c r="K96" s="81">
        <f t="shared" si="27"/>
        <v>90243.165185981052</v>
      </c>
      <c r="L96" s="81">
        <f t="shared" si="27"/>
        <v>54504.331776658662</v>
      </c>
      <c r="M96" s="81">
        <f t="shared" si="27"/>
        <v>17254.120508215387</v>
      </c>
      <c r="N96" s="81">
        <f t="shared" si="27"/>
        <v>20742.347771983084</v>
      </c>
      <c r="O96" s="106">
        <f t="shared" si="28"/>
        <v>512547.58156111947</v>
      </c>
    </row>
    <row r="97" spans="1:15" outlineLevel="1">
      <c r="A97" t="s">
        <v>275</v>
      </c>
      <c r="B97" s="43">
        <f>'Peak Calc CP'!B14</f>
        <v>10729842.53655</v>
      </c>
      <c r="C97" s="81">
        <f>$B97/'2019 Daylight'!Hrs_Darkness</f>
        <v>2500.4487986678059</v>
      </c>
      <c r="D97" s="81">
        <f>$B97/'2019 Daylight'!Hrs_Darkness</f>
        <v>2500.4487986678059</v>
      </c>
      <c r="E97" s="81">
        <f>$B97/'2019 Daylight'!Hrs_Darkness</f>
        <v>2500.4487986678059</v>
      </c>
      <c r="F97" s="81">
        <f>$B97/'2019 Daylight'!Hrs_Darkness</f>
        <v>2500.4487986678059</v>
      </c>
      <c r="G97" s="81">
        <f>$B97/'2019 Daylight'!Hrs_Darkness</f>
        <v>2500.4487986678059</v>
      </c>
      <c r="H97" s="81">
        <f>$B97/'2019 Daylight'!Hrs_Darkness</f>
        <v>2500.4487986678059</v>
      </c>
      <c r="I97" s="81">
        <f>$B97/'2019 Daylight'!Hrs_Darkness</f>
        <v>2500.4487986678059</v>
      </c>
      <c r="J97" s="81">
        <f>$B97/'2019 Daylight'!Hrs_Darkness</f>
        <v>2500.4487986678059</v>
      </c>
      <c r="K97" s="81">
        <f>$B97/'2019 Daylight'!Hrs_Darkness</f>
        <v>2500.4487986678059</v>
      </c>
      <c r="L97" s="81">
        <f>$B97/'2019 Daylight'!Hrs_Darkness</f>
        <v>2500.4487986678059</v>
      </c>
      <c r="M97" s="81">
        <f>$B97/'2019 Daylight'!Hrs_Darkness</f>
        <v>2500.4487986678059</v>
      </c>
      <c r="N97" s="81">
        <f>$B97/'2019 Daylight'!Hrs_Darkness</f>
        <v>2500.4487986678059</v>
      </c>
      <c r="O97" s="106">
        <f t="shared" si="28"/>
        <v>30005.385584013678</v>
      </c>
    </row>
    <row r="98" spans="1:15" outlineLevel="1">
      <c r="A98" t="s">
        <v>276</v>
      </c>
      <c r="B98" s="43">
        <f>'Peak Calc CP'!B15</f>
        <v>7232081.1234200001</v>
      </c>
      <c r="C98" s="81">
        <f>$B98/'2019 Daylight'!Hrs_Darkness</f>
        <v>1685.3414665988269</v>
      </c>
      <c r="D98" s="81">
        <f>$B98/'2019 Daylight'!Hrs_Darkness</f>
        <v>1685.3414665988269</v>
      </c>
      <c r="E98" s="81">
        <f>$B98/'2019 Daylight'!Hrs_Darkness</f>
        <v>1685.3414665988269</v>
      </c>
      <c r="F98" s="81">
        <f>$B98/'2019 Daylight'!Hrs_Darkness</f>
        <v>1685.3414665988269</v>
      </c>
      <c r="G98" s="81">
        <f>$B98/'2019 Daylight'!Hrs_Darkness</f>
        <v>1685.3414665988269</v>
      </c>
      <c r="H98" s="81">
        <f>$B98/'2019 Daylight'!Hrs_Darkness</f>
        <v>1685.3414665988269</v>
      </c>
      <c r="I98" s="81">
        <f>$B98/'2019 Daylight'!Hrs_Darkness</f>
        <v>1685.3414665988269</v>
      </c>
      <c r="J98" s="81">
        <f>$B98/'2019 Daylight'!Hrs_Darkness</f>
        <v>1685.3414665988269</v>
      </c>
      <c r="K98" s="81">
        <f>$B98/'2019 Daylight'!Hrs_Darkness</f>
        <v>1685.3414665988269</v>
      </c>
      <c r="L98" s="81">
        <f>$B98/'2019 Daylight'!Hrs_Darkness</f>
        <v>1685.3414665988269</v>
      </c>
      <c r="M98" s="81">
        <f>$B98/'2019 Daylight'!Hrs_Darkness</f>
        <v>1685.3414665988269</v>
      </c>
      <c r="N98" s="81">
        <f>$B98/'2019 Daylight'!Hrs_Darkness</f>
        <v>1685.3414665988269</v>
      </c>
      <c r="O98" s="106">
        <f t="shared" si="28"/>
        <v>20224.097599185927</v>
      </c>
    </row>
    <row r="99" spans="1:15" hidden="1" outlineLevel="1">
      <c r="A99" s="19" t="s">
        <v>2364</v>
      </c>
      <c r="B99" s="61"/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77"/>
    </row>
    <row r="100" spans="1:15" outlineLevel="1">
      <c r="A100" s="163" t="s">
        <v>2336</v>
      </c>
      <c r="B100" s="61"/>
      <c r="C100" s="251">
        <f>'WA Sch 25 (12.2019)'!D104+'WA Sch 25 (12.2019)'!D106</f>
        <v>60819.53</v>
      </c>
      <c r="D100" s="251">
        <f>'WA Sch 25 (12.2019)'!E104+'WA Sch 25 (12.2019)'!E106</f>
        <v>59538.44</v>
      </c>
      <c r="E100" s="251">
        <f>'WA Sch 25 (12.2019)'!F104+'WA Sch 25 (12.2019)'!F106</f>
        <v>62955.89</v>
      </c>
      <c r="F100" s="251">
        <f>'WA Sch 25 (12.2019)'!G104+'WA Sch 25 (12.2019)'!G106</f>
        <v>60098.75</v>
      </c>
      <c r="G100" s="251">
        <f>'WA Sch 25 (12.2019)'!H104+'WA Sch 25 (12.2019)'!H106</f>
        <v>59499.89</v>
      </c>
      <c r="H100" s="251">
        <f>'WA Sch 25 (12.2019)'!I104+'WA Sch 25 (12.2019)'!I106</f>
        <v>60764.259999999995</v>
      </c>
      <c r="I100" s="251">
        <f>'WA Sch 25 (12.2019)'!J104+'WA Sch 25 (12.2019)'!J106</f>
        <v>60842.92</v>
      </c>
      <c r="J100" s="251">
        <f>'WA Sch 25 (12.2019)'!K104+'WA Sch 25 (12.2019)'!K106</f>
        <v>62269.200000000004</v>
      </c>
      <c r="K100" s="251">
        <f>'WA Sch 25 (12.2019)'!L104+'WA Sch 25 (12.2019)'!L106</f>
        <v>61130.5</v>
      </c>
      <c r="L100" s="251">
        <f>'WA Sch 25 (12.2019)'!M104+'WA Sch 25 (12.2019)'!M106</f>
        <v>64022.630000000005</v>
      </c>
      <c r="M100" s="251">
        <f>'WA Sch 25 (12.2019)'!N104+'WA Sch 25 (12.2019)'!N106</f>
        <v>64826.6</v>
      </c>
      <c r="N100" s="251">
        <f>'WA Sch 25 (12.2019)'!O104+'WA Sch 25 (12.2019)'!O106</f>
        <v>64791.560000000005</v>
      </c>
      <c r="O100" s="106">
        <f t="shared" ref="O100:O102" si="29">SUM(C100:N100)</f>
        <v>741560.17</v>
      </c>
    </row>
    <row r="101" spans="1:15" outlineLevel="1">
      <c r="A101" s="163" t="s">
        <v>2335</v>
      </c>
      <c r="B101" s="61"/>
      <c r="C101" s="251">
        <f>'WA Sch 25 (12.2019)'!D65-C100-C102</f>
        <v>97651.858000000007</v>
      </c>
      <c r="D101" s="251">
        <f>'WA Sch 25 (12.2019)'!E92-D100-D102</f>
        <v>31216.287999999986</v>
      </c>
      <c r="E101" s="251">
        <f>'WA Sch 25 (12.2019)'!F92-E100-E102</f>
        <v>31019.123000000011</v>
      </c>
      <c r="F101" s="251">
        <f>'WA Sch 25 (12.2019)'!G92-F100-F102</f>
        <v>29218.029000000006</v>
      </c>
      <c r="G101" s="251">
        <f>'WA Sch 25 (12.2019)'!H92-G100-G102</f>
        <v>39632.606</v>
      </c>
      <c r="H101" s="251">
        <f>'WA Sch 25 (12.2019)'!I92-H100-H102</f>
        <v>33696.718999999997</v>
      </c>
      <c r="I101" s="251">
        <f>'WA Sch 25 (12.2019)'!J92-I100-I102</f>
        <v>34891.333000000013</v>
      </c>
      <c r="J101" s="251">
        <f>'WA Sch 25 (12.2019)'!K92-J100-J102</f>
        <v>36876.535999999993</v>
      </c>
      <c r="K101" s="251">
        <f>'WA Sch 25 (12.2019)'!L92-K100-K102</f>
        <v>35564.71199999997</v>
      </c>
      <c r="L101" s="251">
        <f>'WA Sch 25 (12.2019)'!M92-L100-L102</f>
        <v>26879.230999999985</v>
      </c>
      <c r="M101" s="251">
        <f>'WA Sch 25 (12.2019)'!N92-M100-M102</f>
        <v>24739.186000000002</v>
      </c>
      <c r="N101" s="251">
        <f>'WA Sch 25 (12.2019)'!O92-N100-N102</f>
        <v>24581.296000000002</v>
      </c>
      <c r="O101" s="106">
        <f t="shared" si="29"/>
        <v>445966.9169999999</v>
      </c>
    </row>
    <row r="102" spans="1:15" outlineLevel="1">
      <c r="A102" s="163" t="s">
        <v>411</v>
      </c>
      <c r="B102" s="61"/>
      <c r="C102" s="251">
        <f>'WA Sch 25 (12.2019)'!D61+'WA Sch 25 (12.2019)'!D62+'WA Sch 25 (12.2019)'!D63+'WA Sch 25 (12.2019)'!D50-'WA Sch 25 (12.2019)'!D106-'WA Sch 25 (12.2019)'!D104</f>
        <v>8210.2009999999991</v>
      </c>
      <c r="D102" s="251">
        <f>'WA Sch 25 (12.2019)'!E61+'WA Sch 25 (12.2019)'!E62+'WA Sch 25 (12.2019)'!E63+'WA Sch 25 (12.2019)'!E50-'WA Sch 25 (12.2019)'!E106-'WA Sch 25 (12.2019)'!E104</f>
        <v>14818.943000000001</v>
      </c>
      <c r="E102" s="251">
        <f>'WA Sch 25 (12.2019)'!F61+'WA Sch 25 (12.2019)'!F62+'WA Sch 25 (12.2019)'!F63+'WA Sch 25 (12.2019)'!F50-'WA Sch 25 (12.2019)'!F106-'WA Sch 25 (12.2019)'!F104</f>
        <v>9603.502000000004</v>
      </c>
      <c r="F102" s="251">
        <f>'WA Sch 25 (12.2019)'!G61+'WA Sch 25 (12.2019)'!G62+'WA Sch 25 (12.2019)'!G63+'WA Sch 25 (12.2019)'!G50-'WA Sch 25 (12.2019)'!G106-'WA Sch 25 (12.2019)'!G104</f>
        <v>12364.418000000009</v>
      </c>
      <c r="G102" s="251">
        <f>'WA Sch 25 (12.2019)'!H61+'WA Sch 25 (12.2019)'!H62+'WA Sch 25 (12.2019)'!H63+'WA Sch 25 (12.2019)'!H50-'WA Sch 25 (12.2019)'!H106-'WA Sch 25 (12.2019)'!H104</f>
        <v>12461.691999999997</v>
      </c>
      <c r="H102" s="251">
        <f>'WA Sch 25 (12.2019)'!I61+'WA Sch 25 (12.2019)'!I62+'WA Sch 25 (12.2019)'!I63+'WA Sch 25 (12.2019)'!I50-'WA Sch 25 (12.2019)'!I106-'WA Sch 25 (12.2019)'!I104</f>
        <v>12412.307000000013</v>
      </c>
      <c r="I102" s="251">
        <f>'WA Sch 25 (12.2019)'!J61+'WA Sch 25 (12.2019)'!J62+'WA Sch 25 (12.2019)'!J63+'WA Sch 25 (12.2019)'!J50-'WA Sch 25 (12.2019)'!J106-'WA Sch 25 (12.2019)'!J104</f>
        <v>12922.479000000008</v>
      </c>
      <c r="J102" s="251">
        <f>'WA Sch 25 (12.2019)'!K61+'WA Sch 25 (12.2019)'!K62+'WA Sch 25 (12.2019)'!K63+'WA Sch 25 (12.2019)'!K50-'WA Sch 25 (12.2019)'!K106-'WA Sch 25 (12.2019)'!K104</f>
        <v>14941.339000000002</v>
      </c>
      <c r="K102" s="251">
        <f>'WA Sch 25 (12.2019)'!L61+'WA Sch 25 (12.2019)'!L62+'WA Sch 25 (12.2019)'!L63+'WA Sch 25 (12.2019)'!L50-'WA Sch 25 (12.2019)'!L106-'WA Sch 25 (12.2019)'!L104</f>
        <v>16079.675000000007</v>
      </c>
      <c r="L102" s="251">
        <f>'WA Sch 25 (12.2019)'!M61+'WA Sch 25 (12.2019)'!M62+'WA Sch 25 (12.2019)'!M63+'WA Sch 25 (12.2019)'!M50-'WA Sch 25 (12.2019)'!M106-'WA Sch 25 (12.2019)'!M104</f>
        <v>17638.877999999997</v>
      </c>
      <c r="M102" s="251">
        <f>'WA Sch 25 (12.2019)'!N61+'WA Sch 25 (12.2019)'!N62+'WA Sch 25 (12.2019)'!N63+'WA Sch 25 (12.2019)'!N50-'WA Sch 25 (12.2019)'!N106-'WA Sch 25 (12.2019)'!N104</f>
        <v>12364.465000000006</v>
      </c>
      <c r="N102" s="251">
        <f>'WA Sch 25 (12.2019)'!O61+'WA Sch 25 (12.2019)'!O62+'WA Sch 25 (12.2019)'!O63+'WA Sch 25 (12.2019)'!O50-'WA Sch 25 (12.2019)'!O106-'WA Sch 25 (12.2019)'!O104</f>
        <v>13627.812</v>
      </c>
      <c r="O102" s="106">
        <f t="shared" si="29"/>
        <v>157445.71100000004</v>
      </c>
    </row>
    <row r="103" spans="1:15" outlineLevel="1">
      <c r="A103" t="s">
        <v>257</v>
      </c>
      <c r="B103" s="19"/>
      <c r="C103" s="68">
        <f t="shared" ref="C103:O103" si="30">SUM(C92:C102)</f>
        <v>2170409.6476771371</v>
      </c>
      <c r="D103" s="68">
        <f t="shared" si="30"/>
        <v>2124234.4343110793</v>
      </c>
      <c r="E103" s="68">
        <f t="shared" si="30"/>
        <v>2449591.7206894513</v>
      </c>
      <c r="F103" s="68">
        <f t="shared" si="30"/>
        <v>2048992.3222381815</v>
      </c>
      <c r="G103" s="68">
        <f t="shared" si="30"/>
        <v>1859907.9528986835</v>
      </c>
      <c r="H103" s="68">
        <f t="shared" si="30"/>
        <v>1820810.6613296997</v>
      </c>
      <c r="I103" s="68">
        <f t="shared" si="30"/>
        <v>1639446.5005593994</v>
      </c>
      <c r="J103" s="68">
        <f t="shared" si="30"/>
        <v>1821932.4306483299</v>
      </c>
      <c r="K103" s="68">
        <f t="shared" si="30"/>
        <v>2069204.9438099954</v>
      </c>
      <c r="L103" s="68">
        <f t="shared" si="30"/>
        <v>1802660.2151802413</v>
      </c>
      <c r="M103" s="68">
        <f t="shared" si="30"/>
        <v>1745553.0871232606</v>
      </c>
      <c r="N103" s="68">
        <f t="shared" si="30"/>
        <v>1945901.5137230065</v>
      </c>
      <c r="O103" s="68">
        <f t="shared" si="30"/>
        <v>23498645.430188466</v>
      </c>
    </row>
    <row r="104" spans="1:15">
      <c r="B104" s="1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outlineLevel="1">
      <c r="A105" s="3" t="s">
        <v>258</v>
      </c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77"/>
    </row>
    <row r="106" spans="1:15" outlineLevel="1">
      <c r="A106" t="str">
        <f t="shared" ref="A106:A111" si="31">A83</f>
        <v>Schedule 1</v>
      </c>
      <c r="B106" s="19"/>
      <c r="C106" s="81">
        <f t="shared" ref="C106:N106" si="32">C83*C67</f>
        <v>692687.19019246951</v>
      </c>
      <c r="D106" s="81">
        <f t="shared" si="32"/>
        <v>731179.08886468178</v>
      </c>
      <c r="E106" s="81">
        <f t="shared" si="32"/>
        <v>792141.05578482745</v>
      </c>
      <c r="F106" s="81">
        <f t="shared" si="32"/>
        <v>616807.09454382374</v>
      </c>
      <c r="G106" s="81">
        <f t="shared" si="32"/>
        <v>591786.58272758219</v>
      </c>
      <c r="H106" s="81">
        <f t="shared" si="32"/>
        <v>611119.89013707626</v>
      </c>
      <c r="I106" s="81">
        <f t="shared" si="32"/>
        <v>513164.10853618936</v>
      </c>
      <c r="J106" s="81">
        <f t="shared" si="32"/>
        <v>626746.80674613419</v>
      </c>
      <c r="K106" s="81">
        <f t="shared" si="32"/>
        <v>679724.21061523817</v>
      </c>
      <c r="L106" s="81">
        <f t="shared" si="32"/>
        <v>543344.60950689868</v>
      </c>
      <c r="M106" s="81">
        <f t="shared" si="32"/>
        <v>601003.06734225922</v>
      </c>
      <c r="N106" s="81">
        <f t="shared" si="32"/>
        <v>627327.71905102604</v>
      </c>
      <c r="O106" s="106">
        <f>SUM(C106:N106)</f>
        <v>7627031.4240482068</v>
      </c>
    </row>
    <row r="107" spans="1:15" outlineLevel="1">
      <c r="A107" t="str">
        <f t="shared" si="31"/>
        <v xml:space="preserve">Schedule 11/12 </v>
      </c>
      <c r="B107" s="19"/>
      <c r="C107" s="81">
        <f t="shared" ref="C107:N107" si="33">C84*C68</f>
        <v>135280.93921390013</v>
      </c>
      <c r="D107" s="81">
        <f t="shared" si="33"/>
        <v>140794.75080404643</v>
      </c>
      <c r="E107" s="81">
        <f t="shared" si="33"/>
        <v>160368.5828770271</v>
      </c>
      <c r="F107" s="81">
        <f t="shared" si="33"/>
        <v>141463.98364518143</v>
      </c>
      <c r="G107" s="81">
        <f t="shared" si="33"/>
        <v>133232.02965219718</v>
      </c>
      <c r="H107" s="81">
        <f t="shared" si="33"/>
        <v>140937.29451301601</v>
      </c>
      <c r="I107" s="81">
        <f t="shared" si="33"/>
        <v>124172.88163867022</v>
      </c>
      <c r="J107" s="81">
        <f t="shared" si="33"/>
        <v>128205.96992767348</v>
      </c>
      <c r="K107" s="81">
        <f t="shared" si="33"/>
        <v>135787.27629933314</v>
      </c>
      <c r="L107" s="81">
        <f t="shared" si="33"/>
        <v>114360.47282485373</v>
      </c>
      <c r="M107" s="81">
        <f t="shared" si="33"/>
        <v>123359.17653053565</v>
      </c>
      <c r="N107" s="81">
        <f t="shared" si="33"/>
        <v>154524.99840938873</v>
      </c>
      <c r="O107" s="106">
        <f t="shared" ref="O107:O113" si="34">SUM(C107:N107)</f>
        <v>1632488.3563358234</v>
      </c>
    </row>
    <row r="108" spans="1:15" hidden="1" outlineLevel="1">
      <c r="A108" t="str">
        <f t="shared" si="31"/>
        <v>Schedule 11/12 Demand Metered</v>
      </c>
      <c r="B108" s="19"/>
      <c r="C108" s="81">
        <f t="shared" ref="C108:N108" si="35">C85*C68</f>
        <v>0</v>
      </c>
      <c r="D108" s="81">
        <f t="shared" si="35"/>
        <v>0</v>
      </c>
      <c r="E108" s="81">
        <f t="shared" si="35"/>
        <v>0</v>
      </c>
      <c r="F108" s="81">
        <f t="shared" si="35"/>
        <v>0</v>
      </c>
      <c r="G108" s="81">
        <f t="shared" si="35"/>
        <v>0</v>
      </c>
      <c r="H108" s="81">
        <f t="shared" si="35"/>
        <v>0</v>
      </c>
      <c r="I108" s="81">
        <f t="shared" si="35"/>
        <v>0</v>
      </c>
      <c r="J108" s="81">
        <f t="shared" si="35"/>
        <v>0</v>
      </c>
      <c r="K108" s="81">
        <f t="shared" si="35"/>
        <v>0</v>
      </c>
      <c r="L108" s="81">
        <f t="shared" si="35"/>
        <v>0</v>
      </c>
      <c r="M108" s="81">
        <f t="shared" si="35"/>
        <v>0</v>
      </c>
      <c r="N108" s="81">
        <f t="shared" si="35"/>
        <v>0</v>
      </c>
      <c r="O108" s="106">
        <f t="shared" si="34"/>
        <v>0</v>
      </c>
    </row>
    <row r="109" spans="1:15" outlineLevel="1">
      <c r="A109" t="str">
        <f t="shared" si="31"/>
        <v>Schedule 21/22 Secondary</v>
      </c>
      <c r="B109" s="19"/>
      <c r="C109" s="81">
        <f t="shared" ref="C109:N109" si="36">C86*C69</f>
        <v>121476.93860083801</v>
      </c>
      <c r="D109" s="81">
        <f t="shared" si="36"/>
        <v>133463.20128677387</v>
      </c>
      <c r="E109" s="81">
        <f t="shared" si="36"/>
        <v>123821.95207672437</v>
      </c>
      <c r="F109" s="81">
        <f t="shared" si="36"/>
        <v>117466.92807505</v>
      </c>
      <c r="G109" s="81">
        <f t="shared" si="36"/>
        <v>109470.31998458975</v>
      </c>
      <c r="H109" s="81">
        <f t="shared" si="36"/>
        <v>114728.39407646819</v>
      </c>
      <c r="I109" s="81">
        <f t="shared" si="36"/>
        <v>129107.51594643512</v>
      </c>
      <c r="J109" s="81">
        <f t="shared" si="36"/>
        <v>130921.05970027542</v>
      </c>
      <c r="K109" s="81">
        <f t="shared" si="36"/>
        <v>140215.66746158409</v>
      </c>
      <c r="L109" s="81">
        <f t="shared" si="36"/>
        <v>108851.73258902044</v>
      </c>
      <c r="M109" s="81">
        <f t="shared" si="36"/>
        <v>115165.89178259492</v>
      </c>
      <c r="N109" s="81">
        <f t="shared" si="36"/>
        <v>126292.00633776188</v>
      </c>
      <c r="O109" s="106">
        <f t="shared" si="34"/>
        <v>1470981.6079181158</v>
      </c>
    </row>
    <row r="110" spans="1:15" outlineLevel="1">
      <c r="A110" t="str">
        <f t="shared" si="31"/>
        <v>Schedule 21 Primary</v>
      </c>
      <c r="B110" s="19"/>
      <c r="C110" s="81">
        <f t="shared" ref="C110:N110" si="37">C87*C69</f>
        <v>11339.487990695307</v>
      </c>
      <c r="D110" s="81">
        <f t="shared" si="37"/>
        <v>12504.117652043418</v>
      </c>
      <c r="E110" s="81">
        <f t="shared" si="37"/>
        <v>11653.374054627526</v>
      </c>
      <c r="F110" s="81">
        <f t="shared" si="37"/>
        <v>10841.081659603467</v>
      </c>
      <c r="G110" s="81">
        <f t="shared" si="37"/>
        <v>9831.8519365964639</v>
      </c>
      <c r="H110" s="81">
        <f t="shared" si="37"/>
        <v>9775.7136939393204</v>
      </c>
      <c r="I110" s="81">
        <f t="shared" si="37"/>
        <v>10134.442810918992</v>
      </c>
      <c r="J110" s="81">
        <f t="shared" si="37"/>
        <v>10521.427852532352</v>
      </c>
      <c r="K110" s="81">
        <f t="shared" si="37"/>
        <v>11202.422172961058</v>
      </c>
      <c r="L110" s="81">
        <f t="shared" si="37"/>
        <v>8859.1778542454904</v>
      </c>
      <c r="M110" s="81">
        <f t="shared" si="37"/>
        <v>9797.7604409419819</v>
      </c>
      <c r="N110" s="81">
        <f t="shared" si="37"/>
        <v>10756.686662745937</v>
      </c>
      <c r="O110" s="106">
        <f t="shared" si="34"/>
        <v>127217.54478185131</v>
      </c>
    </row>
    <row r="111" spans="1:15" outlineLevel="1">
      <c r="A111" t="str">
        <f t="shared" si="31"/>
        <v>Schedule 31/32</v>
      </c>
      <c r="B111" s="19"/>
      <c r="C111" s="81">
        <f t="shared" ref="C111:N111" si="38">C88*C71</f>
        <v>26585.196919916645</v>
      </c>
      <c r="D111" s="81">
        <f t="shared" si="38"/>
        <v>22761.034445469868</v>
      </c>
      <c r="E111" s="81">
        <f t="shared" si="38"/>
        <v>33540.114447094922</v>
      </c>
      <c r="F111" s="81">
        <f t="shared" si="38"/>
        <v>31253.226108647399</v>
      </c>
      <c r="G111" s="81">
        <f t="shared" si="38"/>
        <v>38670.960289893723</v>
      </c>
      <c r="H111" s="81">
        <f t="shared" si="38"/>
        <v>39896.459733329633</v>
      </c>
      <c r="I111" s="81">
        <f t="shared" si="38"/>
        <v>34281.105382913425</v>
      </c>
      <c r="J111" s="81">
        <f t="shared" si="38"/>
        <v>40020.60781967167</v>
      </c>
      <c r="K111" s="81">
        <f t="shared" si="38"/>
        <v>50157.429844380997</v>
      </c>
      <c r="L111" s="81">
        <f t="shared" si="38"/>
        <v>25722.193292664626</v>
      </c>
      <c r="M111" s="81">
        <f t="shared" si="38"/>
        <v>26588.57590509906</v>
      </c>
      <c r="N111" s="81">
        <f t="shared" si="38"/>
        <v>33260.659052203016</v>
      </c>
      <c r="O111" s="106">
        <f t="shared" si="34"/>
        <v>402737.56324128498</v>
      </c>
    </row>
    <row r="112" spans="1:15" outlineLevel="1">
      <c r="A112" t="s">
        <v>275</v>
      </c>
      <c r="B112" s="43">
        <f>'Peak Calc CP'!B28</f>
        <v>7243308.4059299994</v>
      </c>
      <c r="C112" s="81">
        <f>$B112/'2019 Daylight'!Hrs_Darkness</f>
        <v>1687.9578372462809</v>
      </c>
      <c r="D112" s="81">
        <f>$B112/'2019 Daylight'!Hrs_Darkness</f>
        <v>1687.9578372462809</v>
      </c>
      <c r="E112" s="81">
        <f>$B112/'2019 Daylight'!Hrs_Darkness</f>
        <v>1687.9578372462809</v>
      </c>
      <c r="F112" s="81">
        <f>$B112/'2019 Daylight'!Hrs_Darkness</f>
        <v>1687.9578372462809</v>
      </c>
      <c r="G112" s="81">
        <f>$B112/'2019 Daylight'!Hrs_Darkness</f>
        <v>1687.9578372462809</v>
      </c>
      <c r="H112" s="81">
        <f>$B112/'2019 Daylight'!Hrs_Darkness</f>
        <v>1687.9578372462809</v>
      </c>
      <c r="I112" s="81">
        <f>$B112/'2019 Daylight'!Hrs_Darkness</f>
        <v>1687.9578372462809</v>
      </c>
      <c r="J112" s="81">
        <f>$B112/'2019 Daylight'!Hrs_Darkness</f>
        <v>1687.9578372462809</v>
      </c>
      <c r="K112" s="81">
        <f>$B112/'2019 Daylight'!Hrs_Darkness</f>
        <v>1687.9578372462809</v>
      </c>
      <c r="L112" s="81">
        <f>$B112/'2019 Daylight'!Hrs_Darkness</f>
        <v>1687.9578372462809</v>
      </c>
      <c r="M112" s="81">
        <f>$B112/'2019 Daylight'!Hrs_Darkness</f>
        <v>1687.9578372462809</v>
      </c>
      <c r="N112" s="81">
        <f>$B112/'2019 Daylight'!Hrs_Darkness</f>
        <v>1687.9578372462809</v>
      </c>
      <c r="O112" s="106">
        <f t="shared" si="34"/>
        <v>20255.494046955369</v>
      </c>
    </row>
    <row r="113" spans="1:15" outlineLevel="1">
      <c r="A113" t="s">
        <v>276</v>
      </c>
      <c r="B113" s="43">
        <f>'Peak Calc CP'!B29</f>
        <v>3809164.0015500002</v>
      </c>
      <c r="C113" s="81">
        <f>$B113/'2019 Daylight'!Hrs_Darkness</f>
        <v>887.67561305394804</v>
      </c>
      <c r="D113" s="81">
        <f>$B113/'2019 Daylight'!Hrs_Darkness</f>
        <v>887.67561305394804</v>
      </c>
      <c r="E113" s="81">
        <f>$B113/'2019 Daylight'!Hrs_Darkness</f>
        <v>887.67561305394804</v>
      </c>
      <c r="F113" s="81">
        <f>$B113/'2019 Daylight'!Hrs_Darkness</f>
        <v>887.67561305394804</v>
      </c>
      <c r="G113" s="81">
        <f>$B113/'2019 Daylight'!Hrs_Darkness</f>
        <v>887.67561305394804</v>
      </c>
      <c r="H113" s="81">
        <f>$B113/'2019 Daylight'!Hrs_Darkness</f>
        <v>887.67561305394804</v>
      </c>
      <c r="I113" s="81">
        <f>$B113/'2019 Daylight'!Hrs_Darkness</f>
        <v>887.67561305394804</v>
      </c>
      <c r="J113" s="81">
        <f>$B113/'2019 Daylight'!Hrs_Darkness</f>
        <v>887.67561305394804</v>
      </c>
      <c r="K113" s="81">
        <f>$B113/'2019 Daylight'!Hrs_Darkness</f>
        <v>887.67561305394804</v>
      </c>
      <c r="L113" s="81">
        <f>$B113/'2019 Daylight'!Hrs_Darkness</f>
        <v>887.67561305394804</v>
      </c>
      <c r="M113" s="81">
        <f>$B113/'2019 Daylight'!Hrs_Darkness</f>
        <v>887.67561305394804</v>
      </c>
      <c r="N113" s="81">
        <f>$B113/'2019 Daylight'!Hrs_Darkness</f>
        <v>887.67561305394804</v>
      </c>
      <c r="O113" s="106">
        <f t="shared" si="34"/>
        <v>10652.107356647379</v>
      </c>
    </row>
    <row r="114" spans="1:15" outlineLevel="1">
      <c r="A114" s="163" t="s">
        <v>2335</v>
      </c>
      <c r="B114" s="61"/>
      <c r="C114" s="251">
        <f>'ID Sch 25 (12.2019)'!E58-C115</f>
        <v>58514.12200000001</v>
      </c>
      <c r="D114" s="251">
        <f>'ID Sch 25 (12.2019)'!F58-D115</f>
        <v>58804.958999999995</v>
      </c>
      <c r="E114" s="251">
        <f>'ID Sch 25 (12.2019)'!G58-E115</f>
        <v>58530.591</v>
      </c>
      <c r="F114" s="251">
        <f>'ID Sch 25 (12.2019)'!H58-F115</f>
        <v>56103.299999999996</v>
      </c>
      <c r="G114" s="251">
        <f>'ID Sch 25 (12.2019)'!I58-G115</f>
        <v>54229.857999999993</v>
      </c>
      <c r="H114" s="251">
        <f>'ID Sch 25 (12.2019)'!J58-H115</f>
        <v>55024.943999999996</v>
      </c>
      <c r="I114" s="251">
        <f>'ID Sch 25 (12.2019)'!K58-I115</f>
        <v>55882.253999999994</v>
      </c>
      <c r="J114" s="251">
        <f>'ID Sch 25 (12.2019)'!L58-J115</f>
        <v>55770.383000000002</v>
      </c>
      <c r="K114" s="251">
        <f>'ID Sch 25 (12.2019)'!M58-K115</f>
        <v>56695.157000000007</v>
      </c>
      <c r="L114" s="251">
        <f>'ID Sch 25 (12.2019)'!N58-L115</f>
        <v>56907.743000000002</v>
      </c>
      <c r="M114" s="251">
        <f>'ID Sch 25 (12.2019)'!O58-M115</f>
        <v>56461.423999999999</v>
      </c>
      <c r="N114" s="251">
        <f>'ID Sch 25 (12.2019)'!P58-N115</f>
        <v>54775.067999999992</v>
      </c>
      <c r="O114" s="106">
        <f t="shared" ref="O114:O117" si="39">SUM(C114:N114)</f>
        <v>677699.80300000007</v>
      </c>
    </row>
    <row r="115" spans="1:15" outlineLevel="1">
      <c r="A115" s="163" t="s">
        <v>411</v>
      </c>
      <c r="B115" s="61"/>
      <c r="C115" s="251">
        <f>'ID Sch 25 (12.2019)'!E53-'ID Sch 25 (12.2019)'!E84-'ID Sch 25 (12.2019)'!E85</f>
        <v>541.1429999999998</v>
      </c>
      <c r="D115" s="251">
        <f>'ID Sch 25 (12.2019)'!F53-'ID Sch 25 (12.2019)'!F84-'ID Sch 25 (12.2019)'!F85</f>
        <v>790.49699999999962</v>
      </c>
      <c r="E115" s="251">
        <f>'ID Sch 25 (12.2019)'!G53-'ID Sch 25 (12.2019)'!G84-'ID Sch 25 (12.2019)'!G85</f>
        <v>526.12099999999975</v>
      </c>
      <c r="F115" s="251">
        <f>'ID Sch 25 (12.2019)'!H53-'ID Sch 25 (12.2019)'!H84-'ID Sch 25 (12.2019)'!H85</f>
        <v>562.65600000000006</v>
      </c>
      <c r="G115" s="251">
        <f>'ID Sch 25 (12.2019)'!I53-'ID Sch 25 (12.2019)'!I84-'ID Sch 25 (12.2019)'!I85</f>
        <v>843.62100000000021</v>
      </c>
      <c r="H115" s="251">
        <f>'ID Sch 25 (12.2019)'!J53-'ID Sch 25 (12.2019)'!J84-'ID Sch 25 (12.2019)'!J85</f>
        <v>591.77399999999989</v>
      </c>
      <c r="I115" s="251">
        <f>'ID Sch 25 (12.2019)'!K53-'ID Sch 25 (12.2019)'!K84-'ID Sch 25 (12.2019)'!K85</f>
        <v>644.2560000000002</v>
      </c>
      <c r="J115" s="251">
        <f>'ID Sch 25 (12.2019)'!L53-'ID Sch 25 (12.2019)'!L84-'ID Sch 25 (12.2019)'!L85</f>
        <v>950.12999999999954</v>
      </c>
      <c r="K115" s="251">
        <f>'ID Sch 25 (12.2019)'!M53-'ID Sch 25 (12.2019)'!M84-'ID Sch 25 (12.2019)'!M85</f>
        <v>1106.1980000000003</v>
      </c>
      <c r="L115" s="251">
        <f>'ID Sch 25 (12.2019)'!N53-'ID Sch 25 (12.2019)'!N84-'ID Sch 25 (12.2019)'!N85</f>
        <v>712.2789999999984</v>
      </c>
      <c r="M115" s="251">
        <f>'ID Sch 25 (12.2019)'!O53-'ID Sch 25 (12.2019)'!O84-'ID Sch 25 (12.2019)'!O85</f>
        <v>454.76899999999966</v>
      </c>
      <c r="N115" s="251">
        <f>'ID Sch 25 (12.2019)'!P53-'ID Sch 25 (12.2019)'!P84-'ID Sch 25 (12.2019)'!P85</f>
        <v>1208.3749999999995</v>
      </c>
      <c r="O115" s="106">
        <f t="shared" si="39"/>
        <v>8931.8189999999959</v>
      </c>
    </row>
    <row r="116" spans="1:15" outlineLevel="1">
      <c r="A116" s="163" t="s">
        <v>2338</v>
      </c>
      <c r="B116" s="61"/>
      <c r="C116" s="251">
        <f>'ID Sch 25 (12.2019)'!E94</f>
        <v>95870</v>
      </c>
      <c r="D116" s="251">
        <f>'ID Sch 25 (12.2019)'!F94</f>
        <v>73780</v>
      </c>
      <c r="E116" s="251">
        <f>'ID Sch 25 (12.2019)'!G94</f>
        <v>78150</v>
      </c>
      <c r="F116" s="251">
        <f>'ID Sch 25 (12.2019)'!H94</f>
        <v>62970</v>
      </c>
      <c r="G116" s="251">
        <f>'ID Sch 25 (12.2019)'!I94</f>
        <v>61540</v>
      </c>
      <c r="H116" s="251">
        <f>'ID Sch 25 (12.2019)'!J94</f>
        <v>53900</v>
      </c>
      <c r="I116" s="251">
        <f>'ID Sch 25 (12.2019)'!K94</f>
        <v>83520</v>
      </c>
      <c r="J116" s="251">
        <f>'ID Sch 25 (12.2019)'!L94</f>
        <v>80500</v>
      </c>
      <c r="K116" s="251">
        <f>'ID Sch 25 (12.2019)'!M94</f>
        <v>86480</v>
      </c>
      <c r="L116" s="251">
        <f>'ID Sch 25 (12.2019)'!N94</f>
        <v>91940</v>
      </c>
      <c r="M116" s="251">
        <f>'ID Sch 25 (12.2019)'!O94</f>
        <v>60180</v>
      </c>
      <c r="N116" s="251">
        <f>'ID Sch 25 (12.2019)'!P94</f>
        <v>73590</v>
      </c>
      <c r="O116" s="106">
        <f t="shared" si="39"/>
        <v>902420</v>
      </c>
    </row>
    <row r="117" spans="1:15" outlineLevel="1">
      <c r="A117" s="163" t="s">
        <v>2337</v>
      </c>
      <c r="B117" s="61"/>
      <c r="C117" s="235">
        <v>0</v>
      </c>
      <c r="D117" s="235">
        <v>0</v>
      </c>
      <c r="E117" s="235">
        <v>0</v>
      </c>
      <c r="F117" s="235">
        <v>0</v>
      </c>
      <c r="G117" s="235">
        <v>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0</v>
      </c>
      <c r="O117" s="106">
        <f t="shared" si="39"/>
        <v>0</v>
      </c>
    </row>
    <row r="118" spans="1:15" outlineLevel="1">
      <c r="A118" t="s">
        <v>259</v>
      </c>
      <c r="B118" s="61"/>
      <c r="C118" s="68">
        <f>SUM(C106:C117)</f>
        <v>1144870.6513681198</v>
      </c>
      <c r="D118" s="68">
        <f t="shared" ref="D118:O118" si="40">SUM(D106:D117)</f>
        <v>1176653.2825033155</v>
      </c>
      <c r="E118" s="68">
        <f t="shared" si="40"/>
        <v>1261307.4246906016</v>
      </c>
      <c r="F118" s="68">
        <f t="shared" si="40"/>
        <v>1040043.9034826063</v>
      </c>
      <c r="G118" s="68">
        <f t="shared" si="40"/>
        <v>1002180.8570411594</v>
      </c>
      <c r="H118" s="68">
        <f t="shared" si="40"/>
        <v>1028550.1036041295</v>
      </c>
      <c r="I118" s="68">
        <f t="shared" si="40"/>
        <v>953482.19776542729</v>
      </c>
      <c r="J118" s="68">
        <f t="shared" si="40"/>
        <v>1076212.0184965874</v>
      </c>
      <c r="K118" s="68">
        <f t="shared" si="40"/>
        <v>1163943.994843798</v>
      </c>
      <c r="L118" s="68">
        <f t="shared" si="40"/>
        <v>953273.84151798312</v>
      </c>
      <c r="M118" s="68">
        <f t="shared" si="40"/>
        <v>995586.2984517311</v>
      </c>
      <c r="N118" s="68">
        <f t="shared" si="40"/>
        <v>1084311.1459634257</v>
      </c>
      <c r="O118" s="68">
        <f t="shared" si="40"/>
        <v>12880415.719728883</v>
      </c>
    </row>
    <row r="119" spans="1:15">
      <c r="A119" s="163"/>
      <c r="B119" s="6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106"/>
    </row>
    <row r="120" spans="1:15">
      <c r="A120" t="s">
        <v>277</v>
      </c>
      <c r="B120" s="19"/>
      <c r="C120" s="65">
        <f t="shared" ref="C120:O120" si="41">SUM(C92:C102,C106:C117)</f>
        <v>3315280.2990452577</v>
      </c>
      <c r="D120" s="65">
        <f t="shared" si="41"/>
        <v>3300887.7168143946</v>
      </c>
      <c r="E120" s="65">
        <f t="shared" si="41"/>
        <v>3710899.1453800532</v>
      </c>
      <c r="F120" s="65">
        <f t="shared" si="41"/>
        <v>3089036.2257207879</v>
      </c>
      <c r="G120" s="65">
        <f t="shared" si="41"/>
        <v>2862088.8099398431</v>
      </c>
      <c r="H120" s="65">
        <f t="shared" si="41"/>
        <v>2849360.7649338301</v>
      </c>
      <c r="I120" s="65">
        <f t="shared" si="41"/>
        <v>2592928.6983248275</v>
      </c>
      <c r="J120" s="65">
        <f t="shared" si="41"/>
        <v>2898144.4491449175</v>
      </c>
      <c r="K120" s="65">
        <f t="shared" si="41"/>
        <v>3233148.9386537932</v>
      </c>
      <c r="L120" s="65">
        <f t="shared" si="41"/>
        <v>2755934.056698225</v>
      </c>
      <c r="M120" s="65">
        <f t="shared" si="41"/>
        <v>2741139.3855749918</v>
      </c>
      <c r="N120" s="65">
        <f t="shared" si="41"/>
        <v>3030212.6596864322</v>
      </c>
      <c r="O120" s="65">
        <f t="shared" si="41"/>
        <v>36379061.149917349</v>
      </c>
    </row>
    <row r="121" spans="1:15">
      <c r="B121" s="19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77"/>
    </row>
    <row r="122" spans="1:15">
      <c r="C122" s="108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spans="1:15">
      <c r="C123" s="108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</row>
    <row r="124" spans="1:1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</row>
    <row r="125" spans="1:15">
      <c r="C125" s="108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</row>
    <row r="126" spans="1:1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</row>
    <row r="127" spans="1:1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</row>
    <row r="128" spans="1:1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</row>
    <row r="129" spans="1:1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</row>
    <row r="130" spans="1:1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spans="1:1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</row>
    <row r="132" spans="1:1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</row>
    <row r="133" spans="1:1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</row>
    <row r="134" spans="1:15">
      <c r="B134" s="5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</row>
    <row r="135" spans="1:15">
      <c r="B135" s="11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</row>
    <row r="136" spans="1:15">
      <c r="A136" s="3"/>
      <c r="B136" s="11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</row>
    <row r="137" spans="1:1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spans="1:1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</row>
    <row r="139" spans="1:1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</row>
    <row r="140" spans="1:1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</row>
    <row r="141" spans="1:1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</row>
    <row r="142" spans="1:1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</row>
    <row r="143" spans="1:1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</row>
    <row r="144" spans="1:1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</row>
    <row r="145" spans="3:1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</row>
    <row r="146" spans="3:15">
      <c r="C146" s="109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</row>
    <row r="147" spans="3:15">
      <c r="C147" s="109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</row>
    <row r="148" spans="3:1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</row>
  </sheetData>
  <printOptions horizontalCentered="1" verticalCentered="1"/>
  <pageMargins left="0.5" right="0.47" top="0.5" bottom="0.53" header="0.75" footer="0.37"/>
  <pageSetup scale="70" orientation="landscape" horizontalDpi="4294967292" r:id="rId1"/>
  <headerFooter alignWithMargins="0">
    <oddHeader>&amp;RPage &amp;P</oddHeader>
    <oddFooter xml:space="preserve">&amp;C&amp;F &amp;A </oddFooter>
  </headerFooter>
  <rowBreaks count="1" manualBreakCount="1">
    <brk id="80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1F4B-EB13-4592-AFFF-E12F3988DF0C}">
  <sheetPr>
    <tabColor rgb="FF00B050"/>
    <pageSetUpPr autoPageBreaks="0"/>
  </sheetPr>
  <dimension ref="A1:V28"/>
  <sheetViews>
    <sheetView zoomScaleNormal="100" workbookViewId="0">
      <selection activeCell="H35" sqref="H35"/>
    </sheetView>
  </sheetViews>
  <sheetFormatPr defaultColWidth="9.1640625" defaultRowHeight="15"/>
  <cols>
    <col min="1" max="1" width="4.5" style="438" customWidth="1"/>
    <col min="2" max="2" width="39.33203125" style="438" customWidth="1"/>
    <col min="3" max="3" width="7.33203125" style="438" customWidth="1"/>
    <col min="4" max="4" width="14.83203125" style="438" customWidth="1"/>
    <col min="5" max="7" width="14.5" style="438" bestFit="1" customWidth="1"/>
    <col min="8" max="9" width="14.83203125" style="438" bestFit="1" customWidth="1"/>
    <col min="10" max="10" width="14.5" style="438" bestFit="1" customWidth="1"/>
    <col min="11" max="11" width="14.83203125" style="438" bestFit="1" customWidth="1"/>
    <col min="12" max="12" width="15.33203125" style="438" customWidth="1"/>
    <col min="13" max="13" width="14.83203125" style="438" bestFit="1" customWidth="1"/>
    <col min="14" max="14" width="15.6640625" style="438" customWidth="1"/>
    <col min="15" max="15" width="15.5" style="438" customWidth="1"/>
    <col min="16" max="16" width="19" style="438" customWidth="1"/>
    <col min="17" max="17" width="9.1640625" style="438"/>
    <col min="18" max="18" width="17.83203125" style="438" customWidth="1"/>
    <col min="19" max="19" width="9.1640625" style="438"/>
    <col min="20" max="20" width="15.5" style="438" bestFit="1" customWidth="1"/>
    <col min="21" max="21" width="9.1640625" style="438"/>
    <col min="22" max="22" width="11.6640625" style="438" bestFit="1" customWidth="1"/>
    <col min="23" max="16384" width="9.1640625" style="438"/>
  </cols>
  <sheetData>
    <row r="1" spans="1:22">
      <c r="A1" s="436" t="s">
        <v>2564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1:22">
      <c r="A2" s="437" t="s">
        <v>2542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22">
      <c r="A3" s="436" t="s">
        <v>2501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22">
      <c r="A4" s="437" t="s">
        <v>2543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22" s="441" customFormat="1">
      <c r="A5" s="437"/>
      <c r="B5" s="437"/>
      <c r="C5" s="437"/>
      <c r="D5" s="439" t="s">
        <v>422</v>
      </c>
      <c r="E5" s="439" t="s">
        <v>432</v>
      </c>
      <c r="F5" s="439" t="s">
        <v>433</v>
      </c>
      <c r="G5" s="439" t="s">
        <v>434</v>
      </c>
      <c r="H5" s="439" t="s">
        <v>265</v>
      </c>
      <c r="I5" s="439" t="s">
        <v>435</v>
      </c>
      <c r="J5" s="439" t="s">
        <v>436</v>
      </c>
      <c r="K5" s="439" t="s">
        <v>437</v>
      </c>
      <c r="L5" s="439" t="s">
        <v>438</v>
      </c>
      <c r="M5" s="439" t="s">
        <v>439</v>
      </c>
      <c r="N5" s="439" t="s">
        <v>440</v>
      </c>
      <c r="O5" s="439" t="s">
        <v>441</v>
      </c>
      <c r="P5" s="440" t="s">
        <v>2445</v>
      </c>
      <c r="R5" s="451" t="s">
        <v>2565</v>
      </c>
    </row>
    <row r="6" spans="1:22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R6" s="458" t="s">
        <v>2567</v>
      </c>
      <c r="T6" s="458" t="s">
        <v>2568</v>
      </c>
      <c r="V6" s="458" t="s">
        <v>2569</v>
      </c>
    </row>
    <row r="7" spans="1:22">
      <c r="A7" s="437" t="s">
        <v>2544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V7" s="458" t="s">
        <v>2570</v>
      </c>
    </row>
    <row r="8" spans="1:22">
      <c r="A8" s="437"/>
      <c r="B8" s="437" t="s">
        <v>2545</v>
      </c>
      <c r="C8" s="437"/>
      <c r="D8" s="450">
        <v>274360635.00099999</v>
      </c>
      <c r="E8" s="450">
        <v>207193378.29500002</v>
      </c>
      <c r="F8" s="450">
        <v>229428046.38</v>
      </c>
      <c r="G8" s="450">
        <v>169631983.23899999</v>
      </c>
      <c r="H8" s="450">
        <v>168765600.24200001</v>
      </c>
      <c r="I8" s="450">
        <v>147189238.35699999</v>
      </c>
      <c r="J8" s="450">
        <v>194257187.32800001</v>
      </c>
      <c r="K8" s="450">
        <v>178597371.602</v>
      </c>
      <c r="L8" s="450">
        <v>154091917.74200001</v>
      </c>
      <c r="M8" s="450">
        <v>172757206.697</v>
      </c>
      <c r="N8" s="450">
        <v>218913345.961</v>
      </c>
      <c r="O8" s="450">
        <v>280299613.98699999</v>
      </c>
      <c r="P8" s="442">
        <f t="shared" ref="P8:P13" si="0">SUM(D8:O8)</f>
        <v>2395485524.8310003</v>
      </c>
      <c r="R8" s="448">
        <v>2395485524.8310003</v>
      </c>
      <c r="S8" s="452">
        <f>P8-R8</f>
        <v>0</v>
      </c>
      <c r="T8" s="448">
        <v>2619517</v>
      </c>
      <c r="V8" s="448">
        <v>232554</v>
      </c>
    </row>
    <row r="9" spans="1:22">
      <c r="A9" s="437"/>
      <c r="B9" s="437" t="s">
        <v>2546</v>
      </c>
      <c r="C9" s="437"/>
      <c r="D9" s="450">
        <v>59352723.123000003</v>
      </c>
      <c r="E9" s="450">
        <v>54231250.487000003</v>
      </c>
      <c r="F9" s="450">
        <v>53715552.423999995</v>
      </c>
      <c r="G9" s="450">
        <v>47955251.848000005</v>
      </c>
      <c r="H9" s="450">
        <v>47548783.745000005</v>
      </c>
      <c r="I9" s="450">
        <v>45995348.461000003</v>
      </c>
      <c r="J9" s="450">
        <v>53148621.067000002</v>
      </c>
      <c r="K9" s="450">
        <v>50915294.408000007</v>
      </c>
      <c r="L9" s="450">
        <v>45893651.038999997</v>
      </c>
      <c r="M9" s="450">
        <v>50369033.420999996</v>
      </c>
      <c r="N9" s="450">
        <v>52595857.002999999</v>
      </c>
      <c r="O9" s="450">
        <v>60176786.509999998</v>
      </c>
      <c r="P9" s="442">
        <f t="shared" si="0"/>
        <v>621898153.53600001</v>
      </c>
      <c r="R9" s="448">
        <v>621898153.53599989</v>
      </c>
      <c r="S9" s="452">
        <f t="shared" ref="S9:S14" si="1">P9-R9</f>
        <v>0</v>
      </c>
      <c r="T9" s="448">
        <v>391801</v>
      </c>
      <c r="V9" s="448">
        <v>77796</v>
      </c>
    </row>
    <row r="10" spans="1:22" s="441" customFormat="1">
      <c r="A10" s="437"/>
      <c r="B10" s="437" t="s">
        <v>2547</v>
      </c>
      <c r="C10" s="437"/>
      <c r="D10" s="450">
        <v>116124000.625</v>
      </c>
      <c r="E10" s="450">
        <v>110604753.15000001</v>
      </c>
      <c r="F10" s="450">
        <v>107582425.82800001</v>
      </c>
      <c r="G10" s="450">
        <v>108869509.67399999</v>
      </c>
      <c r="H10" s="450">
        <v>113950738.802</v>
      </c>
      <c r="I10" s="450">
        <v>114893358.513</v>
      </c>
      <c r="J10" s="450">
        <v>124562708.57000001</v>
      </c>
      <c r="K10" s="450">
        <v>116483270.582</v>
      </c>
      <c r="L10" s="450">
        <v>105127678.24399999</v>
      </c>
      <c r="M10" s="450">
        <v>128571424.59299999</v>
      </c>
      <c r="N10" s="450">
        <v>107626919.42200001</v>
      </c>
      <c r="O10" s="450">
        <v>115173338.25399999</v>
      </c>
      <c r="P10" s="442">
        <f t="shared" si="0"/>
        <v>1369570126.257</v>
      </c>
      <c r="R10" s="453">
        <v>1369570126.257</v>
      </c>
      <c r="S10" s="452">
        <f t="shared" si="1"/>
        <v>0</v>
      </c>
      <c r="T10" s="457">
        <v>22941</v>
      </c>
      <c r="V10" s="448">
        <v>133266</v>
      </c>
    </row>
    <row r="11" spans="1:22">
      <c r="A11" s="437"/>
      <c r="B11" s="437" t="s">
        <v>2548</v>
      </c>
      <c r="C11" s="437"/>
      <c r="D11" s="450">
        <v>91254361.87000002</v>
      </c>
      <c r="E11" s="450">
        <v>85256588.479999989</v>
      </c>
      <c r="F11" s="450">
        <v>90115026.299999982</v>
      </c>
      <c r="G11" s="450">
        <v>81790111.899999991</v>
      </c>
      <c r="H11" s="450">
        <v>92286223.400000006</v>
      </c>
      <c r="I11" s="450">
        <v>90662369.600000024</v>
      </c>
      <c r="J11" s="450">
        <v>96315787.589999989</v>
      </c>
      <c r="K11" s="450">
        <v>98229503.840999976</v>
      </c>
      <c r="L11" s="450">
        <v>91866248.393999994</v>
      </c>
      <c r="M11" s="450">
        <v>93890910.769999996</v>
      </c>
      <c r="N11" s="450">
        <v>82979731.170000002</v>
      </c>
      <c r="O11" s="450">
        <v>91254718</v>
      </c>
      <c r="P11" s="442">
        <f t="shared" si="0"/>
        <v>1085901581.3150001</v>
      </c>
      <c r="R11" s="448">
        <v>1085901581.3150001</v>
      </c>
      <c r="S11" s="452">
        <f t="shared" si="1"/>
        <v>0</v>
      </c>
      <c r="T11" s="448">
        <v>276</v>
      </c>
      <c r="V11" s="448">
        <v>69248</v>
      </c>
    </row>
    <row r="12" spans="1:22">
      <c r="A12" s="437"/>
      <c r="B12" s="437" t="s">
        <v>2549</v>
      </c>
      <c r="C12" s="437"/>
      <c r="D12" s="450">
        <v>4340244.5839999998</v>
      </c>
      <c r="E12" s="450">
        <v>4244972.1950000003</v>
      </c>
      <c r="F12" s="450">
        <v>4022821.9869999997</v>
      </c>
      <c r="G12" s="450">
        <v>4817232.58</v>
      </c>
      <c r="H12" s="450">
        <v>13137489.261</v>
      </c>
      <c r="I12" s="450">
        <v>20691277.465999998</v>
      </c>
      <c r="J12" s="450">
        <v>25293030.862</v>
      </c>
      <c r="K12" s="450">
        <v>26711194.523000002</v>
      </c>
      <c r="L12" s="450">
        <v>22077426.968999997</v>
      </c>
      <c r="M12" s="450">
        <v>7942711.0830000006</v>
      </c>
      <c r="N12" s="450">
        <v>2368275.1040000003</v>
      </c>
      <c r="O12" s="450">
        <v>3976376.4280000003</v>
      </c>
      <c r="P12" s="442">
        <f t="shared" si="0"/>
        <v>139623053.042</v>
      </c>
      <c r="R12" s="448">
        <v>139623053.042</v>
      </c>
      <c r="S12" s="452">
        <f t="shared" si="1"/>
        <v>0</v>
      </c>
      <c r="T12" s="448">
        <v>29492</v>
      </c>
      <c r="V12" s="448">
        <v>12229</v>
      </c>
    </row>
    <row r="13" spans="1:22">
      <c r="A13" s="437"/>
      <c r="B13" s="437" t="s">
        <v>2454</v>
      </c>
      <c r="C13" s="437"/>
      <c r="D13" s="450">
        <v>1588090.1563400002</v>
      </c>
      <c r="E13" s="450">
        <v>1465578.93729</v>
      </c>
      <c r="F13" s="450">
        <v>1457300.8660000002</v>
      </c>
      <c r="G13" s="450">
        <v>1504467.78492</v>
      </c>
      <c r="H13" s="450">
        <v>1481576.6810000001</v>
      </c>
      <c r="I13" s="450">
        <v>1502970.93799</v>
      </c>
      <c r="J13" s="450">
        <v>1517745.8740000001</v>
      </c>
      <c r="K13" s="450">
        <v>1485522.635</v>
      </c>
      <c r="L13" s="450">
        <v>1534874.4569999999</v>
      </c>
      <c r="M13" s="450">
        <v>1490310.2049999998</v>
      </c>
      <c r="N13" s="450">
        <v>1428253.1512200001</v>
      </c>
      <c r="O13" s="450">
        <v>1505231.9742100001</v>
      </c>
      <c r="P13" s="442">
        <f t="shared" si="0"/>
        <v>17961923.65997</v>
      </c>
      <c r="R13" s="448">
        <v>17961923.65997</v>
      </c>
      <c r="S13" s="452">
        <f t="shared" si="1"/>
        <v>0</v>
      </c>
      <c r="T13" s="448">
        <v>5283</v>
      </c>
      <c r="V13" s="448">
        <v>6629</v>
      </c>
    </row>
    <row r="14" spans="1:22">
      <c r="A14" s="437" t="s">
        <v>2550</v>
      </c>
      <c r="B14" s="437"/>
      <c r="C14" s="437"/>
      <c r="D14" s="443">
        <f t="shared" ref="D14:P14" si="2">SUM(D8:D13)</f>
        <v>547020055.35934007</v>
      </c>
      <c r="E14" s="443">
        <f t="shared" si="2"/>
        <v>462996521.54429007</v>
      </c>
      <c r="F14" s="443">
        <f t="shared" si="2"/>
        <v>486321173.78500003</v>
      </c>
      <c r="G14" s="443">
        <f t="shared" si="2"/>
        <v>414568557.02591997</v>
      </c>
      <c r="H14" s="443">
        <f t="shared" si="2"/>
        <v>437170412.13099998</v>
      </c>
      <c r="I14" s="443">
        <f t="shared" si="2"/>
        <v>420934563.33499002</v>
      </c>
      <c r="J14" s="443">
        <f t="shared" si="2"/>
        <v>495095081.29100001</v>
      </c>
      <c r="K14" s="443">
        <f t="shared" si="2"/>
        <v>472422157.59099996</v>
      </c>
      <c r="L14" s="443">
        <f t="shared" si="2"/>
        <v>420591796.84499997</v>
      </c>
      <c r="M14" s="443">
        <f t="shared" si="2"/>
        <v>455021596.76899993</v>
      </c>
      <c r="N14" s="443">
        <f t="shared" si="2"/>
        <v>465912381.81121999</v>
      </c>
      <c r="O14" s="443">
        <f t="shared" si="2"/>
        <v>552386065.15320992</v>
      </c>
      <c r="P14" s="443">
        <f t="shared" si="2"/>
        <v>5630440362.6409712</v>
      </c>
      <c r="R14" s="449">
        <f>SUM(R8:R13)</f>
        <v>5630440362.6409712</v>
      </c>
      <c r="S14" s="452">
        <f t="shared" si="1"/>
        <v>0</v>
      </c>
      <c r="T14" s="449">
        <f>SUM(T8:T13)</f>
        <v>3069310</v>
      </c>
      <c r="V14" s="449">
        <f>SUM(V8:V13)</f>
        <v>531722</v>
      </c>
    </row>
    <row r="15" spans="1:22">
      <c r="A15" s="437"/>
      <c r="B15" s="437"/>
      <c r="C15" s="437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</row>
    <row r="16" spans="1:22">
      <c r="A16" s="437"/>
      <c r="B16" s="436" t="s">
        <v>2551</v>
      </c>
      <c r="C16" s="437"/>
      <c r="D16" s="445">
        <f>ROUND(D14/$P$14,3)</f>
        <v>9.7000000000000003E-2</v>
      </c>
      <c r="E16" s="445">
        <f t="shared" ref="E16:O16" si="3">ROUND(E14/$P$14,3)</f>
        <v>8.2000000000000003E-2</v>
      </c>
      <c r="F16" s="445">
        <f t="shared" si="3"/>
        <v>8.5999999999999993E-2</v>
      </c>
      <c r="G16" s="445">
        <f>ROUND(G14/$P$14,3)-0.001</f>
        <v>7.2999999999999995E-2</v>
      </c>
      <c r="H16" s="445">
        <f t="shared" si="3"/>
        <v>7.8E-2</v>
      </c>
      <c r="I16" s="445">
        <f t="shared" si="3"/>
        <v>7.4999999999999997E-2</v>
      </c>
      <c r="J16" s="445">
        <f t="shared" si="3"/>
        <v>8.7999999999999995E-2</v>
      </c>
      <c r="K16" s="445">
        <f t="shared" si="3"/>
        <v>8.4000000000000005E-2</v>
      </c>
      <c r="L16" s="445">
        <f t="shared" si="3"/>
        <v>7.4999999999999997E-2</v>
      </c>
      <c r="M16" s="445">
        <f t="shared" si="3"/>
        <v>8.1000000000000003E-2</v>
      </c>
      <c r="N16" s="445">
        <f t="shared" si="3"/>
        <v>8.3000000000000004E-2</v>
      </c>
      <c r="O16" s="445">
        <f t="shared" si="3"/>
        <v>9.8000000000000004E-2</v>
      </c>
      <c r="P16" s="445">
        <f>SUM(D16:O16)</f>
        <v>0.99999999999999989</v>
      </c>
    </row>
    <row r="17" spans="1:16">
      <c r="A17" s="437"/>
      <c r="B17" s="437"/>
      <c r="C17" s="437"/>
      <c r="D17" s="437"/>
      <c r="E17" s="437"/>
      <c r="F17" s="437"/>
      <c r="G17" s="454"/>
      <c r="H17" s="454"/>
      <c r="I17" s="437"/>
      <c r="J17" s="437"/>
      <c r="K17" s="437"/>
      <c r="L17" s="437"/>
      <c r="M17" s="437"/>
      <c r="N17" s="437"/>
      <c r="O17" s="437"/>
      <c r="P17" s="437"/>
    </row>
    <row r="18" spans="1:16">
      <c r="A18" s="438" t="s">
        <v>2552</v>
      </c>
      <c r="C18" s="446" t="s">
        <v>2553</v>
      </c>
    </row>
    <row r="19" spans="1:16">
      <c r="B19" s="437" t="s">
        <v>2554</v>
      </c>
      <c r="C19" s="447">
        <f>Loss_Sec</f>
        <v>5.6000000000000001E-2</v>
      </c>
      <c r="D19" s="448">
        <f>D8*(1+$C19)</f>
        <v>289724830.56105602</v>
      </c>
      <c r="E19" s="448">
        <f t="shared" ref="E19:O20" si="4">E8*(1+$C19)</f>
        <v>218796207.47952002</v>
      </c>
      <c r="F19" s="448">
        <f t="shared" si="4"/>
        <v>242276016.97728002</v>
      </c>
      <c r="G19" s="448">
        <f t="shared" si="4"/>
        <v>179131374.30038401</v>
      </c>
      <c r="H19" s="448">
        <f t="shared" si="4"/>
        <v>178216473.85555202</v>
      </c>
      <c r="I19" s="448">
        <f t="shared" si="4"/>
        <v>155431835.704992</v>
      </c>
      <c r="J19" s="448">
        <f t="shared" si="4"/>
        <v>205135589.81836802</v>
      </c>
      <c r="K19" s="448">
        <f t="shared" si="4"/>
        <v>188598824.41171202</v>
      </c>
      <c r="L19" s="448">
        <f t="shared" si="4"/>
        <v>162721065.13555202</v>
      </c>
      <c r="M19" s="448">
        <f t="shared" si="4"/>
        <v>182431610.27203199</v>
      </c>
      <c r="N19" s="448">
        <f t="shared" si="4"/>
        <v>231172493.33481601</v>
      </c>
      <c r="O19" s="448">
        <f t="shared" si="4"/>
        <v>295996392.37027198</v>
      </c>
      <c r="P19" s="442">
        <f>SUM(D19:O19)</f>
        <v>2529632714.2215362</v>
      </c>
    </row>
    <row r="20" spans="1:16">
      <c r="B20" s="437" t="s">
        <v>2555</v>
      </c>
      <c r="C20" s="447">
        <f>Loss_Sec</f>
        <v>5.6000000000000001E-2</v>
      </c>
      <c r="D20" s="448">
        <f>D9*(1+$C20)</f>
        <v>62676475.617888004</v>
      </c>
      <c r="E20" s="448">
        <f t="shared" si="4"/>
        <v>57268200.514272004</v>
      </c>
      <c r="F20" s="448">
        <f t="shared" si="4"/>
        <v>56723623.359743997</v>
      </c>
      <c r="G20" s="448">
        <f t="shared" si="4"/>
        <v>50640745.951488011</v>
      </c>
      <c r="H20" s="448">
        <f t="shared" si="4"/>
        <v>50211515.634720005</v>
      </c>
      <c r="I20" s="448">
        <f t="shared" si="4"/>
        <v>48571087.974816002</v>
      </c>
      <c r="J20" s="448">
        <f t="shared" si="4"/>
        <v>56124943.846752003</v>
      </c>
      <c r="K20" s="448">
        <f t="shared" si="4"/>
        <v>53766550.894848011</v>
      </c>
      <c r="L20" s="448">
        <f t="shared" si="4"/>
        <v>48463695.497184001</v>
      </c>
      <c r="M20" s="448">
        <f t="shared" si="4"/>
        <v>53189699.292576</v>
      </c>
      <c r="N20" s="448">
        <f t="shared" si="4"/>
        <v>55541224.995168</v>
      </c>
      <c r="O20" s="448">
        <f t="shared" si="4"/>
        <v>63546686.554559998</v>
      </c>
      <c r="P20" s="442">
        <f t="shared" ref="P20:P27" si="5">SUM(D20:O20)</f>
        <v>656724450.13401592</v>
      </c>
    </row>
    <row r="21" spans="1:16">
      <c r="B21" s="437" t="s">
        <v>2556</v>
      </c>
      <c r="C21" s="447">
        <f>Loss_Sec</f>
        <v>5.6000000000000001E-2</v>
      </c>
      <c r="D21" s="448">
        <f>(D10-'12.2019 WA Usage'!C114)*(1+$C21)</f>
        <v>113267385.06864001</v>
      </c>
      <c r="E21" s="448">
        <f>(E10-'12.2019 WA Usage'!D114)*(1+$C21)</f>
        <v>108597026.23968001</v>
      </c>
      <c r="F21" s="448">
        <f>(F10-'12.2019 WA Usage'!E114)*(1+$C21)</f>
        <v>104152301.24428801</v>
      </c>
      <c r="G21" s="448">
        <f>(G10-'12.2019 WA Usage'!F114)*(1+$C21)</f>
        <v>106199582.579904</v>
      </c>
      <c r="H21" s="448">
        <f>(H10-'12.2019 WA Usage'!G114)*(1+$C21)</f>
        <v>111365362.270272</v>
      </c>
      <c r="I21" s="448">
        <f>(I10-'12.2019 WA Usage'!H114)*(1+$C21)</f>
        <v>112073787.442848</v>
      </c>
      <c r="J21" s="448">
        <f>(J10-'12.2019 WA Usage'!I114)*(1+$C21)</f>
        <v>122320777.82496002</v>
      </c>
      <c r="K21" s="448">
        <f>(K10-'12.2019 WA Usage'!J114)*(1+$C21)</f>
        <v>113304370.800192</v>
      </c>
      <c r="L21" s="448">
        <f>(L10-'12.2019 WA Usage'!K114)*(1+$C21)</f>
        <v>100955837.42534399</v>
      </c>
      <c r="M21" s="448">
        <f>(M10-'12.2019 WA Usage'!L114)*(1+$C21)</f>
        <v>126908213.290848</v>
      </c>
      <c r="N21" s="448">
        <f>(N10-'12.2019 WA Usage'!M114)*(1+$C21)</f>
        <v>104290503.58003202</v>
      </c>
      <c r="O21" s="448">
        <f>(O10-'12.2019 WA Usage'!N114)*(1+$C21)</f>
        <v>112020539.868864</v>
      </c>
      <c r="P21" s="442">
        <f t="shared" si="5"/>
        <v>1335455687.6358721</v>
      </c>
    </row>
    <row r="22" spans="1:16">
      <c r="B22" s="437" t="s">
        <v>2557</v>
      </c>
      <c r="C22" s="447">
        <f>Loss_Prim</f>
        <v>4.2999999999999997E-2</v>
      </c>
      <c r="D22" s="448">
        <f>'12.2019 WA Usage'!C114*(1+$C22)</f>
        <v>9244337.7403299995</v>
      </c>
      <c r="E22" s="448">
        <f>'12.2019 WA Usage'!D114*(1+$C22)</f>
        <v>8100626.5051599992</v>
      </c>
      <c r="F22" s="448">
        <f>'12.2019 WA Usage'!E114*(1+$C22)</f>
        <v>9338346.8452399988</v>
      </c>
      <c r="G22" s="448">
        <f>'12.2019 WA Usage'!F114*(1+$C22)</f>
        <v>8658697.2350199986</v>
      </c>
      <c r="H22" s="448">
        <f>'12.2019 WA Usage'!G114*(1+$C22)</f>
        <v>8856233.4039199986</v>
      </c>
      <c r="I22" s="448">
        <f>'12.2019 WA Usage'!H114*(1+$C22)</f>
        <v>9139681.7331399992</v>
      </c>
      <c r="J22" s="448">
        <f>'12.2019 WA Usage'!I114*(1+$C22)</f>
        <v>9103970.1223799996</v>
      </c>
      <c r="K22" s="448">
        <f>'12.2019 WA Usage'!J114*(1+$C22)</f>
        <v>9582525.8906999994</v>
      </c>
      <c r="L22" s="448">
        <f>'12.2019 WA Usage'!K114*(1+$C22)</f>
        <v>9935158.5272099972</v>
      </c>
      <c r="M22" s="448">
        <f>'12.2019 WA Usage'!L114*(1+$C22)</f>
        <v>8754099.5793299973</v>
      </c>
      <c r="N22" s="448">
        <f>'12.2019 WA Usage'!M114*(1+$C22)</f>
        <v>9248252.6825499963</v>
      </c>
      <c r="O22" s="448">
        <f>'12.2019 WA Usage'!N114*(1+$C22)</f>
        <v>9484292.66708</v>
      </c>
      <c r="P22" s="442">
        <f t="shared" si="5"/>
        <v>109446222.93205997</v>
      </c>
    </row>
    <row r="23" spans="1:16">
      <c r="B23" s="437" t="s">
        <v>2558</v>
      </c>
      <c r="C23" s="447">
        <f>Loss_Transm</f>
        <v>0.03</v>
      </c>
      <c r="D23" s="448">
        <f>('WA Sch 25 (12.2019)'!D98+'WA Sch 25 (12.2019)'!D100)*(1+$C23)</f>
        <v>35866074.960000001</v>
      </c>
      <c r="E23" s="448">
        <f>('WA Sch 25 (12.2019)'!E98+'WA Sch 25 (12.2019)'!E100)*(1+$C23)</f>
        <v>34809554.520000003</v>
      </c>
      <c r="F23" s="448">
        <f>('WA Sch 25 (12.2019)'!F98+'WA Sch 25 (12.2019)'!F100)*(1+$C23)</f>
        <v>35041749.480000004</v>
      </c>
      <c r="G23" s="448">
        <f>('WA Sch 25 (12.2019)'!G98+'WA Sch 25 (12.2019)'!G100)*(1+$C23)</f>
        <v>34111115.640000001</v>
      </c>
      <c r="H23" s="448">
        <f>('WA Sch 25 (12.2019)'!H98+'WA Sch 25 (12.2019)'!H100)*(1+$C23)</f>
        <v>38559417.840000004</v>
      </c>
      <c r="I23" s="448">
        <f>('WA Sch 25 (12.2019)'!I98+'WA Sch 25 (12.2019)'!I100)*(1+$C23)</f>
        <v>37443643.560000002</v>
      </c>
      <c r="J23" s="448">
        <f>('WA Sch 25 (12.2019)'!J98+'WA Sch 25 (12.2019)'!J100)*(1+$C23)</f>
        <v>40240439.640000001</v>
      </c>
      <c r="K23" s="448">
        <f>('WA Sch 25 (12.2019)'!K98+'WA Sch 25 (12.2019)'!K100)*(1+$C23)</f>
        <v>40231169.640000001</v>
      </c>
      <c r="L23" s="448">
        <f>('WA Sch 25 (12.2019)'!L98+'WA Sch 25 (12.2019)'!L100)*(1+$C23)</f>
        <v>38515589.280000001</v>
      </c>
      <c r="M23" s="448">
        <f>('WA Sch 25 (12.2019)'!M98+'WA Sch 25 (12.2019)'!M100)*(1+$C23)</f>
        <v>40545719.280000001</v>
      </c>
      <c r="N23" s="448">
        <f>('WA Sch 25 (12.2019)'!N98+'WA Sch 25 (12.2019)'!N100)*(1+$C23)</f>
        <v>32995600.920000002</v>
      </c>
      <c r="O23" s="448">
        <f>('WA Sch 25 (12.2019)'!O98+'WA Sch 25 (12.2019)'!O100)*(1+$C23)</f>
        <v>40612092.480000004</v>
      </c>
      <c r="P23" s="442">
        <f t="shared" si="5"/>
        <v>448972167.24000007</v>
      </c>
    </row>
    <row r="24" spans="1:16">
      <c r="B24" s="437" t="s">
        <v>2559</v>
      </c>
      <c r="C24" s="447">
        <f>Loss_Prim</f>
        <v>4.2999999999999997E-2</v>
      </c>
      <c r="D24" s="448">
        <f>(D11-'WA Sch 25 (12.2019)'!D12-SUM('WA Sch 25 (12.2019)'!D23:D25))*(1+$C24)</f>
        <v>51047996.520010017</v>
      </c>
      <c r="E24" s="448">
        <f>(E11-'WA Sch 25 (12.2019)'!E12-SUM('WA Sch 25 (12.2019)'!E23:E25))*(1+$C24)</f>
        <v>46201466.11023999</v>
      </c>
      <c r="F24" s="448">
        <f>(F11-'WA Sch 25 (12.2019)'!F12-SUM('WA Sch 25 (12.2019)'!F23:F25))*(1+$C24)</f>
        <v>50915833.432099976</v>
      </c>
      <c r="G24" s="448">
        <f>(G11-'WA Sch 25 (12.2019)'!G12-SUM('WA Sch 25 (12.2019)'!G23:G25))*(1+$C24)</f>
        <v>43521837.466099985</v>
      </c>
      <c r="H24" s="448">
        <f>(H11-'WA Sch 25 (12.2019)'!H12-SUM('WA Sch 25 (12.2019)'!H23:H25))*(1+$C24)</f>
        <v>49944600.489000008</v>
      </c>
      <c r="I24" s="448">
        <f>(I11-'WA Sch 25 (12.2019)'!I12-SUM('WA Sch 25 (12.2019)'!I23:I25))*(1+$C24)</f>
        <v>49231498.26000002</v>
      </c>
      <c r="J24" s="448">
        <f>(J11-'WA Sch 25 (12.2019)'!J12-SUM('WA Sch 25 (12.2019)'!J23:J25))*(1+$C24)</f>
        <v>51735184.287569985</v>
      </c>
      <c r="K24" s="448">
        <f>(K11-'WA Sch 25 (12.2019)'!K12-SUM('WA Sch 25 (12.2019)'!K23:K25))*(1+$C24)</f>
        <v>53085209.121762976</v>
      </c>
      <c r="L24" s="448">
        <f>(L11-'WA Sch 25 (12.2019)'!L12-SUM('WA Sch 25 (12.2019)'!L23:L25))*(1+$C24)</f>
        <v>49007616.217741989</v>
      </c>
      <c r="M24" s="448">
        <f>(M11-'WA Sch 25 (12.2019)'!M12-SUM('WA Sch 25 (12.2019)'!M23:M25))*(1+$C24)</f>
        <v>47551698.750709996</v>
      </c>
      <c r="N24" s="448">
        <f>(N11-'WA Sch 25 (12.2019)'!N12-SUM('WA Sch 25 (12.2019)'!N23:N25))*(1+$C24)</f>
        <v>43678351.370709993</v>
      </c>
      <c r="O24" s="448">
        <f>(O11-'WA Sch 25 (12.2019)'!O12-SUM('WA Sch 25 (12.2019)'!O23:O25))*(1+$C24)</f>
        <v>44824634.685599998</v>
      </c>
      <c r="P24" s="442">
        <f t="shared" si="5"/>
        <v>580745926.71154499</v>
      </c>
    </row>
    <row r="25" spans="1:16">
      <c r="B25" s="437" t="s">
        <v>2560</v>
      </c>
      <c r="C25" s="447">
        <f>Loss_Sec</f>
        <v>5.6000000000000001E-2</v>
      </c>
      <c r="D25" s="448">
        <f>('WA Sch 25 (12.2019)'!D23+'WA Sch 25 (12.2019)'!D24+'WA Sch 25 (12.2019)'!D25+'WA Sch 25 (12.2019)'!D99)*(1+$C25)</f>
        <v>7908912.844800001</v>
      </c>
      <c r="E25" s="448">
        <f>('WA Sch 25 (12.2019)'!E23+'WA Sch 25 (12.2019)'!E24+'WA Sch 25 (12.2019)'!E25+'WA Sch 25 (12.2019)'!E99)*(1+$C25)</f>
        <v>7565391.8207999999</v>
      </c>
      <c r="F25" s="448">
        <f>('WA Sch 25 (12.2019)'!F23+'WA Sch 25 (12.2019)'!F24+'WA Sch 25 (12.2019)'!F25+'WA Sch 25 (12.2019)'!F99)*(1+$C25)</f>
        <v>7684718.5536000002</v>
      </c>
      <c r="G25" s="448">
        <f>('WA Sch 25 (12.2019)'!G23+'WA Sch 25 (12.2019)'!G24+'WA Sch 25 (12.2019)'!G25+'WA Sch 25 (12.2019)'!G99)*(1+$C25)</f>
        <v>7333889.5872</v>
      </c>
      <c r="H25" s="448">
        <f>('WA Sch 25 (12.2019)'!H23+'WA Sch 25 (12.2019)'!H24+'WA Sch 25 (12.2019)'!H25+'WA Sch 25 (12.2019)'!H99)*(1+$C25)</f>
        <v>7354377.2544000009</v>
      </c>
      <c r="I25" s="448">
        <f>('WA Sch 25 (12.2019)'!I23+'WA Sch 25 (12.2019)'!I24+'WA Sch 25 (12.2019)'!I25+'WA Sch 25 (12.2019)'!I99)*(1+$C25)</f>
        <v>7505517.4656000007</v>
      </c>
      <c r="J25" s="448">
        <f>('WA Sch 25 (12.2019)'!J23+'WA Sch 25 (12.2019)'!J24+'WA Sch 25 (12.2019)'!J25+'WA Sch 25 (12.2019)'!J99)*(1+$C25)</f>
        <v>8073239.9616</v>
      </c>
      <c r="K25" s="448">
        <f>('WA Sch 25 (12.2019)'!K23+'WA Sch 25 (12.2019)'!K24+'WA Sch 25 (12.2019)'!K25+'WA Sch 25 (12.2019)'!K99)*(1+$C25)</f>
        <v>8736776.7168000005</v>
      </c>
      <c r="L25" s="448">
        <f>('WA Sch 25 (12.2019)'!L23+'WA Sch 25 (12.2019)'!L24+'WA Sch 25 (12.2019)'!L25+'WA Sch 25 (12.2019)'!L99)*(1+$C25)</f>
        <v>7904481.4464000007</v>
      </c>
      <c r="M25" s="448">
        <f>('WA Sch 25 (12.2019)'!M23+'WA Sch 25 (12.2019)'!M24+'WA Sch 25 (12.2019)'!M25+'WA Sch 25 (12.2019)'!M99)*(1+$C25)</f>
        <v>9435213.0048000012</v>
      </c>
      <c r="N25" s="448">
        <f>('WA Sch 25 (12.2019)'!N23+'WA Sch 25 (12.2019)'!N24+'WA Sch 25 (12.2019)'!N25+'WA Sch 25 (12.2019)'!N99)*(1+$C25)</f>
        <v>9575336.1791999992</v>
      </c>
      <c r="O25" s="448">
        <f>('WA Sch 25 (12.2019)'!O23+'WA Sch 25 (12.2019)'!O24+'WA Sch 25 (12.2019)'!O25+'WA Sch 25 (12.2019)'!O99)*(1+$C25)</f>
        <v>9344399.1168000009</v>
      </c>
      <c r="P25" s="442">
        <f t="shared" si="5"/>
        <v>98422253.951999992</v>
      </c>
    </row>
    <row r="26" spans="1:16">
      <c r="B26" s="437" t="s">
        <v>2561</v>
      </c>
      <c r="C26" s="447">
        <f>Loss_Sec</f>
        <v>5.6000000000000001E-2</v>
      </c>
      <c r="D26" s="448">
        <f>D12*(1+$C26)</f>
        <v>4583298.280704</v>
      </c>
      <c r="E26" s="448">
        <f t="shared" ref="E26:O27" si="6">E12*(1+$C26)</f>
        <v>4482690.6379200006</v>
      </c>
      <c r="F26" s="448">
        <f t="shared" si="6"/>
        <v>4248100.0182720004</v>
      </c>
      <c r="G26" s="448">
        <f t="shared" si="6"/>
        <v>5086997.6044800002</v>
      </c>
      <c r="H26" s="448">
        <f t="shared" si="6"/>
        <v>13873188.659616001</v>
      </c>
      <c r="I26" s="448">
        <f t="shared" si="6"/>
        <v>21849989.004095998</v>
      </c>
      <c r="J26" s="448">
        <f t="shared" si="6"/>
        <v>26709440.590272002</v>
      </c>
      <c r="K26" s="448">
        <f t="shared" si="6"/>
        <v>28207021.416288003</v>
      </c>
      <c r="L26" s="448">
        <f t="shared" si="6"/>
        <v>23313762.879263997</v>
      </c>
      <c r="M26" s="448">
        <f t="shared" si="6"/>
        <v>8387502.9036480011</v>
      </c>
      <c r="N26" s="448">
        <f t="shared" si="6"/>
        <v>2500898.5098240003</v>
      </c>
      <c r="O26" s="448">
        <f t="shared" si="6"/>
        <v>4199053.5079680001</v>
      </c>
      <c r="P26" s="442">
        <f t="shared" si="5"/>
        <v>147441944.01235202</v>
      </c>
    </row>
    <row r="27" spans="1:16">
      <c r="B27" s="437" t="s">
        <v>2562</v>
      </c>
      <c r="C27" s="447">
        <f>Loss_Sec</f>
        <v>5.6000000000000001E-2</v>
      </c>
      <c r="D27" s="448">
        <f>D13*(1+$C27)</f>
        <v>1677023.2050950404</v>
      </c>
      <c r="E27" s="448">
        <f t="shared" si="6"/>
        <v>1547651.35777824</v>
      </c>
      <c r="F27" s="448">
        <f t="shared" si="6"/>
        <v>1538909.7144960002</v>
      </c>
      <c r="G27" s="448">
        <f t="shared" si="6"/>
        <v>1588717.98087552</v>
      </c>
      <c r="H27" s="448">
        <f t="shared" si="6"/>
        <v>1564544.9751360002</v>
      </c>
      <c r="I27" s="448">
        <f t="shared" si="6"/>
        <v>1587137.3105174401</v>
      </c>
      <c r="J27" s="448">
        <f t="shared" si="6"/>
        <v>1602739.6429440002</v>
      </c>
      <c r="K27" s="448">
        <f t="shared" si="6"/>
        <v>1568711.9025600001</v>
      </c>
      <c r="L27" s="448">
        <f t="shared" si="6"/>
        <v>1620827.4265920001</v>
      </c>
      <c r="M27" s="448">
        <f t="shared" si="6"/>
        <v>1573767.5764799998</v>
      </c>
      <c r="N27" s="448">
        <f t="shared" si="6"/>
        <v>1508235.3276883203</v>
      </c>
      <c r="O27" s="448">
        <f t="shared" si="6"/>
        <v>1589524.9647657601</v>
      </c>
      <c r="P27" s="442">
        <f t="shared" si="5"/>
        <v>18967791.384928323</v>
      </c>
    </row>
    <row r="28" spans="1:16">
      <c r="A28" s="438" t="s">
        <v>2563</v>
      </c>
      <c r="D28" s="449">
        <f>SUM(D19:D27)</f>
        <v>575996334.79852307</v>
      </c>
      <c r="E28" s="449">
        <f t="shared" ref="E28:P28" si="7">SUM(E19:E27)</f>
        <v>487368815.18537027</v>
      </c>
      <c r="F28" s="449">
        <f t="shared" si="7"/>
        <v>511919599.62502009</v>
      </c>
      <c r="G28" s="449">
        <f t="shared" si="7"/>
        <v>436272958.34545147</v>
      </c>
      <c r="H28" s="449">
        <f t="shared" si="7"/>
        <v>459945714.38261604</v>
      </c>
      <c r="I28" s="449">
        <f t="shared" si="7"/>
        <v>442834178.45600945</v>
      </c>
      <c r="J28" s="449">
        <f t="shared" si="7"/>
        <v>521046325.734846</v>
      </c>
      <c r="K28" s="449">
        <f t="shared" si="7"/>
        <v>497081160.79486299</v>
      </c>
      <c r="L28" s="449">
        <f t="shared" si="7"/>
        <v>442438033.83528799</v>
      </c>
      <c r="M28" s="449">
        <f t="shared" si="7"/>
        <v>478777523.95042396</v>
      </c>
      <c r="N28" s="449">
        <f t="shared" si="7"/>
        <v>490510896.89998841</v>
      </c>
      <c r="O28" s="449">
        <f t="shared" si="7"/>
        <v>581617616.21590972</v>
      </c>
      <c r="P28" s="449">
        <f t="shared" si="7"/>
        <v>5925809158.2243099</v>
      </c>
    </row>
  </sheetData>
  <printOptions horizontalCentered="1" verticalCentered="1"/>
  <pageMargins left="0.45" right="0.45" top="0.64" bottom="0.67" header="0.45" footer="0.5"/>
  <pageSetup scale="59" fitToHeight="4" orientation="landscape" r:id="rId1"/>
  <headerFooter scaleWithDoc="0">
    <oddFooter>&amp;Lfile: &amp;F / 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  <pageSetUpPr fitToPage="1"/>
  </sheetPr>
  <dimension ref="A1:P80"/>
  <sheetViews>
    <sheetView workbookViewId="0"/>
  </sheetViews>
  <sheetFormatPr defaultColWidth="10.6640625" defaultRowHeight="12.75"/>
  <cols>
    <col min="1" max="1" width="24" style="6" customWidth="1"/>
    <col min="2" max="2" width="21.83203125" style="6" customWidth="1"/>
    <col min="3" max="3" width="13.5" style="6" customWidth="1"/>
    <col min="4" max="4" width="13" style="6" customWidth="1"/>
    <col min="5" max="5" width="12.5" style="6" customWidth="1"/>
    <col min="6" max="6" width="12.33203125" style="6" customWidth="1"/>
    <col min="7" max="7" width="12.6640625" style="6" customWidth="1"/>
    <col min="8" max="8" width="12.83203125" style="6" customWidth="1"/>
    <col min="9" max="9" width="12.1640625" style="6" customWidth="1"/>
    <col min="10" max="12" width="12" style="6" customWidth="1"/>
    <col min="13" max="13" width="12.33203125" style="6" customWidth="1"/>
    <col min="14" max="14" width="12.83203125" style="6" customWidth="1"/>
    <col min="15" max="15" width="13" style="6" customWidth="1"/>
    <col min="16" max="16384" width="10.6640625" style="6"/>
  </cols>
  <sheetData>
    <row r="1" spans="1:16">
      <c r="A1" s="14"/>
      <c r="B1" s="14"/>
      <c r="C1" s="7"/>
      <c r="D1" s="42" t="s">
        <v>344</v>
      </c>
      <c r="E1" s="42" t="s">
        <v>345</v>
      </c>
      <c r="F1" s="42" t="s">
        <v>346</v>
      </c>
      <c r="G1" s="42" t="s">
        <v>347</v>
      </c>
      <c r="H1" s="42" t="s">
        <v>348</v>
      </c>
      <c r="I1" s="42" t="s">
        <v>349</v>
      </c>
      <c r="J1" s="42" t="s">
        <v>350</v>
      </c>
      <c r="K1" s="42" t="s">
        <v>351</v>
      </c>
      <c r="L1" s="42" t="s">
        <v>352</v>
      </c>
      <c r="M1" s="42" t="s">
        <v>353</v>
      </c>
      <c r="N1" s="42" t="s">
        <v>354</v>
      </c>
      <c r="O1" s="42" t="s">
        <v>355</v>
      </c>
    </row>
    <row r="2" spans="1:16">
      <c r="A2" s="14"/>
      <c r="B2" s="14"/>
      <c r="C2" s="7"/>
      <c r="D2" s="145">
        <f>'Peak Calc CP'!C70</f>
        <v>43480</v>
      </c>
      <c r="E2" s="145">
        <f>'Peak Calc CP'!D70</f>
        <v>43503</v>
      </c>
      <c r="F2" s="145">
        <f>'Peak Calc CP'!E70</f>
        <v>43525</v>
      </c>
      <c r="G2" s="145">
        <f>'Peak Calc CP'!F70</f>
        <v>43566</v>
      </c>
      <c r="H2" s="145">
        <f>'Peak Calc CP'!G70</f>
        <v>43615</v>
      </c>
      <c r="I2" s="145">
        <f>'Peak Calc CP'!H70</f>
        <v>43629</v>
      </c>
      <c r="J2" s="145">
        <f>'Peak Calc CP'!I70</f>
        <v>43669</v>
      </c>
      <c r="K2" s="145">
        <f>'Peak Calc CP'!J70</f>
        <v>43684</v>
      </c>
      <c r="L2" s="145">
        <f>'Peak Calc CP'!K70</f>
        <v>43712</v>
      </c>
      <c r="M2" s="36">
        <f>'Peak Calc CP'!L70</f>
        <v>43768</v>
      </c>
      <c r="N2" s="36">
        <f>'Peak Calc CP'!M70</f>
        <v>43770</v>
      </c>
      <c r="O2" s="36">
        <f>'Peak Calc CP'!N70</f>
        <v>43815</v>
      </c>
    </row>
    <row r="3" spans="1:16">
      <c r="A3" s="14"/>
      <c r="B3" s="14"/>
      <c r="C3" s="21"/>
      <c r="D3" s="146">
        <f>'Peak Calc CP'!C71</f>
        <v>43480</v>
      </c>
      <c r="E3" s="146">
        <f>'Peak Calc CP'!D71</f>
        <v>43503</v>
      </c>
      <c r="F3" s="146">
        <f>'Peak Calc CP'!E71</f>
        <v>43525</v>
      </c>
      <c r="G3" s="146">
        <f>'Peak Calc CP'!F71</f>
        <v>43566</v>
      </c>
      <c r="H3" s="146">
        <f>'Peak Calc CP'!G71</f>
        <v>43615</v>
      </c>
      <c r="I3" s="146">
        <f>'Peak Calc CP'!H71</f>
        <v>43629</v>
      </c>
      <c r="J3" s="146">
        <f>'Peak Calc CP'!I71</f>
        <v>43669</v>
      </c>
      <c r="K3" s="146">
        <f>'Peak Calc CP'!J71</f>
        <v>43684</v>
      </c>
      <c r="L3" s="146">
        <f>'Peak Calc CP'!K71</f>
        <v>43712</v>
      </c>
      <c r="M3" s="39">
        <f>'Peak Calc CP'!L71</f>
        <v>43768</v>
      </c>
      <c r="N3" s="39">
        <f>'Peak Calc CP'!M71</f>
        <v>43770</v>
      </c>
      <c r="O3" s="39">
        <f>'Peak Calc CP'!N71</f>
        <v>43815</v>
      </c>
    </row>
    <row r="4" spans="1:16">
      <c r="A4" s="14"/>
      <c r="B4" s="14"/>
      <c r="C4" s="14"/>
      <c r="D4" s="147">
        <f>'Peak Calc CP'!C72</f>
        <v>0.33333333333333331</v>
      </c>
      <c r="E4" s="147">
        <f>'Peak Calc CP'!D72</f>
        <v>0.33333333333333331</v>
      </c>
      <c r="F4" s="147">
        <f>'Peak Calc CP'!E72</f>
        <v>0.33333333333333331</v>
      </c>
      <c r="G4" s="147">
        <f>'Peak Calc CP'!F72</f>
        <v>0.33333333333333331</v>
      </c>
      <c r="H4" s="147">
        <f>'Peak Calc CP'!G72</f>
        <v>0.70833333333333337</v>
      </c>
      <c r="I4" s="147">
        <f>'Peak Calc CP'!H72</f>
        <v>0.66666666666666663</v>
      </c>
      <c r="J4" s="147">
        <f>'Peak Calc CP'!I72</f>
        <v>0.70833333333333337</v>
      </c>
      <c r="K4" s="147">
        <f>'Peak Calc CP'!J72</f>
        <v>0.70833333333333337</v>
      </c>
      <c r="L4" s="147">
        <f>'Peak Calc CP'!K72</f>
        <v>0.75</v>
      </c>
      <c r="M4" s="37">
        <f>'Peak Calc CP'!L72</f>
        <v>0.33333333333333331</v>
      </c>
      <c r="N4" s="37">
        <f>'Peak Calc CP'!M72</f>
        <v>0.33333333333333331</v>
      </c>
      <c r="O4" s="37">
        <f>'Peak Calc CP'!N72</f>
        <v>0.75</v>
      </c>
    </row>
    <row r="5" spans="1:16">
      <c r="A5" s="14"/>
      <c r="B5" s="14"/>
      <c r="C5" s="14" t="s">
        <v>157</v>
      </c>
      <c r="D5" s="24">
        <f>DAY(DATE(YEAR(D3),MONTH(D3)+1,0))</f>
        <v>31</v>
      </c>
      <c r="E5" s="24">
        <f t="shared" ref="E5:O5" si="0">DAY(DATE(YEAR(E3),MONTH(E3)+1,0))</f>
        <v>28</v>
      </c>
      <c r="F5" s="24">
        <f t="shared" si="0"/>
        <v>31</v>
      </c>
      <c r="G5" s="24">
        <f t="shared" si="0"/>
        <v>30</v>
      </c>
      <c r="H5" s="24">
        <f t="shared" si="0"/>
        <v>31</v>
      </c>
      <c r="I5" s="24">
        <f t="shared" si="0"/>
        <v>30</v>
      </c>
      <c r="J5" s="24">
        <f t="shared" si="0"/>
        <v>31</v>
      </c>
      <c r="K5" s="24">
        <f t="shared" si="0"/>
        <v>31</v>
      </c>
      <c r="L5" s="24">
        <f t="shared" si="0"/>
        <v>30</v>
      </c>
      <c r="M5" s="24">
        <f t="shared" si="0"/>
        <v>31</v>
      </c>
      <c r="N5" s="24">
        <f t="shared" si="0"/>
        <v>30</v>
      </c>
      <c r="O5" s="24">
        <f t="shared" si="0"/>
        <v>31</v>
      </c>
      <c r="P5" s="138">
        <f>SUM(D5:O5)</f>
        <v>365</v>
      </c>
    </row>
    <row r="6" spans="1:16">
      <c r="A6" s="14"/>
      <c r="B6" s="14"/>
      <c r="C6" s="35" t="s">
        <v>445</v>
      </c>
      <c r="D6" s="38" t="str">
        <f>MONTH(D3)&amp;"."&amp;WEEKDAY(D3)&amp;"."&amp;HOUR(D4)</f>
        <v>1.3.8</v>
      </c>
      <c r="E6" s="38" t="str">
        <f t="shared" ref="E6:O6" si="1">MONTH(E3)&amp;"."&amp;WEEKDAY(E3)&amp;"."&amp;HOUR(E4)</f>
        <v>2.5.8</v>
      </c>
      <c r="F6" s="38" t="str">
        <f t="shared" si="1"/>
        <v>3.6.8</v>
      </c>
      <c r="G6" s="38" t="str">
        <f t="shared" si="1"/>
        <v>4.5.8</v>
      </c>
      <c r="H6" s="38" t="str">
        <f t="shared" si="1"/>
        <v>5.5.17</v>
      </c>
      <c r="I6" s="38" t="str">
        <f t="shared" si="1"/>
        <v>6.5.16</v>
      </c>
      <c r="J6" s="38" t="str">
        <f t="shared" si="1"/>
        <v>7.3.17</v>
      </c>
      <c r="K6" s="38" t="str">
        <f t="shared" si="1"/>
        <v>8.4.17</v>
      </c>
      <c r="L6" s="38" t="str">
        <f t="shared" si="1"/>
        <v>9.4.18</v>
      </c>
      <c r="M6" s="38" t="str">
        <f t="shared" si="1"/>
        <v>10.4.8</v>
      </c>
      <c r="N6" s="38" t="str">
        <f t="shared" si="1"/>
        <v>11.6.8</v>
      </c>
      <c r="O6" s="38" t="str">
        <f t="shared" si="1"/>
        <v>12.2.18</v>
      </c>
    </row>
    <row r="7" spans="1:16">
      <c r="A7" s="14"/>
      <c r="B7" s="14"/>
      <c r="C7" s="14" t="s">
        <v>322</v>
      </c>
      <c r="D7" s="22">
        <f>MAX('Peak Calc CP'!C73,0)</f>
        <v>40</v>
      </c>
      <c r="E7" s="22">
        <f>MAX('Peak Calc CP'!D73,0)</f>
        <v>50</v>
      </c>
      <c r="F7" s="22">
        <f>MAX('Peak Calc CP'!E73,0)</f>
        <v>50</v>
      </c>
      <c r="G7" s="22">
        <f>MAX('Peak Calc CP'!F73,0)</f>
        <v>22</v>
      </c>
      <c r="H7" s="22">
        <f>MAX('Peak Calc CP'!G73,0)</f>
        <v>0</v>
      </c>
      <c r="I7" s="22">
        <f>MAX('Peak Calc CP'!H73,0)</f>
        <v>0</v>
      </c>
      <c r="J7" s="22">
        <f>MAX('Peak Calc CP'!I73,0)</f>
        <v>0</v>
      </c>
      <c r="K7" s="22">
        <f>MAX('Peak Calc CP'!J73,0)</f>
        <v>0</v>
      </c>
      <c r="L7" s="22">
        <f>MAX('Peak Calc CP'!K73,0)</f>
        <v>0</v>
      </c>
      <c r="M7" s="22">
        <f>MAX('Peak Calc CP'!L73,0)</f>
        <v>37</v>
      </c>
      <c r="N7" s="22">
        <f>MAX('Peak Calc CP'!M73,0)</f>
        <v>30</v>
      </c>
      <c r="O7" s="22">
        <f>MAX('Peak Calc CP'!N73,0)</f>
        <v>35</v>
      </c>
    </row>
    <row r="8" spans="1:16">
      <c r="A8" s="14"/>
      <c r="B8" s="14"/>
      <c r="C8" s="14" t="s">
        <v>323</v>
      </c>
      <c r="D8" s="14">
        <f>MAX(-'Peak Calc CP'!C73,0)</f>
        <v>0</v>
      </c>
      <c r="E8" s="14">
        <f>MAX(-'Peak Calc CP'!D73,0)</f>
        <v>0</v>
      </c>
      <c r="F8" s="14">
        <f>MAX(-'Peak Calc CP'!E73,0)</f>
        <v>0</v>
      </c>
      <c r="G8" s="14">
        <f>MAX(-'Peak Calc CP'!F73,0)</f>
        <v>0</v>
      </c>
      <c r="H8" s="14">
        <f>MAX(-'Peak Calc CP'!G73,0)</f>
        <v>4</v>
      </c>
      <c r="I8" s="14">
        <f>MAX(-'Peak Calc CP'!H73,0)</f>
        <v>12</v>
      </c>
      <c r="J8" s="14">
        <f>MAX(-'Peak Calc CP'!I73,0)</f>
        <v>15</v>
      </c>
      <c r="K8" s="14">
        <f>MAX(-'Peak Calc CP'!J73,0)</f>
        <v>18</v>
      </c>
      <c r="L8" s="14">
        <f>MAX(-'Peak Calc CP'!K73,0)</f>
        <v>5</v>
      </c>
      <c r="M8" s="14">
        <f>MAX(-'Peak Calc CP'!L73,0)</f>
        <v>0</v>
      </c>
      <c r="N8" s="14">
        <f>MAX(-'Peak Calc CP'!M73,0)</f>
        <v>0</v>
      </c>
      <c r="O8" s="14">
        <f>MAX(-'Peak Calc CP'!N73,0)</f>
        <v>0</v>
      </c>
    </row>
    <row r="9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>
      <c r="A10" s="14" t="s">
        <v>324</v>
      </c>
      <c r="B10" s="14" t="s">
        <v>325</v>
      </c>
      <c r="C10" s="14"/>
      <c r="D10" s="24">
        <f>(($C12*12)/$P$5+D13*D$7+D14*D$8)*D11</f>
        <v>9371819.4947945196</v>
      </c>
      <c r="E10" s="24">
        <f t="shared" ref="E10:O10" si="2">(($C12*12)/$P$5+E13*E$7+E14*E$8)*E11</f>
        <v>10380146.449315067</v>
      </c>
      <c r="F10" s="24">
        <f t="shared" si="2"/>
        <v>10911459.302739726</v>
      </c>
      <c r="G10" s="24">
        <f t="shared" si="2"/>
        <v>6209436.0532602733</v>
      </c>
      <c r="H10" s="24">
        <f t="shared" si="2"/>
        <v>5241642.3452054793</v>
      </c>
      <c r="I10" s="24">
        <f t="shared" si="2"/>
        <v>7298898.1282191779</v>
      </c>
      <c r="J10" s="24">
        <f t="shared" si="2"/>
        <v>8112673.2575342478</v>
      </c>
      <c r="K10" s="24">
        <f t="shared" si="2"/>
        <v>8938486.2230136991</v>
      </c>
      <c r="L10" s="24">
        <f t="shared" si="2"/>
        <v>5319082.7027397268</v>
      </c>
      <c r="M10" s="24">
        <f t="shared" si="2"/>
        <v>7980647.0811506854</v>
      </c>
      <c r="N10" s="24">
        <f t="shared" si="2"/>
        <v>7091219.3531506853</v>
      </c>
      <c r="O10" s="24">
        <f t="shared" si="2"/>
        <v>8785802.6170547958</v>
      </c>
    </row>
    <row r="11" spans="1:16">
      <c r="A11" s="14" t="str">
        <f>'Load Shape'!E2</f>
        <v>WA01</v>
      </c>
      <c r="B11" s="14" t="s">
        <v>326</v>
      </c>
      <c r="C11" s="75">
        <f>AVERAGE(D11:O11)</f>
        <v>218287.16666666666</v>
      </c>
      <c r="D11" s="250">
        <v>218066</v>
      </c>
      <c r="E11" s="250">
        <v>211896</v>
      </c>
      <c r="F11" s="250">
        <v>222742</v>
      </c>
      <c r="G11" s="250">
        <v>215988</v>
      </c>
      <c r="H11" s="250">
        <v>220080</v>
      </c>
      <c r="I11" s="250">
        <v>217378</v>
      </c>
      <c r="J11" s="250">
        <v>217866</v>
      </c>
      <c r="K11" s="250">
        <v>218561</v>
      </c>
      <c r="L11" s="250">
        <v>212449</v>
      </c>
      <c r="M11" s="250">
        <v>225194</v>
      </c>
      <c r="N11" s="250">
        <v>219427</v>
      </c>
      <c r="O11" s="250">
        <v>219799</v>
      </c>
    </row>
    <row r="12" spans="1:16">
      <c r="A12" s="40">
        <f>MATCH(A11,'Load Shape'!$E$2:$N$2,0)</f>
        <v>1</v>
      </c>
      <c r="B12" s="14" t="s">
        <v>327</v>
      </c>
      <c r="C12" s="75">
        <f>'Electric Factors '!$H$8</f>
        <v>576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>
      <c r="A13" s="14"/>
      <c r="B13" s="14" t="s">
        <v>328</v>
      </c>
      <c r="C13" s="25"/>
      <c r="D13" s="14">
        <f>IF(OR(MONTH(D$3)={12,1,2,3}),'Electric Factors '!$E$8,IF(OR(MONTH(D$3)={7,8,9}),0,'Electric Factors '!$D$8))</f>
        <v>0.60099999999999998</v>
      </c>
      <c r="E13" s="14">
        <f>IF(OR(MONTH(E$3)={12,1,2,3}),'Electric Factors '!$E$8,IF(OR(MONTH(E$3)={7,8,9}),0,'Electric Factors '!$D$8))</f>
        <v>0.60099999999999998</v>
      </c>
      <c r="F13" s="14">
        <f>IF(OR(MONTH(F$3)={12,1,2,3}),'Electric Factors '!$E$8,IF(OR(MONTH(F$3)={7,8,9}),0,'Electric Factors '!$D$8))</f>
        <v>0.60099999999999998</v>
      </c>
      <c r="G13" s="25">
        <f>IF(OR(MONTH(G$3)={12,1,2,3}),'Electric Factors '!$E$8,IF(OR(MONTH(G$3)={7,8,9}),0,'Electric Factors '!$D$8))</f>
        <v>0.44600000000000001</v>
      </c>
      <c r="H13" s="25">
        <f>IF(OR(MONTH(H$3)={12,1,2,3}),'Electric Factors '!$E$8,IF(OR(MONTH(H$3)={7,8,9}),0,'Electric Factors '!$D$8))</f>
        <v>0.44600000000000001</v>
      </c>
      <c r="I13" s="25">
        <f>IF(OR(MONTH(I$3)={12,1,2,3}),'Electric Factors '!$E$8,IF(OR(MONTH(I$3)={7,8,9}),0,'Electric Factors '!$D$8))</f>
        <v>0.44600000000000001</v>
      </c>
      <c r="J13" s="25">
        <f>IF(OR(MONTH(J$3)={12,1,2,3}),'Electric Factors '!$E$8,IF(OR(MONTH(J$3)={7,8,9}),0,'Electric Factors '!$D$8))</f>
        <v>0</v>
      </c>
      <c r="K13" s="25">
        <f>IF(OR(MONTH(K$3)={12,1,2,3}),'Electric Factors '!$E$8,IF(OR(MONTH(K$3)={7,8,9}),0,'Electric Factors '!$D$8))</f>
        <v>0</v>
      </c>
      <c r="L13" s="25">
        <f>IF(OR(MONTH(L$3)={12,1,2,3}),'Electric Factors '!$E$8,IF(OR(MONTH(L$3)={7,8,9}),0,'Electric Factors '!$D$8))</f>
        <v>0</v>
      </c>
      <c r="M13" s="25">
        <f>IF(OR(MONTH(M$3)={12,1,2,3}),'Electric Factors '!$E$8,IF(OR(MONTH(M$3)={7,8,9}),0,'Electric Factors '!$D$8))</f>
        <v>0.44600000000000001</v>
      </c>
      <c r="N13" s="25">
        <f>IF(OR(MONTH(N$3)={12,1,2,3}),'Electric Factors '!$E$8,IF(OR(MONTH(N$3)={7,8,9}),0,'Electric Factors '!$D$8))</f>
        <v>0.44600000000000001</v>
      </c>
      <c r="O13" s="14">
        <f>IF(OR(MONTH(O$3)={12,1,2,3}),'Electric Factors '!$E$8,IF(OR(MONTH(O$3)={7,8,9}),0,'Electric Factors '!$D$8))</f>
        <v>0.60099999999999998</v>
      </c>
    </row>
    <row r="14" spans="1:16">
      <c r="A14" s="14"/>
      <c r="B14" s="14" t="s">
        <v>329</v>
      </c>
      <c r="C14" s="14"/>
      <c r="D14" s="14">
        <f>IF(OR(MONTH(D$3)={4,5,10,11}),'Electric Factors '!$F$8,IF(OR(MONTH(D$3)={6,7,8,9}),'Electric Factors '!$G$8,0))</f>
        <v>0</v>
      </c>
      <c r="E14" s="14">
        <f>IF(OR(MONTH(E$3)={4,5,10,11}),'Electric Factors '!$F$8,IF(OR(MONTH(E$3)={6,7,8,9}),'Electric Factors '!$G$8,0))</f>
        <v>0</v>
      </c>
      <c r="F14" s="14">
        <f>IF(OR(MONTH(F$3)={4,5,10,11}),'Electric Factors '!$F$8,IF(OR(MONTH(F$3)={6,7,8,9}),'Electric Factors '!$G$8,0))</f>
        <v>0</v>
      </c>
      <c r="G14" s="14">
        <f>IF(OR(MONTH(G$3)={4,5,10,11}),'Electric Factors '!$F$8,IF(OR(MONTH(G$3)={6,7,8,9}),'Electric Factors '!$G$8,0))</f>
        <v>1.22</v>
      </c>
      <c r="H14" s="14">
        <f>IF(OR(MONTH(H$3)={4,5,10,11}),'Electric Factors '!$F$8,IF(OR(MONTH(H$3)={6,7,8,9}),'Electric Factors '!$G$8,0))</f>
        <v>1.22</v>
      </c>
      <c r="I14" s="14">
        <f>IF(OR(MONTH(I$3)={4,5,10,11}),'Electric Factors '!$F$8,IF(OR(MONTH(I$3)={6,7,8,9}),'Electric Factors '!$G$8,0))</f>
        <v>1.22</v>
      </c>
      <c r="J14" s="14">
        <f>IF(OR(MONTH(J$3)={4,5,10,11}),'Electric Factors '!$F$8,IF(OR(MONTH(J$3)={6,7,8,9}),'Electric Factors '!$G$8,0))</f>
        <v>1.22</v>
      </c>
      <c r="K14" s="14">
        <f>IF(OR(MONTH(K$3)={4,5,10,11}),'Electric Factors '!$F$8,IF(OR(MONTH(K$3)={6,7,8,9}),'Electric Factors '!$G$8,0))</f>
        <v>1.22</v>
      </c>
      <c r="L14" s="14">
        <f>IF(OR(MONTH(L$3)={4,5,10,11}),'Electric Factors '!$F$8,IF(OR(MONTH(L$3)={6,7,8,9}),'Electric Factors '!$G$8,0))</f>
        <v>1.22</v>
      </c>
      <c r="M14" s="14">
        <f>IF(OR(MONTH(M$3)={4,5,10,11}),'Electric Factors '!$F$8,IF(OR(MONTH(M$3)={6,7,8,9}),'Electric Factors '!$G$8,0))</f>
        <v>1.22</v>
      </c>
      <c r="N14" s="14">
        <f>IF(OR(MONTH(N$3)={4,5,10,11}),'Electric Factors '!$F$8,IF(OR(MONTH(N$3)={6,7,8,9}),'Electric Factors '!$G$8,0))</f>
        <v>1.22</v>
      </c>
      <c r="O14" s="14">
        <f>IF(OR(MONTH(O$3)={4,5,10,11}),'Electric Factors '!$F$8,IF(OR(MONTH(O$3)={6,7,8,9}),'Electric Factors '!$G$8,0))</f>
        <v>0</v>
      </c>
    </row>
    <row r="15" spans="1:16">
      <c r="A15" s="14"/>
      <c r="B15" s="14" t="s">
        <v>330</v>
      </c>
      <c r="C15" s="14"/>
      <c r="D15" s="26">
        <f>INDEX(LoadShape,MATCH(D$6,M.WkDy.H,0),$A12)</f>
        <v>4.6316596901180347E-2</v>
      </c>
      <c r="E15" s="26">
        <f t="shared" ref="E15:O15" si="3">INDEX(LoadShape,MATCH(E$6,M.WkDy.H,0),$A12)</f>
        <v>4.808056694924645E-2</v>
      </c>
      <c r="F15" s="26">
        <f t="shared" si="3"/>
        <v>5.3972475992081236E-2</v>
      </c>
      <c r="G15" s="26">
        <f t="shared" si="3"/>
        <v>5.436011190249352E-2</v>
      </c>
      <c r="H15" s="26">
        <f t="shared" si="3"/>
        <v>4.5497424402192635E-2</v>
      </c>
      <c r="I15" s="26">
        <f t="shared" si="3"/>
        <v>4.280776710712425E-2</v>
      </c>
      <c r="J15" s="26">
        <f t="shared" si="3"/>
        <v>5.8053395975005244E-2</v>
      </c>
      <c r="K15" s="26">
        <f t="shared" si="3"/>
        <v>5.8978980359711365E-2</v>
      </c>
      <c r="L15" s="26">
        <f t="shared" si="3"/>
        <v>5.754879150055936E-2</v>
      </c>
      <c r="M15" s="26">
        <f t="shared" si="3"/>
        <v>5.2846588071155456E-2</v>
      </c>
      <c r="N15" s="26">
        <f t="shared" si="3"/>
        <v>4.9802305669596363E-2</v>
      </c>
      <c r="O15" s="26">
        <f t="shared" si="3"/>
        <v>5.0167156871627878E-2</v>
      </c>
    </row>
    <row r="16" spans="1:16">
      <c r="A16" s="14"/>
      <c r="B16" s="14" t="s">
        <v>331</v>
      </c>
      <c r="C16" s="24">
        <f>AVERAGE(D16:O16)</f>
        <v>410872.88185152045</v>
      </c>
      <c r="D16" s="24">
        <f t="shared" ref="D16:O16" si="4">D10*D15</f>
        <v>434070.78577102139</v>
      </c>
      <c r="E16" s="24">
        <f t="shared" si="4"/>
        <v>499083.32629927591</v>
      </c>
      <c r="F16" s="24">
        <f t="shared" si="4"/>
        <v>588918.47525569133</v>
      </c>
      <c r="G16" s="24">
        <f t="shared" si="4"/>
        <v>337545.63870660617</v>
      </c>
      <c r="H16" s="24">
        <f t="shared" si="4"/>
        <v>238481.22634431801</v>
      </c>
      <c r="I16" s="24">
        <f t="shared" si="4"/>
        <v>312449.53121143166</v>
      </c>
      <c r="J16" s="24">
        <f t="shared" si="4"/>
        <v>470968.23303547141</v>
      </c>
      <c r="K16" s="24">
        <f t="shared" si="4"/>
        <v>527182.80339267559</v>
      </c>
      <c r="L16" s="24">
        <f t="shared" si="4"/>
        <v>306106.7814342003</v>
      </c>
      <c r="M16" s="24">
        <f t="shared" si="4"/>
        <v>421749.96883883944</v>
      </c>
      <c r="N16" s="24">
        <f t="shared" si="4"/>
        <v>353159.07379576785</v>
      </c>
      <c r="O16" s="24">
        <f t="shared" si="4"/>
        <v>440758.73813294672</v>
      </c>
    </row>
    <row r="17" spans="1:15">
      <c r="A17" s="14"/>
      <c r="B17" s="14"/>
      <c r="C17" s="2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4" t="s">
        <v>2363</v>
      </c>
      <c r="B18" s="14" t="s">
        <v>325</v>
      </c>
      <c r="C18" s="14"/>
      <c r="D18" s="24">
        <f>(($C20*12)/$P$5+D21*D$7+D22*D$8)*D19</f>
        <v>250157.72054794521</v>
      </c>
      <c r="E18" s="24">
        <f t="shared" ref="E18:O18" si="5">(($C20*12)/$P$5+E21*E$7+E22*E$8)*E19</f>
        <v>276238.63356164383</v>
      </c>
      <c r="F18" s="24">
        <f t="shared" si="5"/>
        <v>290650.82876712328</v>
      </c>
      <c r="G18" s="24">
        <f t="shared" si="5"/>
        <v>173504.89389041098</v>
      </c>
      <c r="H18" s="24">
        <f t="shared" si="5"/>
        <v>127336.33216438357</v>
      </c>
      <c r="I18" s="24">
        <f t="shared" si="5"/>
        <v>150330.08942465755</v>
      </c>
      <c r="J18" s="24">
        <f t="shared" si="5"/>
        <v>160037.83397260273</v>
      </c>
      <c r="K18" s="24">
        <f t="shared" si="5"/>
        <v>169601.4129041096</v>
      </c>
      <c r="L18" s="24">
        <f t="shared" si="5"/>
        <v>127484.26212328767</v>
      </c>
      <c r="M18" s="24">
        <f t="shared" si="5"/>
        <v>221500.78039726027</v>
      </c>
      <c r="N18" s="24">
        <f t="shared" si="5"/>
        <v>195776.4390410959</v>
      </c>
      <c r="O18" s="24">
        <f t="shared" si="5"/>
        <v>235939.41061643837</v>
      </c>
    </row>
    <row r="19" spans="1:15">
      <c r="A19" s="14"/>
      <c r="B19" s="14" t="s">
        <v>326</v>
      </c>
      <c r="C19" s="75">
        <f>AVERAGE(D19:O19)</f>
        <v>9723.9166666666661</v>
      </c>
      <c r="D19" s="430">
        <v>9680</v>
      </c>
      <c r="E19" s="430">
        <v>9411</v>
      </c>
      <c r="F19" s="430">
        <v>9902</v>
      </c>
      <c r="G19" s="430">
        <v>9671</v>
      </c>
      <c r="H19" s="430">
        <v>9766</v>
      </c>
      <c r="I19" s="430">
        <v>9692</v>
      </c>
      <c r="J19" s="430">
        <v>9736</v>
      </c>
      <c r="K19" s="430">
        <v>9767</v>
      </c>
      <c r="L19" s="430">
        <v>9551</v>
      </c>
      <c r="M19" s="430">
        <v>10011</v>
      </c>
      <c r="N19" s="430">
        <v>9705</v>
      </c>
      <c r="O19" s="430">
        <v>9795</v>
      </c>
    </row>
    <row r="20" spans="1:15">
      <c r="A20" s="14"/>
      <c r="B20" s="14" t="s">
        <v>327</v>
      </c>
      <c r="C20" s="75">
        <f>'Electric Factors '!$H$9</f>
        <v>359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4"/>
      <c r="B21" s="14" t="s">
        <v>328</v>
      </c>
      <c r="C21" s="25"/>
      <c r="D21" s="14">
        <f>IF(OR(MONTH(D$3)={12,1,2,3}),'Electric Factors '!$E$9,IF(OR(MONTH(D$3)={7,8,9}),0,'Electric Factors '!$D$9))</f>
        <v>0.35099999999999998</v>
      </c>
      <c r="E21" s="14">
        <f>IF(OR(MONTH(E$3)={12,1,2,3}),'Electric Factors '!$E$9,IF(OR(MONTH(E$3)={7,8,9}),0,'Electric Factors '!$D$9))</f>
        <v>0.35099999999999998</v>
      </c>
      <c r="F21" s="14">
        <f>IF(OR(MONTH(F$3)={12,1,2,3}),'Electric Factors '!$E$9,IF(OR(MONTH(F$3)={7,8,9}),0,'Electric Factors '!$D$9))</f>
        <v>0.35099999999999998</v>
      </c>
      <c r="G21" s="14">
        <f>IF(OR(MONTH(G$3)={12,1,2,3}),'Electric Factors '!$E$9,IF(OR(MONTH(G$3)={7,8,9}),0,'Electric Factors '!$D$9))</f>
        <v>0.27900000000000003</v>
      </c>
      <c r="H21" s="14">
        <f>IF(OR(MONTH(H$3)={12,1,2,3}),'Electric Factors '!$E$9,IF(OR(MONTH(H$3)={7,8,9}),0,'Electric Factors '!$D$9))</f>
        <v>0.27900000000000003</v>
      </c>
      <c r="I21" s="14">
        <f>IF(OR(MONTH(I$3)={12,1,2,3}),'Electric Factors '!$E$9,IF(OR(MONTH(I$3)={7,8,9}),0,'Electric Factors '!$D$9))</f>
        <v>0.27900000000000003</v>
      </c>
      <c r="J21" s="14">
        <f>IF(OR(MONTH(J$3)={12,1,2,3}),'Electric Factors '!$E$9,IF(OR(MONTH(J$3)={7,8,9}),0,'Electric Factors '!$D$9))</f>
        <v>0</v>
      </c>
      <c r="K21" s="14">
        <f>IF(OR(MONTH(K$3)={12,1,2,3}),'Electric Factors '!$E$9,IF(OR(MONTH(K$3)={7,8,9}),0,'Electric Factors '!$D$9))</f>
        <v>0</v>
      </c>
      <c r="L21" s="14">
        <f>IF(OR(MONTH(L$3)={12,1,2,3}),'Electric Factors '!$E$9,IF(OR(MONTH(L$3)={7,8,9}),0,'Electric Factors '!$D$9))</f>
        <v>0</v>
      </c>
      <c r="M21" s="14">
        <f>IF(OR(MONTH(M$3)={12,1,2,3}),'Electric Factors '!$E$9,IF(OR(MONTH(M$3)={7,8,9}),0,'Electric Factors '!$D$9))</f>
        <v>0.27900000000000003</v>
      </c>
      <c r="N21" s="14">
        <f>IF(OR(MONTH(N$3)={12,1,2,3}),'Electric Factors '!$E$9,IF(OR(MONTH(N$3)={7,8,9}),0,'Electric Factors '!$D$9))</f>
        <v>0.27900000000000003</v>
      </c>
      <c r="O21" s="14">
        <f>IF(OR(MONTH(O$3)={12,1,2,3}),'Electric Factors '!$E$9,IF(OR(MONTH(O$3)={7,8,9}),0,'Electric Factors '!$D$9))</f>
        <v>0.35099999999999998</v>
      </c>
    </row>
    <row r="22" spans="1:15">
      <c r="A22" s="14"/>
      <c r="B22" s="14" t="s">
        <v>329</v>
      </c>
      <c r="C22" s="14"/>
      <c r="D22" s="14">
        <f>IF(OR(MONTH(D$3)={4,5,10,11}),'Electric Factors '!$F$9,IF(OR(MONTH(D$3)={6,7,8,9}),'Electric Factors '!$G$9,0))</f>
        <v>0</v>
      </c>
      <c r="E22" s="14">
        <f>IF(OR(MONTH(E$3)={4,5,10,11}),'Electric Factors '!$F$9,IF(OR(MONTH(E$3)={6,7,8,9}),'Electric Factors '!$G$9,0))</f>
        <v>0</v>
      </c>
      <c r="F22" s="14">
        <f>IF(OR(MONTH(F$3)={4,5,10,11}),'Electric Factors '!$F$9,IF(OR(MONTH(F$3)={6,7,8,9}),'Electric Factors '!$G$9,0))</f>
        <v>0</v>
      </c>
      <c r="G22" s="14">
        <f>IF(OR(MONTH(G$3)={4,5,10,11}),'Electric Factors '!$F$9,IF(OR(MONTH(G$3)={6,7,8,9}),'Electric Factors '!$G$9,0))</f>
        <v>0.309</v>
      </c>
      <c r="H22" s="14">
        <f>IF(OR(MONTH(H$3)={4,5,10,11}),'Electric Factors '!$F$9,IF(OR(MONTH(H$3)={6,7,8,9}),'Electric Factors '!$G$9,0))</f>
        <v>0.309</v>
      </c>
      <c r="I22" s="14">
        <f>IF(OR(MONTH(I$3)={4,5,10,11}),'Electric Factors '!$F$9,IF(OR(MONTH(I$3)={6,7,8,9}),'Electric Factors '!$G$9,0))</f>
        <v>0.309</v>
      </c>
      <c r="J22" s="14">
        <f>IF(OR(MONTH(J$3)={4,5,10,11}),'Electric Factors '!$F$9,IF(OR(MONTH(J$3)={6,7,8,9}),'Electric Factors '!$G$9,0))</f>
        <v>0.309</v>
      </c>
      <c r="K22" s="14">
        <f>IF(OR(MONTH(K$3)={4,5,10,11}),'Electric Factors '!$F$9,IF(OR(MONTH(K$3)={6,7,8,9}),'Electric Factors '!$G$9,0))</f>
        <v>0.309</v>
      </c>
      <c r="L22" s="14">
        <f>IF(OR(MONTH(L$3)={4,5,10,11}),'Electric Factors '!$F$9,IF(OR(MONTH(L$3)={6,7,8,9}),'Electric Factors '!$G$9,0))</f>
        <v>0.309</v>
      </c>
      <c r="M22" s="14">
        <f>IF(OR(MONTH(M$3)={4,5,10,11}),'Electric Factors '!$F$9,IF(OR(MONTH(M$3)={6,7,8,9}),'Electric Factors '!$G$9,0))</f>
        <v>0.309</v>
      </c>
      <c r="N22" s="14">
        <f>IF(OR(MONTH(N$3)={4,5,10,11}),'Electric Factors '!$F$9,IF(OR(MONTH(N$3)={6,7,8,9}),'Electric Factors '!$G$9,0))</f>
        <v>0.309</v>
      </c>
      <c r="O22" s="14">
        <f>IF(OR(MONTH(O$3)={4,5,10,11}),'Electric Factors '!$F$9,IF(OR(MONTH(O$3)={6,7,8,9}),'Electric Factors '!$G$9,0))</f>
        <v>0</v>
      </c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 s="14" t="s">
        <v>332</v>
      </c>
      <c r="B24" s="14" t="s">
        <v>325</v>
      </c>
      <c r="C24" s="14"/>
      <c r="D24" s="24">
        <f>(($C26*12)/$P$5+D27*D$7+D28*D$8)*D25</f>
        <v>1841413.6356164385</v>
      </c>
      <c r="E24" s="24">
        <f t="shared" ref="E24:O24" si="6">(($C26*12)/$P$5+E27*E$7+E28*E$8)*E25</f>
        <v>1893974.5232876714</v>
      </c>
      <c r="F24" s="24">
        <f t="shared" si="6"/>
        <v>1978401.8301369864</v>
      </c>
      <c r="G24" s="24">
        <f t="shared" si="6"/>
        <v>1520797.5079452053</v>
      </c>
      <c r="H24" s="24">
        <f t="shared" si="6"/>
        <v>1554356.552328767</v>
      </c>
      <c r="I24" s="24">
        <f t="shared" si="6"/>
        <v>1816033.7819178081</v>
      </c>
      <c r="J24" s="24">
        <f t="shared" si="6"/>
        <v>1918811.8849315068</v>
      </c>
      <c r="K24" s="24">
        <f t="shared" si="6"/>
        <v>2023126.8690410957</v>
      </c>
      <c r="L24" s="24">
        <f t="shared" si="6"/>
        <v>1555899.6438356163</v>
      </c>
      <c r="M24" s="24">
        <f t="shared" si="6"/>
        <v>1634061.8438356163</v>
      </c>
      <c r="N24" s="24">
        <f t="shared" si="6"/>
        <v>1559964.5178082192</v>
      </c>
      <c r="O24" s="24">
        <f t="shared" si="6"/>
        <v>1784505.3236301369</v>
      </c>
    </row>
    <row r="25" spans="1:15">
      <c r="A25" s="14"/>
      <c r="B25" s="14" t="s">
        <v>326</v>
      </c>
      <c r="C25" s="75">
        <f>AVERAGE(D25:O25)</f>
        <v>22734.916666666668</v>
      </c>
      <c r="D25" s="430">
        <v>22789</v>
      </c>
      <c r="E25" s="430">
        <v>22164</v>
      </c>
      <c r="F25" s="430">
        <v>23152</v>
      </c>
      <c r="G25" s="430">
        <v>22684</v>
      </c>
      <c r="H25" s="430">
        <v>22817</v>
      </c>
      <c r="I25" s="430">
        <v>22711</v>
      </c>
      <c r="J25" s="430">
        <v>22734</v>
      </c>
      <c r="K25" s="430">
        <v>22772</v>
      </c>
      <c r="L25" s="430">
        <v>22354</v>
      </c>
      <c r="M25" s="430">
        <v>23230</v>
      </c>
      <c r="N25" s="430">
        <v>22673</v>
      </c>
      <c r="O25" s="430">
        <v>22739</v>
      </c>
    </row>
    <row r="26" spans="1:15">
      <c r="A26" s="14"/>
      <c r="B26" s="14" t="s">
        <v>327</v>
      </c>
      <c r="C26" s="75">
        <f>'Electric Factors '!$H$10</f>
        <v>1892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14"/>
      <c r="B27" s="14" t="s">
        <v>328</v>
      </c>
      <c r="C27" s="25"/>
      <c r="D27" s="14">
        <f>IF(OR(MONTH(D$3)={12,1,2,3}),'Electric Factors '!$E$10,IF(OR(MONTH(D$3)={7,8,9}),0,'Electric Factors '!$D$10))</f>
        <v>0.46500000000000002</v>
      </c>
      <c r="E27" s="14">
        <f>IF(OR(MONTH(E$3)={12,1,2,3}),'Electric Factors '!$E$10,IF(OR(MONTH(E$3)={7,8,9}),0,'Electric Factors '!$D$10))</f>
        <v>0.46500000000000002</v>
      </c>
      <c r="F27" s="14">
        <f>IF(OR(MONTH(F$3)={12,1,2,3}),'Electric Factors '!$E$10,IF(OR(MONTH(F$3)={7,8,9}),0,'Electric Factors '!$D$10))</f>
        <v>0.46500000000000002</v>
      </c>
      <c r="G27" s="14">
        <f>IF(OR(MONTH(G$3)={12,1,2,3}),'Electric Factors '!$E$10,IF(OR(MONTH(G$3)={7,8,9}),0,'Electric Factors '!$D$10))</f>
        <v>0.22</v>
      </c>
      <c r="H27" s="14">
        <f>IF(OR(MONTH(H$3)={12,1,2,3}),'Electric Factors '!$E$10,IF(OR(MONTH(H$3)={7,8,9}),0,'Electric Factors '!$D$10))</f>
        <v>0.22</v>
      </c>
      <c r="I27" s="14">
        <f>IF(OR(MONTH(I$3)={12,1,2,3}),'Electric Factors '!$E$10,IF(OR(MONTH(I$3)={7,8,9}),0,'Electric Factors '!$D$10))</f>
        <v>0.22</v>
      </c>
      <c r="J27" s="14">
        <f>IF(OR(MONTH(J$3)={12,1,2,3}),'Electric Factors '!$E$10,IF(OR(MONTH(J$3)={7,8,9}),0,'Electric Factors '!$D$10))</f>
        <v>0</v>
      </c>
      <c r="K27" s="14">
        <f>IF(OR(MONTH(K$3)={12,1,2,3}),'Electric Factors '!$E$10,IF(OR(MONTH(K$3)={7,8,9}),0,'Electric Factors '!$D$10))</f>
        <v>0</v>
      </c>
      <c r="L27" s="14">
        <f>IF(OR(MONTH(L$3)={12,1,2,3}),'Electric Factors '!$E$10,IF(OR(MONTH(L$3)={7,8,9}),0,'Electric Factors '!$D$10))</f>
        <v>0</v>
      </c>
      <c r="M27" s="14">
        <f>IF(OR(MONTH(M$3)={12,1,2,3}),'Electric Factors '!$E$10,IF(OR(MONTH(M$3)={7,8,9}),0,'Electric Factors '!$D$10))</f>
        <v>0.22</v>
      </c>
      <c r="N27" s="14">
        <f>IF(OR(MONTH(N$3)={12,1,2,3}),'Electric Factors '!$E$10,IF(OR(MONTH(N$3)={7,8,9}),0,'Electric Factors '!$D$10))</f>
        <v>0.22</v>
      </c>
      <c r="O27" s="14">
        <f>IF(OR(MONTH(O$3)={12,1,2,3}),'Electric Factors '!$E$10,IF(OR(MONTH(O$3)={7,8,9}),0,'Electric Factors '!$D$10))</f>
        <v>0.46500000000000002</v>
      </c>
    </row>
    <row r="28" spans="1:15">
      <c r="A28" s="14"/>
      <c r="B28" s="14" t="s">
        <v>329</v>
      </c>
      <c r="C28" s="14"/>
      <c r="D28" s="14">
        <f>IF(OR(MONTH(D$3)={4,5,10,11}),'Electric Factors '!$F$10,IF(OR(MONTH(D$3)={6,7,8,9}),'Electric Factors '!$G$10,0))</f>
        <v>0</v>
      </c>
      <c r="E28" s="14">
        <f>IF(OR(MONTH(E$3)={4,5,10,11}),'Electric Factors '!$F$10,IF(OR(MONTH(E$3)={6,7,8,9}),'Electric Factors '!$G$10,0))</f>
        <v>0</v>
      </c>
      <c r="F28" s="14">
        <f>IF(OR(MONTH(F$3)={4,5,10,11}),'Electric Factors '!$F$10,IF(OR(MONTH(F$3)={6,7,8,9}),'Electric Factors '!$G$10,0))</f>
        <v>0</v>
      </c>
      <c r="G28" s="14">
        <f>IF(OR(MONTH(G$3)={4,5,10,11}),'Electric Factors '!$F$10,IF(OR(MONTH(G$3)={6,7,8,9}),'Electric Factors '!$G$10,0))</f>
        <v>1.48</v>
      </c>
      <c r="H28" s="14">
        <f>IF(OR(MONTH(H$3)={4,5,10,11}),'Electric Factors '!$F$10,IF(OR(MONTH(H$3)={6,7,8,9}),'Electric Factors '!$G$10,0))</f>
        <v>1.48</v>
      </c>
      <c r="I28" s="14">
        <f>IF(OR(MONTH(I$3)={4,5,10,11}),'Electric Factors '!$F$10,IF(OR(MONTH(I$3)={6,7,8,9}),'Electric Factors '!$G$10,0))</f>
        <v>1.48</v>
      </c>
      <c r="J28" s="14">
        <f>IF(OR(MONTH(J$3)={4,5,10,11}),'Electric Factors '!$F$10,IF(OR(MONTH(J$3)={6,7,8,9}),'Electric Factors '!$G$10,0))</f>
        <v>1.48</v>
      </c>
      <c r="K28" s="14">
        <f>IF(OR(MONTH(K$3)={4,5,10,11}),'Electric Factors '!$F$10,IF(OR(MONTH(K$3)={6,7,8,9}),'Electric Factors '!$G$10,0))</f>
        <v>1.48</v>
      </c>
      <c r="L28" s="14">
        <f>IF(OR(MONTH(L$3)={4,5,10,11}),'Electric Factors '!$F$10,IF(OR(MONTH(L$3)={6,7,8,9}),'Electric Factors '!$G$10,0))</f>
        <v>1.48</v>
      </c>
      <c r="M28" s="14">
        <f>IF(OR(MONTH(M$3)={4,5,10,11}),'Electric Factors '!$F$10,IF(OR(MONTH(M$3)={6,7,8,9}),'Electric Factors '!$G$10,0))</f>
        <v>1.48</v>
      </c>
      <c r="N28" s="14">
        <f>IF(OR(MONTH(N$3)={4,5,10,11}),'Electric Factors '!$F$10,IF(OR(MONTH(N$3)={6,7,8,9}),'Electric Factors '!$G$10,0))</f>
        <v>1.48</v>
      </c>
      <c r="O28" s="14">
        <f>IF(OR(MONTH(O$3)={4,5,10,11}),'Electric Factors '!$F$10,IF(OR(MONTH(O$3)={6,7,8,9}),'Electric Factors '!$G$10,0))</f>
        <v>0</v>
      </c>
    </row>
    <row r="29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152" t="s">
        <v>2314</v>
      </c>
      <c r="B30" s="14" t="s">
        <v>325</v>
      </c>
      <c r="C30" s="14"/>
      <c r="D30" s="24">
        <f>(($C32*12)/$P$5+D33*D$7+D34*D$8)*D31</f>
        <v>23493.3298630137</v>
      </c>
      <c r="E30" s="24">
        <f t="shared" ref="E30:O30" si="7">(($C32*12)/$P$5+E33*E$7+E34*E$8)*E31</f>
        <v>25117.049315068492</v>
      </c>
      <c r="F30" s="24">
        <f t="shared" si="7"/>
        <v>26129.833561643834</v>
      </c>
      <c r="G30" s="24">
        <f t="shared" si="7"/>
        <v>17515.4398630137</v>
      </c>
      <c r="H30" s="24">
        <f t="shared" si="7"/>
        <v>14292.715068493151</v>
      </c>
      <c r="I30" s="24">
        <f t="shared" si="7"/>
        <v>16886.983561643836</v>
      </c>
      <c r="J30" s="24">
        <f t="shared" si="7"/>
        <v>16599.692465753425</v>
      </c>
      <c r="K30" s="24">
        <f t="shared" si="7"/>
        <v>17236.849315068495</v>
      </c>
      <c r="L30" s="24">
        <f t="shared" si="7"/>
        <v>15060.649315068493</v>
      </c>
      <c r="M30" s="24">
        <f t="shared" si="7"/>
        <v>19525.214863013698</v>
      </c>
      <c r="N30" s="24">
        <f t="shared" si="7"/>
        <v>18148.249315068493</v>
      </c>
      <c r="O30" s="24">
        <f t="shared" si="7"/>
        <v>21849.029315068496</v>
      </c>
    </row>
    <row r="31" spans="1:15">
      <c r="A31" s="14"/>
      <c r="B31" s="14" t="s">
        <v>326</v>
      </c>
      <c r="C31" s="75">
        <f>AVERAGE(D31:O31)</f>
        <v>125.08333333333333</v>
      </c>
      <c r="D31" s="430">
        <v>127</v>
      </c>
      <c r="E31" s="430">
        <v>124</v>
      </c>
      <c r="F31" s="430">
        <v>129</v>
      </c>
      <c r="G31" s="430">
        <v>127</v>
      </c>
      <c r="H31" s="430">
        <v>119</v>
      </c>
      <c r="I31" s="430">
        <v>129</v>
      </c>
      <c r="J31" s="430">
        <v>123</v>
      </c>
      <c r="K31" s="430">
        <v>124</v>
      </c>
      <c r="L31" s="430">
        <v>124</v>
      </c>
      <c r="M31" s="430">
        <v>127</v>
      </c>
      <c r="N31" s="430">
        <v>124</v>
      </c>
      <c r="O31" s="430">
        <v>124</v>
      </c>
    </row>
    <row r="32" spans="1:15">
      <c r="A32" s="14"/>
      <c r="B32" s="14" t="s">
        <v>327</v>
      </c>
      <c r="C32" s="75">
        <f>'Electric Factors '!$H$11</f>
        <v>3489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14"/>
      <c r="B33" s="14" t="s">
        <v>328</v>
      </c>
      <c r="C33" s="25"/>
      <c r="D33" s="14">
        <f>IF(OR(MONTH(D$3)={12,1,2,3}),'Electric Factors '!$E$11,IF(OR(MONTH(D$3)={7,8,9}),0,'Electric Factors '!$D$11))</f>
        <v>1.7569999999999999</v>
      </c>
      <c r="E33" s="14">
        <f>IF(OR(MONTH(E$3)={12,1,2,3}),'Electric Factors '!$E$11,IF(OR(MONTH(E$3)={7,8,9}),0,'Electric Factors '!$D$11))</f>
        <v>1.7569999999999999</v>
      </c>
      <c r="F33" s="14">
        <f>IF(OR(MONTH(F$3)={12,1,2,3}),'Electric Factors '!$E$11,IF(OR(MONTH(F$3)={7,8,9}),0,'Electric Factors '!$D$11))</f>
        <v>1.7569999999999999</v>
      </c>
      <c r="G33" s="14">
        <f>IF(OR(MONTH(G$3)={12,1,2,3}),'Electric Factors '!$E$11,IF(OR(MONTH(G$3)={7,8,9}),0,'Electric Factors '!$D$11))</f>
        <v>1.0549999999999999</v>
      </c>
      <c r="H33" s="14">
        <f>IF(OR(MONTH(H$3)={12,1,2,3}),'Electric Factors '!$E$11,IF(OR(MONTH(H$3)={7,8,9}),0,'Electric Factors '!$D$11))</f>
        <v>1.0549999999999999</v>
      </c>
      <c r="I33" s="14">
        <f>IF(OR(MONTH(I$3)={12,1,2,3}),'Electric Factors '!$E$11,IF(OR(MONTH(I$3)={7,8,9}),0,'Electric Factors '!$D$11))</f>
        <v>1.0549999999999999</v>
      </c>
      <c r="J33" s="14">
        <f>IF(OR(MONTH(J$3)={12,1,2,3}),'Electric Factors '!$E$11,IF(OR(MONTH(J$3)={7,8,9}),0,'Electric Factors '!$D$11))</f>
        <v>0</v>
      </c>
      <c r="K33" s="14">
        <f>IF(OR(MONTH(K$3)={12,1,2,3}),'Electric Factors '!$E$11,IF(OR(MONTH(K$3)={7,8,9}),0,'Electric Factors '!$D$11))</f>
        <v>0</v>
      </c>
      <c r="L33" s="14">
        <f>IF(OR(MONTH(L$3)={12,1,2,3}),'Electric Factors '!$E$11,IF(OR(MONTH(L$3)={7,8,9}),0,'Electric Factors '!$D$11))</f>
        <v>0</v>
      </c>
      <c r="M33" s="14">
        <f>IF(OR(MONTH(M$3)={12,1,2,3}),'Electric Factors '!$E$11,IF(OR(MONTH(M$3)={7,8,9}),0,'Electric Factors '!$D$11))</f>
        <v>1.0549999999999999</v>
      </c>
      <c r="N33" s="14">
        <f>IF(OR(MONTH(N$3)={12,1,2,3}),'Electric Factors '!$E$11,IF(OR(MONTH(N$3)={7,8,9}),0,'Electric Factors '!$D$11))</f>
        <v>1.0549999999999999</v>
      </c>
      <c r="O33" s="14">
        <f>IF(OR(MONTH(O$3)={12,1,2,3}),'Electric Factors '!$E$11,IF(OR(MONTH(O$3)={7,8,9}),0,'Electric Factors '!$D$11))</f>
        <v>1.7569999999999999</v>
      </c>
    </row>
    <row r="34" spans="1:15">
      <c r="A34" s="14"/>
      <c r="B34" s="14" t="s">
        <v>329</v>
      </c>
      <c r="C34" s="14"/>
      <c r="D34" s="14">
        <f>IF(OR(MONTH(D$3)={4,5,10,11}),'Electric Factors '!$F$11,IF(OR(MONTH(D$3)={6,7,8,9}),'Electric Factors '!$G$11,0))</f>
        <v>0</v>
      </c>
      <c r="E34" s="14">
        <f>IF(OR(MONTH(E$3)={4,5,10,11}),'Electric Factors '!$F$11,IF(OR(MONTH(E$3)={6,7,8,9}),'Electric Factors '!$G$11,0))</f>
        <v>0</v>
      </c>
      <c r="F34" s="14">
        <f>IF(OR(MONTH(F$3)={4,5,10,11}),'Electric Factors '!$F$11,IF(OR(MONTH(F$3)={6,7,8,9}),'Electric Factors '!$G$11,0))</f>
        <v>0</v>
      </c>
      <c r="G34" s="14">
        <f>IF(OR(MONTH(G$3)={4,5,10,11}),'Electric Factors '!$F$11,IF(OR(MONTH(G$3)={6,7,8,9}),'Electric Factors '!$G$11,0))</f>
        <v>1.35</v>
      </c>
      <c r="H34" s="14">
        <f>IF(OR(MONTH(H$3)={4,5,10,11}),'Electric Factors '!$F$11,IF(OR(MONTH(H$3)={6,7,8,9}),'Electric Factors '!$G$11,0))</f>
        <v>1.35</v>
      </c>
      <c r="I34" s="14">
        <f>IF(OR(MONTH(I$3)={4,5,10,11}),'Electric Factors '!$F$11,IF(OR(MONTH(I$3)={6,7,8,9}),'Electric Factors '!$G$11,0))</f>
        <v>1.35</v>
      </c>
      <c r="J34" s="14">
        <f>IF(OR(MONTH(J$3)={4,5,10,11}),'Electric Factors '!$F$11,IF(OR(MONTH(J$3)={6,7,8,9}),'Electric Factors '!$G$11,0))</f>
        <v>1.35</v>
      </c>
      <c r="K34" s="14">
        <f>IF(OR(MONTH(K$3)={4,5,10,11}),'Electric Factors '!$F$11,IF(OR(MONTH(K$3)={6,7,8,9}),'Electric Factors '!$G$11,0))</f>
        <v>1.35</v>
      </c>
      <c r="L34" s="14">
        <f>IF(OR(MONTH(L$3)={4,5,10,11}),'Electric Factors '!$F$11,IF(OR(MONTH(L$3)={6,7,8,9}),'Electric Factors '!$G$11,0))</f>
        <v>1.35</v>
      </c>
      <c r="M34" s="14">
        <f>IF(OR(MONTH(M$3)={4,5,10,11}),'Electric Factors '!$F$11,IF(OR(MONTH(M$3)={6,7,8,9}),'Electric Factors '!$G$11,0))</f>
        <v>1.35</v>
      </c>
      <c r="N34" s="14">
        <f>IF(OR(MONTH(N$3)={4,5,10,11}),'Electric Factors '!$F$11,IF(OR(MONTH(N$3)={6,7,8,9}),'Electric Factors '!$G$11,0))</f>
        <v>1.35</v>
      </c>
      <c r="O34" s="14">
        <f>IF(OR(MONTH(O$3)={4,5,10,11}),'Electric Factors '!$F$11,IF(OR(MONTH(O$3)={6,7,8,9}),'Electric Factors '!$G$11,0))</f>
        <v>0</v>
      </c>
    </row>
    <row r="35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 s="14" t="s">
        <v>200</v>
      </c>
      <c r="B36" s="14" t="s">
        <v>334</v>
      </c>
      <c r="C36" s="14"/>
      <c r="D36" s="153">
        <f>'12.2019 WA Usage'!C146</f>
        <v>248037.1799999997</v>
      </c>
      <c r="E36" s="153">
        <f>'12.2019 WA Usage'!D146</f>
        <v>242031.93499999493</v>
      </c>
      <c r="F36" s="153">
        <f>'12.2019 WA Usage'!E146</f>
        <v>270949.24500000477</v>
      </c>
      <c r="G36" s="153">
        <f>'12.2019 WA Usage'!F146</f>
        <v>201354.30800001323</v>
      </c>
      <c r="H36" s="153">
        <f>'12.2019 WA Usage'!G146</f>
        <v>165692.31599999964</v>
      </c>
      <c r="I36" s="153">
        <f>'12.2019 WA Usage'!H146</f>
        <v>107638.93900000304</v>
      </c>
      <c r="J36" s="153">
        <f>'12.2019 WA Usage'!I146</f>
        <v>142236.49799999595</v>
      </c>
      <c r="K36" s="153">
        <f>'12.2019 WA Usage'!J146</f>
        <v>148897.8410000056</v>
      </c>
      <c r="L36" s="153">
        <f>'12.2019 WA Usage'!K146</f>
        <v>185251.20399999619</v>
      </c>
      <c r="M36" s="153">
        <f>'12.2019 WA Usage'!L146</f>
        <v>144993.63999999315</v>
      </c>
      <c r="N36" s="153">
        <f>'12.2019 WA Usage'!M146</f>
        <v>173955.47999999672</v>
      </c>
      <c r="O36" s="153">
        <f>'12.2019 WA Usage'!N146</f>
        <v>229708.41899999976</v>
      </c>
    </row>
    <row r="37" spans="1:15">
      <c r="A37" s="14"/>
      <c r="B37" s="14" t="s">
        <v>335</v>
      </c>
      <c r="C37"/>
      <c r="D37" s="41">
        <f>D36/D$5</f>
        <v>8001.1993548386999</v>
      </c>
      <c r="E37" s="41">
        <f t="shared" ref="E37:O37" si="8">E36/E$5</f>
        <v>8643.9976785712479</v>
      </c>
      <c r="F37" s="41">
        <f t="shared" si="8"/>
        <v>8740.2982258066058</v>
      </c>
      <c r="G37" s="41">
        <f t="shared" si="8"/>
        <v>6711.8102666671075</v>
      </c>
      <c r="H37" s="41">
        <f t="shared" si="8"/>
        <v>5344.9134193548271</v>
      </c>
      <c r="I37" s="41">
        <f t="shared" si="8"/>
        <v>3587.9646333334344</v>
      </c>
      <c r="J37" s="41">
        <f t="shared" si="8"/>
        <v>4588.2741290321273</v>
      </c>
      <c r="K37" s="41">
        <f t="shared" si="8"/>
        <v>4803.1561612905034</v>
      </c>
      <c r="L37" s="41">
        <f t="shared" si="8"/>
        <v>6175.0401333332065</v>
      </c>
      <c r="M37" s="41">
        <f t="shared" si="8"/>
        <v>4677.2141935481659</v>
      </c>
      <c r="N37" s="41">
        <f t="shared" si="8"/>
        <v>5798.5159999998905</v>
      </c>
      <c r="O37" s="41">
        <f t="shared" si="8"/>
        <v>7409.9489999999923</v>
      </c>
    </row>
    <row r="38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 s="14" t="s">
        <v>333</v>
      </c>
      <c r="B39" s="14" t="s">
        <v>325</v>
      </c>
      <c r="C39" s="14"/>
      <c r="D39" s="24">
        <f>D18+D24+D30+D37</f>
        <v>2123065.885382236</v>
      </c>
      <c r="E39" s="24">
        <f t="shared" ref="E39:O39" si="9">E18+E24+E30+E37</f>
        <v>2203974.2038429552</v>
      </c>
      <c r="F39" s="24">
        <f t="shared" si="9"/>
        <v>2303922.7906915601</v>
      </c>
      <c r="G39" s="24">
        <f t="shared" si="9"/>
        <v>1718529.6519652971</v>
      </c>
      <c r="H39" s="24">
        <f t="shared" si="9"/>
        <v>1701330.5129809985</v>
      </c>
      <c r="I39" s="24">
        <f t="shared" si="9"/>
        <v>1986838.8195374431</v>
      </c>
      <c r="J39" s="24">
        <f t="shared" si="9"/>
        <v>2100037.6854988951</v>
      </c>
      <c r="K39" s="24">
        <f t="shared" si="9"/>
        <v>2214768.2874215646</v>
      </c>
      <c r="L39" s="24">
        <f t="shared" si="9"/>
        <v>1704619.5954073058</v>
      </c>
      <c r="M39" s="24">
        <f t="shared" si="9"/>
        <v>1879765.0532894384</v>
      </c>
      <c r="N39" s="24">
        <f t="shared" si="9"/>
        <v>1779687.7221643836</v>
      </c>
      <c r="O39" s="24">
        <f t="shared" si="9"/>
        <v>2049703.7125616437</v>
      </c>
    </row>
    <row r="40" spans="1:15">
      <c r="A40" s="14" t="str">
        <f>'Load Shape'!F2</f>
        <v>WA11</v>
      </c>
      <c r="B40" s="14" t="s">
        <v>330</v>
      </c>
      <c r="C40" s="14"/>
      <c r="D40" s="26">
        <f t="shared" ref="D40:O40" si="10">INDEX(LoadShape,MATCH(D$6,M.WkDy.H,0),$A41)</f>
        <v>4.7738261412350456E-2</v>
      </c>
      <c r="E40" s="26">
        <f t="shared" si="10"/>
        <v>4.5662797642268861E-2</v>
      </c>
      <c r="F40" s="26">
        <f t="shared" si="10"/>
        <v>4.2522801314898891E-2</v>
      </c>
      <c r="G40" s="26">
        <f t="shared" si="10"/>
        <v>4.2519663218252311E-2</v>
      </c>
      <c r="H40" s="26">
        <f t="shared" si="10"/>
        <v>4.9595042390871431E-2</v>
      </c>
      <c r="I40" s="26">
        <f t="shared" si="10"/>
        <v>5.4639862114913902E-2</v>
      </c>
      <c r="J40" s="26">
        <f t="shared" si="10"/>
        <v>5.2438919799965435E-2</v>
      </c>
      <c r="K40" s="26">
        <f t="shared" si="10"/>
        <v>5.3164858170779185E-2</v>
      </c>
      <c r="L40" s="26">
        <f t="shared" si="10"/>
        <v>4.0893889127197595E-2</v>
      </c>
      <c r="M40" s="26">
        <f t="shared" si="10"/>
        <v>4.7149092583036192E-2</v>
      </c>
      <c r="N40" s="26">
        <f t="shared" si="10"/>
        <v>4.2270425222168589E-2</v>
      </c>
      <c r="O40" s="26">
        <f t="shared" si="10"/>
        <v>4.3562481073717137E-2</v>
      </c>
    </row>
    <row r="41" spans="1:15">
      <c r="A41" s="40">
        <f>MATCH(A40,'Load Shape'!$E$2:$N$2,0)</f>
        <v>2</v>
      </c>
      <c r="B41" s="14" t="s">
        <v>212</v>
      </c>
      <c r="C41" s="24">
        <f>AVERAGE(D41:O41)</f>
        <v>93058.120029642479</v>
      </c>
      <c r="D41" s="24">
        <f t="shared" ref="D41:O41" si="11">D39*D40</f>
        <v>101351.47423202045</v>
      </c>
      <c r="E41" s="24">
        <f t="shared" si="11"/>
        <v>100639.62807886148</v>
      </c>
      <c r="F41" s="24">
        <f t="shared" si="11"/>
        <v>97969.251073444597</v>
      </c>
      <c r="G41" s="24">
        <f t="shared" si="11"/>
        <v>73071.302032144784</v>
      </c>
      <c r="H41" s="24">
        <f t="shared" si="11"/>
        <v>84377.558912175664</v>
      </c>
      <c r="I41" s="24">
        <f t="shared" si="11"/>
        <v>108560.59914408419</v>
      </c>
      <c r="J41" s="24">
        <f t="shared" si="11"/>
        <v>110123.70776678159</v>
      </c>
      <c r="K41" s="24">
        <f t="shared" si="11"/>
        <v>117747.84188190699</v>
      </c>
      <c r="L41" s="24">
        <f t="shared" si="11"/>
        <v>69708.524738634791</v>
      </c>
      <c r="M41" s="24">
        <f t="shared" si="11"/>
        <v>88629.216531899685</v>
      </c>
      <c r="N41" s="24">
        <f t="shared" si="11"/>
        <v>75228.156778561126</v>
      </c>
      <c r="O41" s="24">
        <f t="shared" si="11"/>
        <v>89290.179185194356</v>
      </c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14" t="s">
        <v>2361</v>
      </c>
      <c r="B43" s="14" t="s">
        <v>325</v>
      </c>
      <c r="C43" s="14"/>
      <c r="D43" s="24">
        <f>(($C45*12)/$P$5+D46*D$7+D47*D$8)*D44</f>
        <v>2119318.6202739724</v>
      </c>
      <c r="E43" s="24">
        <f t="shared" ref="E43:O43" si="12">(($C45*12)/$P$5+E46*E$7+E47*E$8)*E44</f>
        <v>2193622.9506849316</v>
      </c>
      <c r="F43" s="24">
        <f t="shared" si="12"/>
        <v>2296321.6890410958</v>
      </c>
      <c r="G43" s="24">
        <f t="shared" si="12"/>
        <v>1717204.5353972602</v>
      </c>
      <c r="H43" s="24">
        <f t="shared" si="12"/>
        <v>1723478.2965479454</v>
      </c>
      <c r="I43" s="24">
        <f t="shared" si="12"/>
        <v>2003485.5833424658</v>
      </c>
      <c r="J43" s="24">
        <f t="shared" si="12"/>
        <v>2115857.9671232877</v>
      </c>
      <c r="K43" s="24">
        <f t="shared" si="12"/>
        <v>2229255.5023561646</v>
      </c>
      <c r="L43" s="24">
        <f t="shared" si="12"/>
        <v>1723910.7123287672</v>
      </c>
      <c r="M43" s="24">
        <f t="shared" si="12"/>
        <v>1868817.2246164384</v>
      </c>
      <c r="N43" s="24">
        <f t="shared" si="12"/>
        <v>1772383.5287671234</v>
      </c>
      <c r="O43" s="24">
        <f t="shared" si="12"/>
        <v>2055448.5571232878</v>
      </c>
    </row>
    <row r="44" spans="1:15">
      <c r="A44" s="14"/>
      <c r="B44" s="14" t="s">
        <v>326</v>
      </c>
      <c r="C44" s="75">
        <f>AVERAGE(D44:O44)</f>
        <v>32650.25</v>
      </c>
      <c r="D44" s="431">
        <v>32663</v>
      </c>
      <c r="E44" s="431">
        <v>31762</v>
      </c>
      <c r="F44" s="431">
        <v>33249</v>
      </c>
      <c r="G44" s="431">
        <v>32546</v>
      </c>
      <c r="H44" s="431">
        <v>32768</v>
      </c>
      <c r="I44" s="431">
        <v>32598</v>
      </c>
      <c r="J44" s="431">
        <v>32660</v>
      </c>
      <c r="K44" s="431">
        <v>32731</v>
      </c>
      <c r="L44" s="431">
        <v>32100</v>
      </c>
      <c r="M44" s="431">
        <v>33433</v>
      </c>
      <c r="N44" s="431">
        <v>32560</v>
      </c>
      <c r="O44" s="431">
        <v>32733</v>
      </c>
    </row>
    <row r="45" spans="1:15">
      <c r="A45" s="40"/>
      <c r="B45" s="14" t="s">
        <v>327</v>
      </c>
      <c r="C45" s="75">
        <f>'Electric Factors '!$H$12</f>
        <v>1465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14"/>
      <c r="B46" s="14" t="s">
        <v>328</v>
      </c>
      <c r="C46" s="25"/>
      <c r="D46" s="14">
        <f>IF(OR(MONTH(D$3)={12,1,2,3}),'Electric Factors '!$E$12,IF(OR(MONTH(D$3)={7,8,9}),0,'Electric Factors '!$D$12))</f>
        <v>0.41799999999999998</v>
      </c>
      <c r="E46" s="14">
        <f>IF(OR(MONTH(E$3)={12,1,2,3}),'Electric Factors '!$E$12,IF(OR(MONTH(E$3)={7,8,9}),0,'Electric Factors '!$D$12))</f>
        <v>0.41799999999999998</v>
      </c>
      <c r="F46" s="14">
        <f>IF(OR(MONTH(F$3)={12,1,2,3}),'Electric Factors '!$E$12,IF(OR(MONTH(F$3)={7,8,9}),0,'Electric Factors '!$D$12))</f>
        <v>0.41799999999999998</v>
      </c>
      <c r="G46" s="14">
        <f>IF(OR(MONTH(G$3)={12,1,2,3}),'Electric Factors '!$E$12,IF(OR(MONTH(G$3)={7,8,9}),0,'Electric Factors '!$D$12))</f>
        <v>0.20899999999999999</v>
      </c>
      <c r="H46" s="14">
        <f>IF(OR(MONTH(H$3)={12,1,2,3}),'Electric Factors '!$E$12,IF(OR(MONTH(H$3)={7,8,9}),0,'Electric Factors '!$D$12))</f>
        <v>0.20899999999999999</v>
      </c>
      <c r="I46" s="14">
        <f>IF(OR(MONTH(I$3)={12,1,2,3}),'Electric Factors '!$E$12,IF(OR(MONTH(I$3)={7,8,9}),0,'Electric Factors '!$D$12))</f>
        <v>0.20899999999999999</v>
      </c>
      <c r="J46" s="14">
        <f>IF(OR(MONTH(J$3)={12,1,2,3}),'Electric Factors '!$E$12,IF(OR(MONTH(J$3)={7,8,9}),0,'Electric Factors '!$D$12))</f>
        <v>0</v>
      </c>
      <c r="K46" s="14">
        <f>IF(OR(MONTH(K$3)={12,1,2,3}),'Electric Factors '!$E$12,IF(OR(MONTH(K$3)={7,8,9}),0,'Electric Factors '!$D$12))</f>
        <v>0</v>
      </c>
      <c r="L46" s="14">
        <f>IF(OR(MONTH(L$3)={12,1,2,3}),'Electric Factors '!$E$12,IF(OR(MONTH(L$3)={7,8,9}),0,'Electric Factors '!$D$12))</f>
        <v>0</v>
      </c>
      <c r="M46" s="14">
        <f>IF(OR(MONTH(M$3)={12,1,2,3}),'Electric Factors '!$E$12,IF(OR(MONTH(M$3)={7,8,9}),0,'Electric Factors '!$D$12))</f>
        <v>0.20899999999999999</v>
      </c>
      <c r="N46" s="14">
        <f>IF(OR(MONTH(N$3)={12,1,2,3}),'Electric Factors '!$E$12,IF(OR(MONTH(N$3)={7,8,9}),0,'Electric Factors '!$D$12))</f>
        <v>0.20899999999999999</v>
      </c>
      <c r="O46" s="14">
        <f>IF(OR(MONTH(O$3)={12,1,2,3}),'Electric Factors '!$E$12,IF(OR(MONTH(O$3)={7,8,9}),0,'Electric Factors '!$D$12))</f>
        <v>0.41799999999999998</v>
      </c>
    </row>
    <row r="47" spans="1:15">
      <c r="A47" s="14"/>
      <c r="B47" s="14" t="s">
        <v>329</v>
      </c>
      <c r="C47" s="14"/>
      <c r="D47" s="14">
        <f>IF(OR(MONTH(D$3)={4,5,10,11}),'Electric Factors '!$F$12,IF(OR(MONTH(D$3)={6,7,8,9}),'Electric Factors '!$G$12,0))</f>
        <v>0</v>
      </c>
      <c r="E47" s="14">
        <f>IF(OR(MONTH(E$3)={4,5,10,11}),'Electric Factors '!$F$12,IF(OR(MONTH(E$3)={6,7,8,9}),'Electric Factors '!$G$12,0))</f>
        <v>0</v>
      </c>
      <c r="F47" s="14">
        <f>IF(OR(MONTH(F$3)={4,5,10,11}),'Electric Factors '!$F$12,IF(OR(MONTH(F$3)={6,7,8,9}),'Electric Factors '!$G$12,0))</f>
        <v>0</v>
      </c>
      <c r="G47" s="14">
        <f>IF(OR(MONTH(G$3)={4,5,10,11}),'Electric Factors '!$F$12,IF(OR(MONTH(G$3)={6,7,8,9}),'Electric Factors '!$G$12,0))</f>
        <v>1.1080000000000001</v>
      </c>
      <c r="H47" s="14">
        <f>IF(OR(MONTH(H$3)={4,5,10,11}),'Electric Factors '!$F$12,IF(OR(MONTH(H$3)={6,7,8,9}),'Electric Factors '!$G$12,0))</f>
        <v>1.1080000000000001</v>
      </c>
      <c r="I47" s="14">
        <f>IF(OR(MONTH(I$3)={4,5,10,11}),'Electric Factors '!$F$12,IF(OR(MONTH(I$3)={6,7,8,9}),'Electric Factors '!$G$12,0))</f>
        <v>1.1080000000000001</v>
      </c>
      <c r="J47" s="14">
        <f>IF(OR(MONTH(J$3)={4,5,10,11}),'Electric Factors '!$F$12,IF(OR(MONTH(J$3)={6,7,8,9}),'Electric Factors '!$G$12,0))</f>
        <v>1.1080000000000001</v>
      </c>
      <c r="K47" s="14">
        <f>IF(OR(MONTH(K$3)={4,5,10,11}),'Electric Factors '!$F$12,IF(OR(MONTH(K$3)={6,7,8,9}),'Electric Factors '!$G$12,0))</f>
        <v>1.1080000000000001</v>
      </c>
      <c r="L47" s="14">
        <f>IF(OR(MONTH(L$3)={4,5,10,11}),'Electric Factors '!$F$12,IF(OR(MONTH(L$3)={6,7,8,9}),'Electric Factors '!$G$12,0))</f>
        <v>1.1080000000000001</v>
      </c>
      <c r="M47" s="14">
        <f>IF(OR(MONTH(M$3)={4,5,10,11}),'Electric Factors '!$F$12,IF(OR(MONTH(M$3)={6,7,8,9}),'Electric Factors '!$G$12,0))</f>
        <v>1.1080000000000001</v>
      </c>
      <c r="N47" s="14">
        <f>IF(OR(MONTH(N$3)={4,5,10,11}),'Electric Factors '!$F$12,IF(OR(MONTH(N$3)={6,7,8,9}),'Electric Factors '!$G$12,0))</f>
        <v>1.1080000000000001</v>
      </c>
      <c r="O47" s="14">
        <f>IF(OR(MONTH(O$3)={4,5,10,11}),'Electric Factors '!$F$12,IF(OR(MONTH(O$3)={6,7,8,9}),'Electric Factors '!$G$12,0))</f>
        <v>0</v>
      </c>
    </row>
    <row r="48" spans="1:15">
      <c r="A48" s="14"/>
      <c r="B48" s="14" t="s">
        <v>330</v>
      </c>
      <c r="C48" s="14"/>
      <c r="D48" s="26">
        <f>D40</f>
        <v>4.7738261412350456E-2</v>
      </c>
      <c r="E48" s="26">
        <f t="shared" ref="E48:O48" si="13">E40</f>
        <v>4.5662797642268861E-2</v>
      </c>
      <c r="F48" s="26">
        <f t="shared" si="13"/>
        <v>4.2522801314898891E-2</v>
      </c>
      <c r="G48" s="26">
        <f t="shared" si="13"/>
        <v>4.2519663218252311E-2</v>
      </c>
      <c r="H48" s="26">
        <f t="shared" si="13"/>
        <v>4.9595042390871431E-2</v>
      </c>
      <c r="I48" s="26">
        <f t="shared" si="13"/>
        <v>5.4639862114913902E-2</v>
      </c>
      <c r="J48" s="26">
        <f t="shared" si="13"/>
        <v>5.2438919799965435E-2</v>
      </c>
      <c r="K48" s="26">
        <f t="shared" si="13"/>
        <v>5.3164858170779185E-2</v>
      </c>
      <c r="L48" s="26">
        <f t="shared" si="13"/>
        <v>4.0893889127197595E-2</v>
      </c>
      <c r="M48" s="26">
        <f t="shared" si="13"/>
        <v>4.7149092583036192E-2</v>
      </c>
      <c r="N48" s="26">
        <f t="shared" si="13"/>
        <v>4.2270425222168589E-2</v>
      </c>
      <c r="O48" s="26">
        <f t="shared" si="13"/>
        <v>4.3562481073717137E-2</v>
      </c>
    </row>
    <row r="49" spans="1:15">
      <c r="A49" s="14"/>
      <c r="B49" s="14" t="s">
        <v>213</v>
      </c>
      <c r="C49" s="24">
        <f>AVERAGE(D49:O49)</f>
        <v>93290.695407632622</v>
      </c>
      <c r="D49" s="24">
        <f t="shared" ref="D49:O49" si="14">D43*D48</f>
        <v>101172.58631070079</v>
      </c>
      <c r="E49" s="24">
        <f t="shared" si="14"/>
        <v>100166.96090056276</v>
      </c>
      <c r="F49" s="24">
        <f t="shared" si="14"/>
        <v>97646.030938187556</v>
      </c>
      <c r="G49" s="24">
        <f t="shared" si="14"/>
        <v>73014.95852194693</v>
      </c>
      <c r="H49" s="24">
        <f t="shared" si="14"/>
        <v>85475.979177042231</v>
      </c>
      <c r="I49" s="24">
        <f t="shared" si="14"/>
        <v>109470.17602305018</v>
      </c>
      <c r="J49" s="24">
        <f t="shared" si="14"/>
        <v>110953.30624609599</v>
      </c>
      <c r="K49" s="24">
        <f t="shared" si="14"/>
        <v>118518.05260919459</v>
      </c>
      <c r="L49" s="24">
        <f t="shared" si="14"/>
        <v>70497.413535160827</v>
      </c>
      <c r="M49" s="24">
        <f t="shared" si="14"/>
        <v>88113.036344213193</v>
      </c>
      <c r="N49" s="24">
        <f t="shared" si="14"/>
        <v>74919.40541775398</v>
      </c>
      <c r="O49" s="24">
        <f t="shared" si="14"/>
        <v>89540.438867682416</v>
      </c>
    </row>
    <row r="50" spans="1:15">
      <c r="A50" s="14"/>
      <c r="B50" s="14"/>
      <c r="C50" s="2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>
      <c r="A51" s="14" t="s">
        <v>2362</v>
      </c>
      <c r="B51" s="14" t="s">
        <v>325</v>
      </c>
      <c r="C51" s="14"/>
      <c r="D51" s="24">
        <f>(($C53*12)/$P$5+D54*D$7+D55*D$8)*D52</f>
        <v>130514.52054794523</v>
      </c>
      <c r="E51" s="24">
        <f t="shared" ref="E51:O51" si="15">(($C53*12)/$P$5+E54*E$7+E55*E$8)*E52</f>
        <v>126952.7780821918</v>
      </c>
      <c r="F51" s="24">
        <f t="shared" si="15"/>
        <v>144264.52054794523</v>
      </c>
      <c r="G51" s="24">
        <f t="shared" si="15"/>
        <v>88362.087315068493</v>
      </c>
      <c r="H51" s="24">
        <f t="shared" si="15"/>
        <v>80703.667726027401</v>
      </c>
      <c r="I51" s="24">
        <f t="shared" si="15"/>
        <v>97123.123726027407</v>
      </c>
      <c r="J51" s="24">
        <f t="shared" si="15"/>
        <v>101128.7443150685</v>
      </c>
      <c r="K51" s="24">
        <f t="shared" si="15"/>
        <v>111717.66813698631</v>
      </c>
      <c r="L51" s="24">
        <f t="shared" si="15"/>
        <v>75859.758082191795</v>
      </c>
      <c r="M51" s="24">
        <f t="shared" si="15"/>
        <v>110871.769369863</v>
      </c>
      <c r="N51" s="24">
        <f t="shared" si="15"/>
        <v>96696.0197260274</v>
      </c>
      <c r="O51" s="24">
        <f t="shared" si="15"/>
        <v>116221.14931506851</v>
      </c>
    </row>
    <row r="52" spans="1:15">
      <c r="A52" s="14"/>
      <c r="B52" s="14" t="s">
        <v>326</v>
      </c>
      <c r="C52" s="75">
        <f>AVERAGE(D52:O52)</f>
        <v>47.833333333333336</v>
      </c>
      <c r="D52" s="430">
        <v>50</v>
      </c>
      <c r="E52" s="430">
        <v>44</v>
      </c>
      <c r="F52" s="430">
        <v>50</v>
      </c>
      <c r="G52" s="430">
        <v>47</v>
      </c>
      <c r="H52" s="430">
        <v>48</v>
      </c>
      <c r="I52" s="430">
        <v>48</v>
      </c>
      <c r="J52" s="430">
        <v>47</v>
      </c>
      <c r="K52" s="430">
        <v>49</v>
      </c>
      <c r="L52" s="430">
        <v>44</v>
      </c>
      <c r="M52" s="430">
        <v>52</v>
      </c>
      <c r="N52" s="430">
        <v>48</v>
      </c>
      <c r="O52" s="430">
        <v>47</v>
      </c>
    </row>
    <row r="53" spans="1:15">
      <c r="A53" s="14"/>
      <c r="B53" s="14" t="s">
        <v>327</v>
      </c>
      <c r="C53" s="75">
        <f>'Electric Factors '!$H$13</f>
        <v>45938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>
      <c r="A54" s="14"/>
      <c r="B54" s="14" t="s">
        <v>328</v>
      </c>
      <c r="C54" s="25"/>
      <c r="D54" s="14">
        <f>IF(OR(MONTH(D$3)={12,1,2,3}),'Electric Factors '!$E$13,IF(OR(MONTH(D$3)={7,8,9}),0,'Electric Factors '!$D$13))</f>
        <v>27.5</v>
      </c>
      <c r="E54" s="14">
        <f>IF(OR(MONTH(E$3)={12,1,2,3}),'Electric Factors '!$E$13,IF(OR(MONTH(E$3)={7,8,9}),0,'Electric Factors '!$D$13))</f>
        <v>27.5</v>
      </c>
      <c r="F54" s="14">
        <f>IF(OR(MONTH(F$3)={12,1,2,3}),'Electric Factors '!$E$13,IF(OR(MONTH(F$3)={7,8,9}),0,'Electric Factors '!$D$13))</f>
        <v>27.5</v>
      </c>
      <c r="G54" s="14">
        <f>IF(OR(MONTH(G$3)={12,1,2,3}),'Electric Factors '!$E$13,IF(OR(MONTH(G$3)={7,8,9}),0,'Electric Factors '!$D$13))</f>
        <v>16.806999999999999</v>
      </c>
      <c r="H54" s="14">
        <f>IF(OR(MONTH(H$3)={12,1,2,3}),'Electric Factors '!$E$13,IF(OR(MONTH(H$3)={7,8,9}),0,'Electric Factors '!$D$13))</f>
        <v>16.806999999999999</v>
      </c>
      <c r="I54" s="14">
        <f>IF(OR(MONTH(I$3)={12,1,2,3}),'Electric Factors '!$E$13,IF(OR(MONTH(I$3)={7,8,9}),0,'Electric Factors '!$D$13))</f>
        <v>16.806999999999999</v>
      </c>
      <c r="J54" s="14">
        <f>IF(OR(MONTH(J$3)={12,1,2,3}),'Electric Factors '!$E$13,IF(OR(MONTH(J$3)={7,8,9}),0,'Electric Factors '!$D$13))</f>
        <v>0</v>
      </c>
      <c r="K54" s="14">
        <f>IF(OR(MONTH(K$3)={12,1,2,3}),'Electric Factors '!$E$13,IF(OR(MONTH(K$3)={7,8,9}),0,'Electric Factors '!$D$13))</f>
        <v>0</v>
      </c>
      <c r="L54" s="14">
        <f>IF(OR(MONTH(L$3)={12,1,2,3}),'Electric Factors '!$E$13,IF(OR(MONTH(L$3)={7,8,9}),0,'Electric Factors '!$D$13))</f>
        <v>0</v>
      </c>
      <c r="M54" s="14">
        <f>IF(OR(MONTH(M$3)={12,1,2,3}),'Electric Factors '!$E$13,IF(OR(MONTH(M$3)={7,8,9}),0,'Electric Factors '!$D$13))</f>
        <v>16.806999999999999</v>
      </c>
      <c r="N54" s="14">
        <f>IF(OR(MONTH(N$3)={12,1,2,3}),'Electric Factors '!$E$13,IF(OR(MONTH(N$3)={7,8,9}),0,'Electric Factors '!$D$13))</f>
        <v>16.806999999999999</v>
      </c>
      <c r="O54" s="14">
        <f>IF(OR(MONTH(O$3)={12,1,2,3}),'Electric Factors '!$E$13,IF(OR(MONTH(O$3)={7,8,9}),0,'Electric Factors '!$D$13))</f>
        <v>27.5</v>
      </c>
    </row>
    <row r="55" spans="1:15">
      <c r="A55" s="14"/>
      <c r="B55" s="14" t="s">
        <v>329</v>
      </c>
      <c r="C55" s="14"/>
      <c r="D55" s="14">
        <f>IF(OR(MONTH(D$3)={4,5,10,11}),'Electric Factors '!$F$13,IF(OR(MONTH(D$3)={6,7,8,9}),'Electric Factors '!$G$13,0))</f>
        <v>0</v>
      </c>
      <c r="E55" s="14">
        <f>IF(OR(MONTH(E$3)={4,5,10,11}),'Electric Factors '!$F$13,IF(OR(MONTH(E$3)={6,7,8,9}),'Electric Factors '!$G$13,0))</f>
        <v>0</v>
      </c>
      <c r="F55" s="14">
        <f>IF(OR(MONTH(F$3)={4,5,10,11}),'Electric Factors '!$F$13,IF(OR(MONTH(F$3)={6,7,8,9}),'Electric Factors '!$G$13,0))</f>
        <v>0</v>
      </c>
      <c r="G55" s="14">
        <f>IF(OR(MONTH(G$3)={4,5,10,11}),'Electric Factors '!$F$13,IF(OR(MONTH(G$3)={6,7,8,9}),'Electric Factors '!$G$13,0))</f>
        <v>42.759</v>
      </c>
      <c r="H55" s="14">
        <f>IF(OR(MONTH(H$3)={4,5,10,11}),'Electric Factors '!$F$13,IF(OR(MONTH(H$3)={6,7,8,9}),'Electric Factors '!$G$13,0))</f>
        <v>42.759</v>
      </c>
      <c r="I55" s="14">
        <f>IF(OR(MONTH(I$3)={4,5,10,11}),'Electric Factors '!$F$13,IF(OR(MONTH(I$3)={6,7,8,9}),'Electric Factors '!$G$13,0))</f>
        <v>42.759</v>
      </c>
      <c r="J55" s="14">
        <f>IF(OR(MONTH(J$3)={4,5,10,11}),'Electric Factors '!$F$13,IF(OR(MONTH(J$3)={6,7,8,9}),'Electric Factors '!$G$13,0))</f>
        <v>42.759</v>
      </c>
      <c r="K55" s="14">
        <f>IF(OR(MONTH(K$3)={4,5,10,11}),'Electric Factors '!$F$13,IF(OR(MONTH(K$3)={6,7,8,9}),'Electric Factors '!$G$13,0))</f>
        <v>42.759</v>
      </c>
      <c r="L55" s="14">
        <f>IF(OR(MONTH(L$3)={4,5,10,11}),'Electric Factors '!$F$13,IF(OR(MONTH(L$3)={6,7,8,9}),'Electric Factors '!$G$13,0))</f>
        <v>42.759</v>
      </c>
      <c r="M55" s="14">
        <f>IF(OR(MONTH(M$3)={4,5,10,11}),'Electric Factors '!$F$13,IF(OR(MONTH(M$3)={6,7,8,9}),'Electric Factors '!$G$13,0))</f>
        <v>42.759</v>
      </c>
      <c r="N55" s="14">
        <f>IF(OR(MONTH(N$3)={4,5,10,11}),'Electric Factors '!$F$13,IF(OR(MONTH(N$3)={6,7,8,9}),'Electric Factors '!$G$13,0))</f>
        <v>42.759</v>
      </c>
      <c r="O55" s="14">
        <f>IF(OR(MONTH(O$3)={4,5,10,11}),'Electric Factors '!$F$13,IF(OR(MONTH(O$3)={6,7,8,9}),'Electric Factors '!$G$13,0))</f>
        <v>0</v>
      </c>
    </row>
    <row r="56" spans="1:15">
      <c r="A56" s="14"/>
      <c r="B56" s="14" t="s">
        <v>330</v>
      </c>
      <c r="C56" s="14"/>
      <c r="D56" s="26">
        <f>D69</f>
        <v>4.740046053239292E-2</v>
      </c>
      <c r="E56" s="26">
        <f t="shared" ref="E56:O56" si="16">E69</f>
        <v>4.6380033248455903E-2</v>
      </c>
      <c r="F56" s="26">
        <f t="shared" si="16"/>
        <v>4.6484859344658562E-2</v>
      </c>
      <c r="G56" s="26">
        <f t="shared" si="16"/>
        <v>4.4493799208095944E-2</v>
      </c>
      <c r="H56" s="26">
        <f t="shared" si="16"/>
        <v>4.86399532081076E-2</v>
      </c>
      <c r="I56" s="26">
        <f t="shared" si="16"/>
        <v>5.1345029717727225E-2</v>
      </c>
      <c r="J56" s="26">
        <f t="shared" si="16"/>
        <v>4.9760644420550323E-2</v>
      </c>
      <c r="K56" s="26">
        <f t="shared" si="16"/>
        <v>5.0256028243107098E-2</v>
      </c>
      <c r="L56" s="26">
        <f t="shared" si="16"/>
        <v>4.5337297512007817E-2</v>
      </c>
      <c r="M56" s="26">
        <f t="shared" si="16"/>
        <v>4.7123552360301552E-2</v>
      </c>
      <c r="N56" s="26">
        <f t="shared" si="16"/>
        <v>4.6039068851214601E-2</v>
      </c>
      <c r="O56" s="26">
        <f t="shared" si="16"/>
        <v>4.4346334694336152E-2</v>
      </c>
    </row>
    <row r="57" spans="1:15">
      <c r="A57" s="14"/>
      <c r="B57" s="14" t="s">
        <v>331</v>
      </c>
      <c r="C57" s="24">
        <f>AVERAGE(D57:O57)</f>
        <v>5045.0715149433117</v>
      </c>
      <c r="D57" s="24">
        <f t="shared" ref="D57:O57" si="17">D51*D56</f>
        <v>6186.4483801370625</v>
      </c>
      <c r="E57" s="24">
        <f t="shared" si="17"/>
        <v>5888.0740684358998</v>
      </c>
      <c r="F57" s="24">
        <f t="shared" si="17"/>
        <v>6706.1159460958388</v>
      </c>
      <c r="G57" s="24">
        <f t="shared" si="17"/>
        <v>3931.5649706048994</v>
      </c>
      <c r="H57" s="24">
        <f t="shared" si="17"/>
        <v>3925.4226219166362</v>
      </c>
      <c r="I57" s="24">
        <f t="shared" si="17"/>
        <v>4986.7896739913749</v>
      </c>
      <c r="J57" s="24">
        <f t="shared" si="17"/>
        <v>5032.2314865588733</v>
      </c>
      <c r="K57" s="24">
        <f t="shared" si="17"/>
        <v>5614.4862851464495</v>
      </c>
      <c r="L57" s="24">
        <f t="shared" si="17"/>
        <v>3439.2764213612691</v>
      </c>
      <c r="M57" s="24">
        <f t="shared" si="17"/>
        <v>5224.6716291800167</v>
      </c>
      <c r="N57" s="24">
        <f t="shared" si="17"/>
        <v>4451.7947098049808</v>
      </c>
      <c r="O57" s="24">
        <f t="shared" si="17"/>
        <v>5153.9819860864454</v>
      </c>
    </row>
    <row r="58" spans="1:15">
      <c r="A58" s="14"/>
      <c r="B58" s="1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14" t="s">
        <v>2385</v>
      </c>
      <c r="B59" s="14" t="s">
        <v>325</v>
      </c>
      <c r="C59" s="14"/>
      <c r="D59" s="24">
        <f>(($C61*12)/$P$5+D62*D$7+D63*D$8)*D60</f>
        <v>3783961.7578082187</v>
      </c>
      <c r="E59" s="24">
        <f t="shared" ref="E59:O59" si="18">(($C61*12)/$P$5+E62*E$7+E63*E$8)*E60</f>
        <v>3735567.4246575343</v>
      </c>
      <c r="F59" s="24">
        <f t="shared" si="18"/>
        <v>3953004.4109589043</v>
      </c>
      <c r="G59" s="24">
        <f t="shared" si="18"/>
        <v>3550680.1972602741</v>
      </c>
      <c r="H59" s="24">
        <f t="shared" si="18"/>
        <v>3682528.0671780817</v>
      </c>
      <c r="I59" s="24">
        <f t="shared" si="18"/>
        <v>4056968.6718904111</v>
      </c>
      <c r="J59" s="24">
        <f t="shared" si="18"/>
        <v>4178531.3658904107</v>
      </c>
      <c r="K59" s="24">
        <f t="shared" si="18"/>
        <v>4290441.7724383557</v>
      </c>
      <c r="L59" s="24">
        <f t="shared" si="18"/>
        <v>3642039.5643835613</v>
      </c>
      <c r="M59" s="24">
        <f t="shared" si="18"/>
        <v>3660887.5397260273</v>
      </c>
      <c r="N59" s="24">
        <f t="shared" si="18"/>
        <v>3520623.6493150685</v>
      </c>
      <c r="O59" s="24">
        <f t="shared" si="18"/>
        <v>3794140.2852054792</v>
      </c>
    </row>
    <row r="60" spans="1:15">
      <c r="A60" s="14"/>
      <c r="B60" s="14" t="s">
        <v>326</v>
      </c>
      <c r="C60" s="75">
        <f>AVERAGE(D60:O60)</f>
        <v>1772.25</v>
      </c>
      <c r="D60" s="430">
        <v>1768</v>
      </c>
      <c r="E60" s="430">
        <v>1718</v>
      </c>
      <c r="F60" s="430">
        <v>1818</v>
      </c>
      <c r="G60" s="430">
        <v>1772</v>
      </c>
      <c r="H60" s="430">
        <v>1758</v>
      </c>
      <c r="I60" s="430">
        <v>1782</v>
      </c>
      <c r="J60" s="430">
        <v>1782</v>
      </c>
      <c r="K60" s="430">
        <v>1778</v>
      </c>
      <c r="L60" s="430">
        <v>1720</v>
      </c>
      <c r="M60" s="430">
        <v>1827</v>
      </c>
      <c r="N60" s="430">
        <v>1757</v>
      </c>
      <c r="O60" s="430">
        <v>1787</v>
      </c>
    </row>
    <row r="61" spans="1:15">
      <c r="A61" s="14"/>
      <c r="B61" s="14" t="s">
        <v>327</v>
      </c>
      <c r="C61" s="75">
        <f>'Electric Factors '!$H$14</f>
        <v>60948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>
      <c r="A62" s="14"/>
      <c r="B62" s="14" t="s">
        <v>328</v>
      </c>
      <c r="C62" s="25"/>
      <c r="D62" s="14">
        <f>IF(OR(MONTH(D$3)={12,1,2,3}),'Electric Factors '!$E$14,IF(OR(MONTH(D$3)={7,8,9}),0,'Electric Factors '!$D$14))</f>
        <v>3.4119999999999999</v>
      </c>
      <c r="E62" s="14">
        <f>IF(OR(MONTH(E$3)={12,1,2,3}),'Electric Factors '!$E$14,IF(OR(MONTH(E$3)={7,8,9}),0,'Electric Factors '!$D$14))</f>
        <v>3.4119999999999999</v>
      </c>
      <c r="F62" s="14">
        <f>IF(OR(MONTH(F$3)={12,1,2,3}),'Electric Factors '!$E$14,IF(OR(MONTH(F$3)={7,8,9}),0,'Electric Factors '!$D$14))</f>
        <v>3.4119999999999999</v>
      </c>
      <c r="G62" s="14">
        <f>IF(OR(MONTH(G$3)={12,1,2,3}),'Electric Factors '!$E$14,IF(OR(MONTH(G$3)={7,8,9}),0,'Electric Factors '!$D$14))</f>
        <v>0</v>
      </c>
      <c r="H62" s="14">
        <f>IF(OR(MONTH(H$3)={12,1,2,3}),'Electric Factors '!$E$14,IF(OR(MONTH(H$3)={7,8,9}),0,'Electric Factors '!$D$14))</f>
        <v>0</v>
      </c>
      <c r="I62" s="14">
        <f>IF(OR(MONTH(I$3)={12,1,2,3}),'Electric Factors '!$E$14,IF(OR(MONTH(I$3)={7,8,9}),0,'Electric Factors '!$D$14))</f>
        <v>0</v>
      </c>
      <c r="J62" s="14">
        <f>IF(OR(MONTH(J$3)={12,1,2,3}),'Electric Factors '!$E$14,IF(OR(MONTH(J$3)={7,8,9}),0,'Electric Factors '!$D$14))</f>
        <v>0</v>
      </c>
      <c r="K62" s="14">
        <f>IF(OR(MONTH(K$3)={12,1,2,3}),'Electric Factors '!$E$14,IF(OR(MONTH(K$3)={7,8,9}),0,'Electric Factors '!$D$14))</f>
        <v>0</v>
      </c>
      <c r="L62" s="14">
        <f>IF(OR(MONTH(L$3)={12,1,2,3}),'Electric Factors '!$E$14,IF(OR(MONTH(L$3)={7,8,9}),0,'Electric Factors '!$D$14))</f>
        <v>0</v>
      </c>
      <c r="M62" s="14">
        <f>IF(OR(MONTH(M$3)={12,1,2,3}),'Electric Factors '!$E$14,IF(OR(MONTH(M$3)={7,8,9}),0,'Electric Factors '!$D$14))</f>
        <v>0</v>
      </c>
      <c r="N62" s="14">
        <f>IF(OR(MONTH(N$3)={12,1,2,3}),'Electric Factors '!$E$14,IF(OR(MONTH(N$3)={7,8,9}),0,'Electric Factors '!$D$14))</f>
        <v>0</v>
      </c>
      <c r="O62" s="14">
        <f>IF(OR(MONTH(O$3)={12,1,2,3}),'Electric Factors '!$E$14,IF(OR(MONTH(O$3)={7,8,9}),0,'Electric Factors '!$D$14))</f>
        <v>3.4119999999999999</v>
      </c>
    </row>
    <row r="63" spans="1:15">
      <c r="A63" s="14"/>
      <c r="B63" s="14" t="s">
        <v>329</v>
      </c>
      <c r="C63" s="14"/>
      <c r="D63" s="14">
        <f>IF(OR(MONTH(D$3)={4,5,10,11}),'Electric Factors '!$F$14,IF(OR(MONTH(D$3)={6,7,8,9}),'Electric Factors '!$G$14,0))</f>
        <v>0</v>
      </c>
      <c r="E63" s="14">
        <f>IF(OR(MONTH(E$3)={4,5,10,11}),'Electric Factors '!$F$14,IF(OR(MONTH(E$3)={6,7,8,9}),'Electric Factors '!$G$14,0))</f>
        <v>0</v>
      </c>
      <c r="F63" s="14">
        <f>IF(OR(MONTH(F$3)={4,5,10,11}),'Electric Factors '!$F$14,IF(OR(MONTH(F$3)={6,7,8,9}),'Electric Factors '!$G$14,0))</f>
        <v>0</v>
      </c>
      <c r="G63" s="14">
        <f>IF(OR(MONTH(G$3)={4,5,10,11}),'Electric Factors '!$F$14,IF(OR(MONTH(G$3)={6,7,8,9}),'Electric Factors '!$G$14,0))</f>
        <v>22.739000000000001</v>
      </c>
      <c r="H63" s="14">
        <f>IF(OR(MONTH(H$3)={4,5,10,11}),'Electric Factors '!$F$14,IF(OR(MONTH(H$3)={6,7,8,9}),'Electric Factors '!$G$14,0))</f>
        <v>22.739000000000001</v>
      </c>
      <c r="I63" s="14">
        <f>IF(OR(MONTH(I$3)={4,5,10,11}),'Electric Factors '!$F$14,IF(OR(MONTH(I$3)={6,7,8,9}),'Electric Factors '!$G$14,0))</f>
        <v>22.739000000000001</v>
      </c>
      <c r="J63" s="14">
        <f>IF(OR(MONTH(J$3)={4,5,10,11}),'Electric Factors '!$F$14,IF(OR(MONTH(J$3)={6,7,8,9}),'Electric Factors '!$G$14,0))</f>
        <v>22.739000000000001</v>
      </c>
      <c r="K63" s="14">
        <f>IF(OR(MONTH(K$3)={4,5,10,11}),'Electric Factors '!$F$14,IF(OR(MONTH(K$3)={6,7,8,9}),'Electric Factors '!$G$14,0))</f>
        <v>22.739000000000001</v>
      </c>
      <c r="L63" s="14">
        <f>IF(OR(MONTH(L$3)={4,5,10,11}),'Electric Factors '!$F$14,IF(OR(MONTH(L$3)={6,7,8,9}),'Electric Factors '!$G$14,0))</f>
        <v>22.739000000000001</v>
      </c>
      <c r="M63" s="14">
        <f>IF(OR(MONTH(M$3)={4,5,10,11}),'Electric Factors '!$F$14,IF(OR(MONTH(M$3)={6,7,8,9}),'Electric Factors '!$G$14,0))</f>
        <v>22.739000000000001</v>
      </c>
      <c r="N63" s="14">
        <f>IF(OR(MONTH(N$3)={4,5,10,11}),'Electric Factors '!$F$14,IF(OR(MONTH(N$3)={6,7,8,9}),'Electric Factors '!$G$14,0))</f>
        <v>22.739000000000001</v>
      </c>
      <c r="O63" s="14">
        <f>IF(OR(MONTH(O$3)={4,5,10,11}),'Electric Factors '!$F$14,IF(OR(MONTH(O$3)={6,7,8,9}),'Electric Factors '!$G$14,0))</f>
        <v>0</v>
      </c>
    </row>
    <row r="64" spans="1:15">
      <c r="A64" s="14"/>
      <c r="B64" s="14" t="s">
        <v>330</v>
      </c>
      <c r="C64" s="14"/>
      <c r="D64" s="26">
        <f>D69</f>
        <v>4.740046053239292E-2</v>
      </c>
      <c r="E64" s="26">
        <f t="shared" ref="E64:O64" si="19">E69</f>
        <v>4.6380033248455903E-2</v>
      </c>
      <c r="F64" s="26">
        <f t="shared" si="19"/>
        <v>4.6484859344658562E-2</v>
      </c>
      <c r="G64" s="26">
        <f t="shared" si="19"/>
        <v>4.4493799208095944E-2</v>
      </c>
      <c r="H64" s="26">
        <f t="shared" si="19"/>
        <v>4.86399532081076E-2</v>
      </c>
      <c r="I64" s="26">
        <f t="shared" si="19"/>
        <v>5.1345029717727225E-2</v>
      </c>
      <c r="J64" s="26">
        <f t="shared" si="19"/>
        <v>4.9760644420550323E-2</v>
      </c>
      <c r="K64" s="26">
        <f t="shared" si="19"/>
        <v>5.0256028243107098E-2</v>
      </c>
      <c r="L64" s="26">
        <f t="shared" si="19"/>
        <v>4.5337297512007817E-2</v>
      </c>
      <c r="M64" s="26">
        <f t="shared" si="19"/>
        <v>4.7123552360301552E-2</v>
      </c>
      <c r="N64" s="26">
        <f t="shared" si="19"/>
        <v>4.6039068851214601E-2</v>
      </c>
      <c r="O64" s="26">
        <f t="shared" si="19"/>
        <v>4.4346334694336152E-2</v>
      </c>
    </row>
    <row r="65" spans="1:15">
      <c r="A65" s="14"/>
      <c r="B65" s="14" t="s">
        <v>331</v>
      </c>
      <c r="C65" s="24">
        <f>AVERAGE(D65:O65)</f>
        <v>181108.51915680963</v>
      </c>
      <c r="D65" s="24">
        <f t="shared" ref="D65" si="20">D59*D64</f>
        <v>179361.52995707261</v>
      </c>
      <c r="E65" s="24">
        <f t="shared" ref="E65:O65" si="21">E59*E64</f>
        <v>173255.74135746525</v>
      </c>
      <c r="F65" s="24">
        <f t="shared" si="21"/>
        <v>183754.85403223953</v>
      </c>
      <c r="G65" s="24">
        <f t="shared" si="21"/>
        <v>157983.25174906114</v>
      </c>
      <c r="H65" s="24">
        <f t="shared" si="21"/>
        <v>179117.9928750848</v>
      </c>
      <c r="I65" s="24">
        <f t="shared" si="21"/>
        <v>208305.1770221015</v>
      </c>
      <c r="J65" s="24">
        <f t="shared" si="21"/>
        <v>207926.41349818918</v>
      </c>
      <c r="K65" s="24">
        <f t="shared" si="21"/>
        <v>215620.56289106849</v>
      </c>
      <c r="L65" s="24">
        <f t="shared" si="21"/>
        <v>165120.23128096087</v>
      </c>
      <c r="M65" s="24">
        <f t="shared" si="21"/>
        <v>172514.02566345499</v>
      </c>
      <c r="N65" s="24">
        <f t="shared" si="21"/>
        <v>162086.23459003086</v>
      </c>
      <c r="O65" s="24">
        <f t="shared" si="21"/>
        <v>168256.2149649862</v>
      </c>
    </row>
    <row r="66" spans="1:15">
      <c r="A66" s="14"/>
      <c r="B66" s="1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14" t="s">
        <v>418</v>
      </c>
      <c r="B67" s="14" t="s">
        <v>334</v>
      </c>
      <c r="C67" s="193"/>
      <c r="D67" s="24">
        <f>'12.2019 WA Usage'!C157-D72</f>
        <v>-46382.379999993369</v>
      </c>
      <c r="E67" s="24">
        <f>'12.2019 WA Usage'!D157-E72</f>
        <v>904914.30000000168</v>
      </c>
      <c r="F67" s="24">
        <f>'12.2019 WA Usage'!E157-F72</f>
        <v>-74295.679999999702</v>
      </c>
      <c r="G67" s="24">
        <f>'12.2019 WA Usage'!F157-G72</f>
        <v>64410.349999994971</v>
      </c>
      <c r="H67" s="24">
        <f>'12.2019 WA Usage'!G157-H72</f>
        <v>-640862.51999999769</v>
      </c>
      <c r="I67" s="24">
        <f>'12.2019 WA Usage'!H157-I72</f>
        <v>-671851.07999999449</v>
      </c>
      <c r="J67" s="24">
        <f>'12.2019 WA Usage'!I157-J72</f>
        <v>-544955.37999999896</v>
      </c>
      <c r="K67" s="24">
        <f>'12.2019 WA Usage'!J157-K72</f>
        <v>-1234410.1099999938</v>
      </c>
      <c r="L67" s="24">
        <f>'12.2019 WA Usage'!K157-L72</f>
        <v>-1191788.0799999982</v>
      </c>
      <c r="M67" s="24">
        <f>'12.2019 WA Usage'!L157-M72</f>
        <v>-518725.43000000343</v>
      </c>
      <c r="N67" s="24">
        <f>'12.2019 WA Usage'!M157-N72</f>
        <v>-1085561.0499999858</v>
      </c>
      <c r="O67" s="24">
        <f>'12.2019 WA Usage'!N157-O72</f>
        <v>-2755.3299999963492</v>
      </c>
    </row>
    <row r="68" spans="1:15">
      <c r="A68" s="14" t="str">
        <f>'Load Shape'!G2</f>
        <v>WA21S</v>
      </c>
      <c r="B68" s="14" t="s">
        <v>335</v>
      </c>
      <c r="C68" s="14"/>
      <c r="D68" s="41">
        <f>D67/D$5</f>
        <v>-1496.205806451399</v>
      </c>
      <c r="E68" s="41">
        <f t="shared" ref="E68:O68" si="22">E67/E$5</f>
        <v>32318.367857142915</v>
      </c>
      <c r="F68" s="41">
        <f t="shared" si="22"/>
        <v>-2396.6348387096677</v>
      </c>
      <c r="G68" s="41">
        <f t="shared" si="22"/>
        <v>2147.011666666499</v>
      </c>
      <c r="H68" s="41">
        <f t="shared" si="22"/>
        <v>-20672.98451612896</v>
      </c>
      <c r="I68" s="41">
        <f t="shared" si="22"/>
        <v>-22395.035999999815</v>
      </c>
      <c r="J68" s="41">
        <f t="shared" si="22"/>
        <v>-17579.20580645158</v>
      </c>
      <c r="K68" s="41">
        <f t="shared" si="22"/>
        <v>-39819.680967741733</v>
      </c>
      <c r="L68" s="41">
        <f t="shared" si="22"/>
        <v>-39726.269333333272</v>
      </c>
      <c r="M68" s="41">
        <f t="shared" si="22"/>
        <v>-16733.078387096884</v>
      </c>
      <c r="N68" s="41">
        <f t="shared" si="22"/>
        <v>-36185.368333332859</v>
      </c>
      <c r="O68" s="41">
        <f t="shared" si="22"/>
        <v>-88.881612903108035</v>
      </c>
    </row>
    <row r="69" spans="1:15">
      <c r="A69" s="40">
        <f>MATCH(A68,'Load Shape'!$E$2:$N$2,0)</f>
        <v>3</v>
      </c>
      <c r="B69" s="14" t="s">
        <v>330</v>
      </c>
      <c r="C69" s="14"/>
      <c r="D69" s="26">
        <f t="shared" ref="D69:O69" si="23">INDEX(LoadShape,MATCH(D$6,M.WkDy.H,0),$A69)</f>
        <v>4.740046053239292E-2</v>
      </c>
      <c r="E69" s="26">
        <f t="shared" si="23"/>
        <v>4.6380033248455903E-2</v>
      </c>
      <c r="F69" s="26">
        <f t="shared" si="23"/>
        <v>4.6484859344658562E-2</v>
      </c>
      <c r="G69" s="26">
        <f t="shared" si="23"/>
        <v>4.4493799208095944E-2</v>
      </c>
      <c r="H69" s="26">
        <f t="shared" si="23"/>
        <v>4.86399532081076E-2</v>
      </c>
      <c r="I69" s="26">
        <f t="shared" si="23"/>
        <v>5.1345029717727225E-2</v>
      </c>
      <c r="J69" s="26">
        <f t="shared" si="23"/>
        <v>4.9760644420550323E-2</v>
      </c>
      <c r="K69" s="26">
        <f t="shared" si="23"/>
        <v>5.0256028243107098E-2</v>
      </c>
      <c r="L69" s="26">
        <f t="shared" si="23"/>
        <v>4.5337297512007817E-2</v>
      </c>
      <c r="M69" s="26">
        <f t="shared" si="23"/>
        <v>4.7123552360301552E-2</v>
      </c>
      <c r="N69" s="26">
        <f t="shared" si="23"/>
        <v>4.6039068851214601E-2</v>
      </c>
      <c r="O69" s="26">
        <f t="shared" si="23"/>
        <v>4.4346334694336152E-2</v>
      </c>
    </row>
    <row r="70" spans="1:15">
      <c r="B70" s="14" t="s">
        <v>331</v>
      </c>
      <c r="C70" s="24">
        <f>AVERAGE(D70:O70)</f>
        <v>-656.5580691886106</v>
      </c>
      <c r="D70" s="24">
        <f t="shared" ref="D70:O70" si="24">D68*D69</f>
        <v>-70.920844277036664</v>
      </c>
      <c r="E70" s="24">
        <f t="shared" si="24"/>
        <v>1498.926975750117</v>
      </c>
      <c r="F70" s="24">
        <f t="shared" si="24"/>
        <v>-111.40723337792737</v>
      </c>
      <c r="G70" s="24">
        <f t="shared" si="24"/>
        <v>95.52870599409863</v>
      </c>
      <c r="H70" s="24">
        <f t="shared" si="24"/>
        <v>-1005.5329995364456</v>
      </c>
      <c r="I70" s="24">
        <f t="shared" si="24"/>
        <v>-1149.8737889495615</v>
      </c>
      <c r="J70" s="24">
        <f t="shared" si="24"/>
        <v>-874.75260933051072</v>
      </c>
      <c r="K70" s="24">
        <f t="shared" si="24"/>
        <v>-2001.1790113463428</v>
      </c>
      <c r="L70" s="24">
        <f t="shared" si="24"/>
        <v>-1801.0816918074829</v>
      </c>
      <c r="M70" s="24">
        <f t="shared" si="24"/>
        <v>-788.52209552339025</v>
      </c>
      <c r="N70" s="24">
        <f t="shared" si="24"/>
        <v>-1665.940664104872</v>
      </c>
      <c r="O70" s="24">
        <f t="shared" si="24"/>
        <v>-3.9415737539736555</v>
      </c>
    </row>
    <row r="71" spans="1:15">
      <c r="A71" s="14"/>
      <c r="B71" s="14"/>
      <c r="C71" s="2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 t="s">
        <v>336</v>
      </c>
      <c r="B72" s="14" t="s">
        <v>334</v>
      </c>
      <c r="C72" s="14"/>
      <c r="D72" s="24">
        <f>'12.2019 WA Usage'!C114</f>
        <v>8863219.3100000005</v>
      </c>
      <c r="E72" s="24">
        <f>'12.2019 WA Usage'!D114</f>
        <v>7766660.1200000001</v>
      </c>
      <c r="F72" s="24">
        <f>'12.2019 WA Usage'!E114</f>
        <v>8953352.6799999997</v>
      </c>
      <c r="G72" s="24">
        <f>'12.2019 WA Usage'!F114</f>
        <v>8301723.1399999997</v>
      </c>
      <c r="H72" s="24">
        <f>'12.2019 WA Usage'!G114</f>
        <v>8491115.4399999995</v>
      </c>
      <c r="I72" s="24">
        <f>'12.2019 WA Usage'!H114</f>
        <v>8762877.9800000004</v>
      </c>
      <c r="J72" s="24">
        <f>'12.2019 WA Usage'!I114</f>
        <v>8728638.6600000001</v>
      </c>
      <c r="K72" s="24">
        <f>'12.2019 WA Usage'!J114</f>
        <v>9187464.9000000004</v>
      </c>
      <c r="L72" s="24">
        <f>'12.2019 WA Usage'!K114</f>
        <v>9525559.4699999988</v>
      </c>
      <c r="M72" s="24">
        <f>'12.2019 WA Usage'!L114</f>
        <v>8393192.3099999987</v>
      </c>
      <c r="N72" s="24">
        <f>'12.2019 WA Usage'!M114</f>
        <v>8866972.8499999978</v>
      </c>
      <c r="O72" s="24">
        <f>'12.2019 WA Usage'!N114</f>
        <v>9093281.5600000005</v>
      </c>
    </row>
    <row r="73" spans="1:15">
      <c r="A73" s="14" t="str">
        <f>'Load Shape'!H2</f>
        <v>WA21P</v>
      </c>
      <c r="B73" s="14" t="s">
        <v>335</v>
      </c>
      <c r="C73" s="14"/>
      <c r="D73" s="41">
        <f>D72/D$5</f>
        <v>285910.30032258068</v>
      </c>
      <c r="E73" s="41">
        <f t="shared" ref="E73:O73" si="25">E72/E$5</f>
        <v>277380.71857142856</v>
      </c>
      <c r="F73" s="41">
        <f t="shared" si="25"/>
        <v>288817.82838709676</v>
      </c>
      <c r="G73" s="41">
        <f t="shared" si="25"/>
        <v>276724.10466666665</v>
      </c>
      <c r="H73" s="41">
        <f t="shared" si="25"/>
        <v>273906.94967741932</v>
      </c>
      <c r="I73" s="41">
        <f t="shared" si="25"/>
        <v>292095.93266666669</v>
      </c>
      <c r="J73" s="41">
        <f t="shared" si="25"/>
        <v>281568.98903225805</v>
      </c>
      <c r="K73" s="41">
        <f t="shared" si="25"/>
        <v>296369.83548387099</v>
      </c>
      <c r="L73" s="41">
        <f t="shared" si="25"/>
        <v>317518.64899999998</v>
      </c>
      <c r="M73" s="41">
        <f t="shared" si="25"/>
        <v>270748.13903225801</v>
      </c>
      <c r="N73" s="41">
        <f t="shared" si="25"/>
        <v>295565.7616666666</v>
      </c>
      <c r="O73" s="41">
        <f t="shared" si="25"/>
        <v>293331.66322580649</v>
      </c>
    </row>
    <row r="74" spans="1:15">
      <c r="A74" s="40">
        <f>MATCH(A73,'Load Shape'!$E$2:$N$2,0)</f>
        <v>4</v>
      </c>
      <c r="B74" s="14" t="s">
        <v>330</v>
      </c>
      <c r="C74" s="14"/>
      <c r="D74" s="26">
        <f t="shared" ref="D74:O74" si="26">INDEX(LoadShape,MATCH(D$6,M.WkDy.H,0),$A74)</f>
        <v>4.8812095353850803E-2</v>
      </c>
      <c r="E74" s="26">
        <f t="shared" si="26"/>
        <v>4.6108143022803777E-2</v>
      </c>
      <c r="F74" s="26">
        <f t="shared" si="26"/>
        <v>4.9318267707415944E-2</v>
      </c>
      <c r="G74" s="26">
        <f t="shared" si="26"/>
        <v>4.5615021374066866E-2</v>
      </c>
      <c r="H74" s="26">
        <f t="shared" si="26"/>
        <v>4.3938675145509393E-2</v>
      </c>
      <c r="I74" s="26">
        <f t="shared" si="26"/>
        <v>4.6843514862956064E-2</v>
      </c>
      <c r="J74" s="26">
        <f t="shared" si="26"/>
        <v>4.6355418666237103E-2</v>
      </c>
      <c r="K74" s="26">
        <f t="shared" si="26"/>
        <v>4.6825356625666142E-2</v>
      </c>
      <c r="L74" s="26">
        <f t="shared" si="26"/>
        <v>4.1221371284787693E-2</v>
      </c>
      <c r="M74" s="26">
        <f t="shared" si="26"/>
        <v>4.7569767104630518E-2</v>
      </c>
      <c r="N74" s="26">
        <f t="shared" si="26"/>
        <v>4.6709332797556395E-2</v>
      </c>
      <c r="O74" s="26">
        <f t="shared" si="26"/>
        <v>3.7726732680915642E-2</v>
      </c>
    </row>
    <row r="75" spans="1:15">
      <c r="A75" s="14"/>
      <c r="B75" s="14" t="s">
        <v>331</v>
      </c>
      <c r="C75" s="24">
        <f>AVERAGE(D75:O75)</f>
        <v>13091.670556448109</v>
      </c>
      <c r="D75" s="24">
        <f t="shared" ref="D75:O75" si="27">D73*D74</f>
        <v>13955.880841993929</v>
      </c>
      <c r="E75" s="24">
        <f t="shared" si="27"/>
        <v>12789.509843659513</v>
      </c>
      <c r="F75" s="24">
        <f t="shared" si="27"/>
        <v>14243.994979069354</v>
      </c>
      <c r="G75" s="24">
        <f t="shared" si="27"/>
        <v>12622.775949089517</v>
      </c>
      <c r="H75" s="24">
        <f t="shared" si="27"/>
        <v>12035.108481973517</v>
      </c>
      <c r="I75" s="24">
        <f t="shared" si="27"/>
        <v>13682.800163280015</v>
      </c>
      <c r="J75" s="24">
        <f t="shared" si="27"/>
        <v>13052.248370019444</v>
      </c>
      <c r="K75" s="24">
        <f t="shared" si="27"/>
        <v>13877.623239622264</v>
      </c>
      <c r="L75" s="24">
        <f t="shared" si="27"/>
        <v>13088.554120273182</v>
      </c>
      <c r="M75" s="24">
        <f t="shared" si="27"/>
        <v>12879.425917776638</v>
      </c>
      <c r="N75" s="24">
        <f t="shared" si="27"/>
        <v>13805.679525251568</v>
      </c>
      <c r="O75" s="24">
        <f t="shared" si="27"/>
        <v>11066.445245368375</v>
      </c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 t="s">
        <v>337</v>
      </c>
      <c r="B77" s="14" t="s">
        <v>334</v>
      </c>
      <c r="C77" s="14"/>
      <c r="D77" s="24">
        <f>SUM('12.2019 WA Usage'!C95:C97)</f>
        <v>4367812.5839999998</v>
      </c>
      <c r="E77" s="24">
        <f>SUM('12.2019 WA Usage'!D95:D97)</f>
        <v>4176908.1949999998</v>
      </c>
      <c r="F77" s="24">
        <f>SUM('12.2019 WA Usage'!E95:E97)</f>
        <v>4399346.9869999997</v>
      </c>
      <c r="G77" s="24">
        <f>SUM('12.2019 WA Usage'!F95:F97)</f>
        <v>4615683.58</v>
      </c>
      <c r="H77" s="24">
        <f>SUM('12.2019 WA Usage'!G95:G97)</f>
        <v>11922026.261</v>
      </c>
      <c r="I77" s="24">
        <f>SUM('12.2019 WA Usage'!H95:H97)</f>
        <v>18540612.465999998</v>
      </c>
      <c r="J77" s="24">
        <f>SUM('12.2019 WA Usage'!I95:I97)</f>
        <v>23327966.862</v>
      </c>
      <c r="K77" s="24">
        <f>SUM('12.2019 WA Usage'!J95:J97)</f>
        <v>25106392.523000002</v>
      </c>
      <c r="L77" s="24">
        <f>SUM('12.2019 WA Usage'!K95:K97)</f>
        <v>24282322.968999997</v>
      </c>
      <c r="M77" s="24">
        <f>SUM('12.2019 WA Usage'!L95:L97)</f>
        <v>10323876.083000001</v>
      </c>
      <c r="N77" s="24">
        <f>SUM('12.2019 WA Usage'!M95:M97)</f>
        <v>4196695.1040000003</v>
      </c>
      <c r="O77" s="24">
        <f>SUM('12.2019 WA Usage'!N95:N97)</f>
        <v>4300335.4280000003</v>
      </c>
    </row>
    <row r="78" spans="1:15">
      <c r="A78" s="14" t="str">
        <f>'Load Shape'!I2</f>
        <v>WA31</v>
      </c>
      <c r="B78" s="14" t="s">
        <v>335</v>
      </c>
      <c r="C78" s="14"/>
      <c r="D78" s="41">
        <f>D77/D$5</f>
        <v>140897.18012903226</v>
      </c>
      <c r="E78" s="41">
        <f t="shared" ref="E78:O78" si="28">E77/E$5</f>
        <v>149175.29267857142</v>
      </c>
      <c r="F78" s="41">
        <f t="shared" si="28"/>
        <v>141914.41893548387</v>
      </c>
      <c r="G78" s="41">
        <f t="shared" si="28"/>
        <v>153856.11933333334</v>
      </c>
      <c r="H78" s="41">
        <f t="shared" si="28"/>
        <v>384581.49229032255</v>
      </c>
      <c r="I78" s="41">
        <f t="shared" si="28"/>
        <v>618020.41553333332</v>
      </c>
      <c r="J78" s="41">
        <f t="shared" si="28"/>
        <v>752515.06006451615</v>
      </c>
      <c r="K78" s="41">
        <f t="shared" si="28"/>
        <v>809883.62977419363</v>
      </c>
      <c r="L78" s="41">
        <f t="shared" si="28"/>
        <v>809410.76563333324</v>
      </c>
      <c r="M78" s="41">
        <f t="shared" si="28"/>
        <v>333028.26074193552</v>
      </c>
      <c r="N78" s="41">
        <f t="shared" si="28"/>
        <v>139889.83680000002</v>
      </c>
      <c r="O78" s="41">
        <f t="shared" si="28"/>
        <v>138720.49767741936</v>
      </c>
    </row>
    <row r="79" spans="1:15">
      <c r="A79" s="40">
        <f>MATCH(A78,'Load Shape'!$E$2:$N$2,0)</f>
        <v>5</v>
      </c>
      <c r="B79" s="14" t="s">
        <v>330</v>
      </c>
      <c r="C79" s="14"/>
      <c r="D79" s="26">
        <f t="shared" ref="D79:O79" si="29">INDEX(LoadShape,MATCH(D$6,M.WkDy.H,0),$A79)</f>
        <v>4.1159908271801625E-2</v>
      </c>
      <c r="E79" s="26">
        <f t="shared" si="29"/>
        <v>4.8521237734678556E-2</v>
      </c>
      <c r="F79" s="26">
        <f t="shared" si="29"/>
        <v>4.3108337689599673E-2</v>
      </c>
      <c r="G79" s="26">
        <f t="shared" si="29"/>
        <v>4.6404318059457703E-2</v>
      </c>
      <c r="H79" s="26">
        <f t="shared" si="29"/>
        <v>4.0951647301032602E-2</v>
      </c>
      <c r="I79" s="26">
        <f t="shared" si="29"/>
        <v>3.8887771597541122E-2</v>
      </c>
      <c r="J79" s="26">
        <f t="shared" si="29"/>
        <v>3.8647187746896516E-2</v>
      </c>
      <c r="K79" s="26">
        <f t="shared" si="29"/>
        <v>3.9568027169265267E-2</v>
      </c>
      <c r="L79" s="26">
        <f t="shared" si="29"/>
        <v>3.7370926351623493E-2</v>
      </c>
      <c r="M79" s="26">
        <f t="shared" si="29"/>
        <v>4.8380501786165882E-2</v>
      </c>
      <c r="N79" s="26">
        <f t="shared" si="29"/>
        <v>4.1616518771065966E-2</v>
      </c>
      <c r="O79" s="26">
        <f t="shared" si="29"/>
        <v>3.6978988755839409E-2</v>
      </c>
    </row>
    <row r="80" spans="1:15">
      <c r="A80" s="14"/>
      <c r="B80" s="14" t="s">
        <v>331</v>
      </c>
      <c r="C80" s="24">
        <f>AVERAGE(D80:O80)</f>
        <v>15376.45956057751</v>
      </c>
      <c r="D80" s="24">
        <f t="shared" ref="D80:O80" si="30">D78*D79</f>
        <v>5799.3150098664782</v>
      </c>
      <c r="E80" s="24">
        <f t="shared" si="30"/>
        <v>7238.1698401972171</v>
      </c>
      <c r="F80" s="24">
        <f t="shared" si="30"/>
        <v>6117.6946944941574</v>
      </c>
      <c r="G80" s="24">
        <f t="shared" si="30"/>
        <v>7139.5882969378799</v>
      </c>
      <c r="H80" s="24">
        <f t="shared" si="30"/>
        <v>15749.245630778078</v>
      </c>
      <c r="I80" s="24">
        <f t="shared" si="30"/>
        <v>24033.436761877721</v>
      </c>
      <c r="J80" s="24">
        <f t="shared" si="30"/>
        <v>29082.590808680463</v>
      </c>
      <c r="K80" s="24">
        <f t="shared" si="30"/>
        <v>32045.497466848465</v>
      </c>
      <c r="L80" s="24">
        <f t="shared" si="30"/>
        <v>30248.43011069448</v>
      </c>
      <c r="M80" s="24">
        <f t="shared" si="30"/>
        <v>16112.074363668928</v>
      </c>
      <c r="N80" s="24">
        <f t="shared" si="30"/>
        <v>5821.7280190685551</v>
      </c>
      <c r="O80" s="24">
        <f t="shared" si="30"/>
        <v>5129.7437238177372</v>
      </c>
    </row>
  </sheetData>
  <phoneticPr fontId="0" type="noConversion"/>
  <printOptions horizontalCentered="1"/>
  <pageMargins left="0.25" right="0.25" top="0.5" bottom="0.5" header="0.18" footer="0.3"/>
  <pageSetup scale="53" orientation="landscape" r:id="rId1"/>
  <headerFooter alignWithMargins="0">
    <oddFooter>&amp;C&amp;F /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50"/>
    <pageSetUpPr fitToPage="1"/>
  </sheetPr>
  <dimension ref="A1:P88"/>
  <sheetViews>
    <sheetView workbookViewId="0"/>
  </sheetViews>
  <sheetFormatPr defaultColWidth="10.6640625" defaultRowHeight="12.75"/>
  <cols>
    <col min="1" max="1" width="24" style="6" customWidth="1"/>
    <col min="2" max="2" width="21.83203125" style="6" customWidth="1"/>
    <col min="3" max="3" width="13.5" style="6" customWidth="1"/>
    <col min="4" max="4" width="13" style="6" customWidth="1"/>
    <col min="5" max="5" width="12.5" style="6" customWidth="1"/>
    <col min="6" max="6" width="12.33203125" style="6" customWidth="1"/>
    <col min="7" max="7" width="12.6640625" style="6" customWidth="1"/>
    <col min="8" max="8" width="12.83203125" style="6" customWidth="1"/>
    <col min="9" max="9" width="11.6640625" style="6" customWidth="1"/>
    <col min="10" max="12" width="12" style="6" customWidth="1"/>
    <col min="13" max="13" width="12.33203125" style="6" customWidth="1"/>
    <col min="14" max="14" width="11.83203125" style="6" customWidth="1"/>
    <col min="15" max="15" width="13" style="6" customWidth="1"/>
    <col min="16" max="16384" width="10.6640625" style="6"/>
  </cols>
  <sheetData>
    <row r="1" spans="1:16">
      <c r="A1" s="14"/>
      <c r="B1" s="14"/>
      <c r="C1" s="7"/>
      <c r="D1" s="42" t="s">
        <v>344</v>
      </c>
      <c r="E1" s="42" t="s">
        <v>345</v>
      </c>
      <c r="F1" s="42" t="s">
        <v>346</v>
      </c>
      <c r="G1" s="42" t="s">
        <v>347</v>
      </c>
      <c r="H1" s="42" t="s">
        <v>348</v>
      </c>
      <c r="I1" s="42" t="s">
        <v>349</v>
      </c>
      <c r="J1" s="42" t="s">
        <v>350</v>
      </c>
      <c r="K1" s="42" t="s">
        <v>351</v>
      </c>
      <c r="L1" s="42" t="s">
        <v>352</v>
      </c>
      <c r="M1" s="42" t="s">
        <v>353</v>
      </c>
      <c r="N1" s="42" t="s">
        <v>354</v>
      </c>
      <c r="O1" s="42" t="s">
        <v>355</v>
      </c>
    </row>
    <row r="2" spans="1:16">
      <c r="A2" s="14"/>
      <c r="B2" s="14"/>
      <c r="C2" s="7"/>
      <c r="D2" s="36">
        <f>'Peak Calc CP'!C70</f>
        <v>43480</v>
      </c>
      <c r="E2" s="36">
        <f>'Peak Calc CP'!D70</f>
        <v>43503</v>
      </c>
      <c r="F2" s="36">
        <f>'Peak Calc CP'!E70</f>
        <v>43525</v>
      </c>
      <c r="G2" s="36">
        <f>'Peak Calc CP'!F70</f>
        <v>43566</v>
      </c>
      <c r="H2" s="36">
        <f>'Peak Calc CP'!G70</f>
        <v>43615</v>
      </c>
      <c r="I2" s="36">
        <f>'Peak Calc CP'!H70</f>
        <v>43629</v>
      </c>
      <c r="J2" s="36">
        <f>'Peak Calc CP'!I70</f>
        <v>43669</v>
      </c>
      <c r="K2" s="36">
        <f>'Peak Calc CP'!J70</f>
        <v>43684</v>
      </c>
      <c r="L2" s="36">
        <f>'Peak Calc CP'!K70</f>
        <v>43712</v>
      </c>
      <c r="M2" s="36">
        <f>'Peak Calc CP'!L70</f>
        <v>43768</v>
      </c>
      <c r="N2" s="36">
        <f>'Peak Calc CP'!M70</f>
        <v>43770</v>
      </c>
      <c r="O2" s="36">
        <f>'Peak Calc CP'!N70</f>
        <v>43815</v>
      </c>
    </row>
    <row r="3" spans="1:16">
      <c r="A3" s="14"/>
      <c r="B3" s="14"/>
      <c r="C3" s="14"/>
      <c r="D3" s="39">
        <f>'Peak Calc CP'!C71</f>
        <v>43480</v>
      </c>
      <c r="E3" s="39">
        <f>'Peak Calc CP'!D71</f>
        <v>43503</v>
      </c>
      <c r="F3" s="39">
        <f>'Peak Calc CP'!E71</f>
        <v>43525</v>
      </c>
      <c r="G3" s="39">
        <f>'Peak Calc CP'!F71</f>
        <v>43566</v>
      </c>
      <c r="H3" s="39">
        <f>'Peak Calc CP'!G71</f>
        <v>43615</v>
      </c>
      <c r="I3" s="39">
        <f>'Peak Calc CP'!H71</f>
        <v>43629</v>
      </c>
      <c r="J3" s="39">
        <f>'Peak Calc CP'!I71</f>
        <v>43669</v>
      </c>
      <c r="K3" s="39">
        <f>'Peak Calc CP'!J71</f>
        <v>43684</v>
      </c>
      <c r="L3" s="39">
        <f>'Peak Calc CP'!K71</f>
        <v>43712</v>
      </c>
      <c r="M3" s="39">
        <f>'Peak Calc CP'!L71</f>
        <v>43768</v>
      </c>
      <c r="N3" s="39">
        <f>'Peak Calc CP'!M71</f>
        <v>43770</v>
      </c>
      <c r="O3" s="39">
        <f>'Peak Calc CP'!N71</f>
        <v>43815</v>
      </c>
    </row>
    <row r="4" spans="1:16">
      <c r="A4" s="14"/>
      <c r="B4" s="14"/>
      <c r="C4" s="14"/>
      <c r="D4" s="37">
        <f>'Peak Calc CP'!C72</f>
        <v>0.33333333333333331</v>
      </c>
      <c r="E4" s="37">
        <f>'Peak Calc CP'!D72</f>
        <v>0.33333333333333331</v>
      </c>
      <c r="F4" s="37">
        <f>'Peak Calc CP'!E72</f>
        <v>0.33333333333333331</v>
      </c>
      <c r="G4" s="37">
        <f>'Peak Calc CP'!F72</f>
        <v>0.33333333333333331</v>
      </c>
      <c r="H4" s="37">
        <f>'Peak Calc CP'!G72</f>
        <v>0.70833333333333337</v>
      </c>
      <c r="I4" s="37">
        <f>'Peak Calc CP'!H72</f>
        <v>0.66666666666666663</v>
      </c>
      <c r="J4" s="37">
        <f>'Peak Calc CP'!I72</f>
        <v>0.70833333333333337</v>
      </c>
      <c r="K4" s="37">
        <f>'Peak Calc CP'!J72</f>
        <v>0.70833333333333337</v>
      </c>
      <c r="L4" s="37">
        <f>'Peak Calc CP'!K72</f>
        <v>0.75</v>
      </c>
      <c r="M4" s="37">
        <f>'Peak Calc CP'!L72</f>
        <v>0.33333333333333331</v>
      </c>
      <c r="N4" s="37">
        <f>'Peak Calc CP'!M72</f>
        <v>0.33333333333333331</v>
      </c>
      <c r="O4" s="37">
        <f>'Peak Calc CP'!N72</f>
        <v>0.75</v>
      </c>
    </row>
    <row r="5" spans="1:16">
      <c r="A5" s="14"/>
      <c r="B5" s="14"/>
      <c r="C5" s="14" t="s">
        <v>157</v>
      </c>
      <c r="D5" s="38">
        <f>DAY(DATE(YEAR(D3),MONTH(D3)+1,0))</f>
        <v>31</v>
      </c>
      <c r="E5" s="38">
        <f t="shared" ref="E5:O5" si="0">DAY(DATE(YEAR(E3),MONTH(E3)+1,0))</f>
        <v>28</v>
      </c>
      <c r="F5" s="38">
        <f t="shared" si="0"/>
        <v>31</v>
      </c>
      <c r="G5" s="38">
        <f t="shared" si="0"/>
        <v>30</v>
      </c>
      <c r="H5" s="38">
        <f t="shared" si="0"/>
        <v>31</v>
      </c>
      <c r="I5" s="38">
        <f t="shared" si="0"/>
        <v>30</v>
      </c>
      <c r="J5" s="38">
        <f t="shared" si="0"/>
        <v>31</v>
      </c>
      <c r="K5" s="38">
        <f t="shared" si="0"/>
        <v>31</v>
      </c>
      <c r="L5" s="38">
        <f t="shared" si="0"/>
        <v>30</v>
      </c>
      <c r="M5" s="38">
        <f t="shared" si="0"/>
        <v>31</v>
      </c>
      <c r="N5" s="38">
        <f t="shared" si="0"/>
        <v>30</v>
      </c>
      <c r="O5" s="38">
        <f t="shared" si="0"/>
        <v>31</v>
      </c>
      <c r="P5" s="138">
        <f>SUM(D5:O5)</f>
        <v>365</v>
      </c>
    </row>
    <row r="6" spans="1:16">
      <c r="A6" s="14"/>
      <c r="B6" s="14"/>
      <c r="C6" s="35" t="s">
        <v>445</v>
      </c>
      <c r="D6" s="38" t="str">
        <f>MONTH(D3)&amp;"."&amp;WEEKDAY(D3)&amp;"."&amp;HOUR(D4)</f>
        <v>1.3.8</v>
      </c>
      <c r="E6" s="38" t="str">
        <f t="shared" ref="E6:O6" si="1">MONTH(E3)&amp;"."&amp;WEEKDAY(E3)&amp;"."&amp;HOUR(E4)</f>
        <v>2.5.8</v>
      </c>
      <c r="F6" s="38" t="str">
        <f t="shared" si="1"/>
        <v>3.6.8</v>
      </c>
      <c r="G6" s="38" t="str">
        <f t="shared" si="1"/>
        <v>4.5.8</v>
      </c>
      <c r="H6" s="38" t="str">
        <f t="shared" si="1"/>
        <v>5.5.17</v>
      </c>
      <c r="I6" s="38" t="str">
        <f t="shared" si="1"/>
        <v>6.5.16</v>
      </c>
      <c r="J6" s="38" t="str">
        <f t="shared" si="1"/>
        <v>7.3.17</v>
      </c>
      <c r="K6" s="38" t="str">
        <f t="shared" si="1"/>
        <v>8.4.17</v>
      </c>
      <c r="L6" s="38" t="str">
        <f t="shared" si="1"/>
        <v>9.4.18</v>
      </c>
      <c r="M6" s="38" t="str">
        <f t="shared" si="1"/>
        <v>10.4.8</v>
      </c>
      <c r="N6" s="38" t="str">
        <f t="shared" si="1"/>
        <v>11.6.8</v>
      </c>
      <c r="O6" s="38" t="str">
        <f t="shared" si="1"/>
        <v>12.2.18</v>
      </c>
    </row>
    <row r="7" spans="1:16">
      <c r="A7" s="14"/>
      <c r="B7" s="14"/>
      <c r="C7" s="14" t="s">
        <v>322</v>
      </c>
      <c r="D7" s="22">
        <f>MAX('Peak Calc CP'!C73,0)</f>
        <v>40</v>
      </c>
      <c r="E7" s="22">
        <f>MAX('Peak Calc CP'!D73,0)</f>
        <v>50</v>
      </c>
      <c r="F7" s="22">
        <f>MAX('Peak Calc CP'!E73,0)</f>
        <v>50</v>
      </c>
      <c r="G7" s="22">
        <f>MAX('Peak Calc CP'!F73,0)</f>
        <v>22</v>
      </c>
      <c r="H7" s="22">
        <f>MAX('Peak Calc CP'!G73,0)</f>
        <v>0</v>
      </c>
      <c r="I7" s="22">
        <f>MAX('Peak Calc CP'!H73,0)</f>
        <v>0</v>
      </c>
      <c r="J7" s="22">
        <f>MAX('Peak Calc CP'!I73,0)</f>
        <v>0</v>
      </c>
      <c r="K7" s="22">
        <f>MAX('Peak Calc CP'!J73,0)</f>
        <v>0</v>
      </c>
      <c r="L7" s="22">
        <f>MAX('Peak Calc CP'!K73,0)</f>
        <v>0</v>
      </c>
      <c r="M7" s="22">
        <f>MAX('Peak Calc CP'!L73,0)</f>
        <v>37</v>
      </c>
      <c r="N7" s="22">
        <f>MAX('Peak Calc CP'!M73,0)</f>
        <v>30</v>
      </c>
      <c r="O7" s="22">
        <f>MAX('Peak Calc CP'!N73,0)</f>
        <v>35</v>
      </c>
    </row>
    <row r="8" spans="1:16">
      <c r="A8" s="14"/>
      <c r="B8" s="14"/>
      <c r="C8" s="14" t="s">
        <v>323</v>
      </c>
      <c r="D8" s="22">
        <f>MAX(-'Peak Calc CP'!C73,0)</f>
        <v>0</v>
      </c>
      <c r="E8" s="22">
        <f>MAX(-'Peak Calc CP'!D73,0)</f>
        <v>0</v>
      </c>
      <c r="F8" s="22">
        <f>MAX(-'Peak Calc CP'!E73,0)</f>
        <v>0</v>
      </c>
      <c r="G8" s="22">
        <f>MAX(-'Peak Calc CP'!F73,0)</f>
        <v>0</v>
      </c>
      <c r="H8" s="22">
        <f>MAX(-'Peak Calc CP'!G73,0)</f>
        <v>4</v>
      </c>
      <c r="I8" s="22">
        <f>MAX(-'Peak Calc CP'!H73,0)</f>
        <v>12</v>
      </c>
      <c r="J8" s="22">
        <f>MAX(-'Peak Calc CP'!I73,0)</f>
        <v>15</v>
      </c>
      <c r="K8" s="22">
        <f>MAX(-'Peak Calc CP'!J73,0)</f>
        <v>18</v>
      </c>
      <c r="L8" s="22">
        <f>MAX(-'Peak Calc CP'!K73,0)</f>
        <v>5</v>
      </c>
      <c r="M8" s="22">
        <f>MAX(-'Peak Calc CP'!L73,0)</f>
        <v>0</v>
      </c>
      <c r="N8" s="22">
        <f>MAX(-'Peak Calc CP'!M73,0)</f>
        <v>0</v>
      </c>
      <c r="O8" s="22">
        <f>MAX(-'Peak Calc CP'!N73,0)</f>
        <v>0</v>
      </c>
    </row>
    <row r="9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>
      <c r="A10" s="14" t="s">
        <v>338</v>
      </c>
      <c r="B10" s="14" t="s">
        <v>325</v>
      </c>
      <c r="C10" s="14"/>
      <c r="D10" s="24">
        <f>(($C12*12)/$P$5+D13*D$7+D14*D$8)*D11</f>
        <v>4606927.6800000006</v>
      </c>
      <c r="E10" s="24">
        <f t="shared" ref="E10:O10" si="2">(($C12*12)/$P$5+E13*E$7+E14*E$8)*E11</f>
        <v>5254207.7369863009</v>
      </c>
      <c r="F10" s="24">
        <f t="shared" si="2"/>
        <v>5258150.0273972601</v>
      </c>
      <c r="G10" s="24">
        <f t="shared" si="2"/>
        <v>3124530.4943013703</v>
      </c>
      <c r="H10" s="24">
        <f t="shared" si="2"/>
        <v>2459380.3140821923</v>
      </c>
      <c r="I10" s="24">
        <f t="shared" si="2"/>
        <v>3327994.2141369865</v>
      </c>
      <c r="J10" s="24">
        <f t="shared" si="2"/>
        <v>3668167.8345205486</v>
      </c>
      <c r="K10" s="24">
        <f t="shared" si="2"/>
        <v>4003303.7750136983</v>
      </c>
      <c r="L10" s="24">
        <f t="shared" si="2"/>
        <v>2583778.8942465754</v>
      </c>
      <c r="M10" s="24">
        <f t="shared" si="2"/>
        <v>3917021.6626849319</v>
      </c>
      <c r="N10" s="24">
        <f t="shared" si="2"/>
        <v>3565389.995342466</v>
      </c>
      <c r="O10" s="24">
        <f t="shared" si="2"/>
        <v>4346680.2169863014</v>
      </c>
    </row>
    <row r="11" spans="1:16">
      <c r="A11" s="14" t="str">
        <f>'Load Shape'!J2</f>
        <v>ID01</v>
      </c>
      <c r="B11" s="14" t="s">
        <v>326</v>
      </c>
      <c r="C11" s="140">
        <f>AVERAGE(D11:O11)</f>
        <v>109798.75</v>
      </c>
      <c r="D11" s="430">
        <v>109281</v>
      </c>
      <c r="E11" s="430">
        <v>109288</v>
      </c>
      <c r="F11" s="430">
        <v>109370</v>
      </c>
      <c r="G11" s="430">
        <v>109346</v>
      </c>
      <c r="H11" s="430">
        <v>109458</v>
      </c>
      <c r="I11" s="430">
        <v>109284</v>
      </c>
      <c r="J11" s="430">
        <v>109672</v>
      </c>
      <c r="K11" s="430">
        <v>109858</v>
      </c>
      <c r="L11" s="430">
        <v>110104</v>
      </c>
      <c r="M11" s="430">
        <v>110464</v>
      </c>
      <c r="N11" s="430">
        <v>110566</v>
      </c>
      <c r="O11" s="430">
        <v>110894</v>
      </c>
    </row>
    <row r="12" spans="1:16">
      <c r="A12" s="40">
        <f>MATCH(A11,'Load Shape'!$E$2:$N$2,0)</f>
        <v>6</v>
      </c>
      <c r="B12" s="14" t="s">
        <v>327</v>
      </c>
      <c r="C12" s="24">
        <f>'Electric Factors '!$H$19</f>
        <v>562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>
      <c r="A13" s="14"/>
      <c r="B13" s="14" t="s">
        <v>328</v>
      </c>
      <c r="C13" s="27"/>
      <c r="D13" s="14">
        <f>IF(OR(MONTH(D$3)={12,1,2,3}),'Electric Factors '!$E$19,IF(OR(MONTH(D$3)={7,8,9}),0,'Electric Factors '!$D$19))</f>
        <v>0.59199999999999997</v>
      </c>
      <c r="E13" s="14">
        <f>IF(OR(MONTH(E$3)={12,1,2,3}),'Electric Factors '!$E$19,IF(OR(MONTH(E$3)={7,8,9}),0,'Electric Factors '!$D$19))</f>
        <v>0.59199999999999997</v>
      </c>
      <c r="F13" s="14">
        <f>IF(OR(MONTH(F$3)={12,1,2,3}),'Electric Factors '!$E$19,IF(OR(MONTH(F$3)={7,8,9}),0,'Electric Factors '!$D$19))</f>
        <v>0.59199999999999997</v>
      </c>
      <c r="G13" s="14">
        <f>IF(OR(MONTH(G$3)={12,1,2,3}),'Electric Factors '!$E$19,IF(OR(MONTH(G$3)={7,8,9}),0,'Electric Factors '!$D$19))</f>
        <v>0.45900000000000002</v>
      </c>
      <c r="H13" s="14">
        <f>IF(OR(MONTH(H$3)={12,1,2,3}),'Electric Factors '!$E$19,IF(OR(MONTH(H$3)={7,8,9}),0,'Electric Factors '!$D$19))</f>
        <v>0.45900000000000002</v>
      </c>
      <c r="I13" s="14">
        <f>IF(OR(MONTH(I$3)={12,1,2,3}),'Electric Factors '!$E$19,IF(OR(MONTH(I$3)={7,8,9}),0,'Electric Factors '!$D$19))</f>
        <v>0.45900000000000002</v>
      </c>
      <c r="J13" s="14">
        <f>IF(OR(MONTH(J$3)={12,1,2,3}),'Electric Factors '!$E$19,IF(OR(MONTH(J$3)={7,8,9}),0,'Electric Factors '!$D$19))</f>
        <v>0</v>
      </c>
      <c r="K13" s="14">
        <f>IF(OR(MONTH(K$3)={12,1,2,3}),'Electric Factors '!$E$19,IF(OR(MONTH(K$3)={7,8,9}),0,'Electric Factors '!$D$19))</f>
        <v>0</v>
      </c>
      <c r="L13" s="14">
        <f>IF(OR(MONTH(L$3)={12,1,2,3}),'Electric Factors '!$E$19,IF(OR(MONTH(L$3)={7,8,9}),0,'Electric Factors '!$D$19))</f>
        <v>0</v>
      </c>
      <c r="M13" s="14">
        <f>IF(OR(MONTH(M$3)={12,1,2,3}),'Electric Factors '!$E$19,IF(OR(MONTH(M$3)={7,8,9}),0,'Electric Factors '!$D$19))</f>
        <v>0.45900000000000002</v>
      </c>
      <c r="N13" s="14">
        <f>IF(OR(MONTH(N$3)={12,1,2,3}),'Electric Factors '!$E$19,IF(OR(MONTH(N$3)={7,8,9}),0,'Electric Factors '!$D$19))</f>
        <v>0.45900000000000002</v>
      </c>
      <c r="O13" s="14">
        <f>IF(OR(MONTH(O$3)={12,1,2,3}),'Electric Factors '!$E$19,IF(OR(MONTH(O$3)={7,8,9}),0,'Electric Factors '!$D$19))</f>
        <v>0.59199999999999997</v>
      </c>
    </row>
    <row r="14" spans="1:16">
      <c r="A14" s="14"/>
      <c r="B14" s="14" t="s">
        <v>329</v>
      </c>
      <c r="C14" s="27"/>
      <c r="D14" s="14">
        <f>IF(OR(MONTH(D$3)={4,5,10,11}),'Electric Factors '!$F$19,IF(OR(MONTH(D$3)={6,7,8,9}),'Electric Factors '!$G$19,0))</f>
        <v>0</v>
      </c>
      <c r="E14" s="14">
        <f>IF(OR(MONTH(E$3)={4,5,10,11}),'Electric Factors '!$F$19,IF(OR(MONTH(E$3)={6,7,8,9}),'Electric Factors '!$G$19,0))</f>
        <v>0</v>
      </c>
      <c r="F14" s="14">
        <f>IF(OR(MONTH(F$3)={4,5,10,11}),'Electric Factors '!$F$19,IF(OR(MONTH(F$3)={6,7,8,9}),'Electric Factors '!$G$19,0))</f>
        <v>0</v>
      </c>
      <c r="G14" s="14">
        <f>IF(OR(MONTH(G$3)={4,5,10,11}),'Electric Factors '!$F$19,IF(OR(MONTH(G$3)={6,7,8,9}),'Electric Factors '!$G$19,0))</f>
        <v>0.998</v>
      </c>
      <c r="H14" s="14">
        <f>IF(OR(MONTH(H$3)={4,5,10,11}),'Electric Factors '!$F$19,IF(OR(MONTH(H$3)={6,7,8,9}),'Electric Factors '!$G$19,0))</f>
        <v>0.998</v>
      </c>
      <c r="I14" s="14">
        <f>IF(OR(MONTH(I$3)={4,5,10,11}),'Electric Factors '!$F$19,IF(OR(MONTH(I$3)={6,7,8,9}),'Electric Factors '!$G$19,0))</f>
        <v>0.998</v>
      </c>
      <c r="J14" s="14">
        <f>IF(OR(MONTH(J$3)={4,5,10,11}),'Electric Factors '!$F$19,IF(OR(MONTH(J$3)={6,7,8,9}),'Electric Factors '!$G$19,0))</f>
        <v>0.998</v>
      </c>
      <c r="K14" s="14">
        <f>IF(OR(MONTH(K$3)={4,5,10,11}),'Electric Factors '!$F$19,IF(OR(MONTH(K$3)={6,7,8,9}),'Electric Factors '!$G$19,0))</f>
        <v>0.998</v>
      </c>
      <c r="L14" s="14">
        <f>IF(OR(MONTH(L$3)={4,5,10,11}),'Electric Factors '!$F$19,IF(OR(MONTH(L$3)={6,7,8,9}),'Electric Factors '!$G$19,0))</f>
        <v>0.998</v>
      </c>
      <c r="M14" s="14">
        <f>IF(OR(MONTH(M$3)={4,5,10,11}),'Electric Factors '!$F$19,IF(OR(MONTH(M$3)={6,7,8,9}),'Electric Factors '!$G$19,0))</f>
        <v>0.998</v>
      </c>
      <c r="N14" s="14">
        <f>IF(OR(MONTH(N$3)={4,5,10,11}),'Electric Factors '!$F$19,IF(OR(MONTH(N$3)={6,7,8,9}),'Electric Factors '!$G$19,0))</f>
        <v>0.998</v>
      </c>
      <c r="O14" s="14">
        <f>IF(OR(MONTH(O$3)={4,5,10,11}),'Electric Factors '!$F$19,IF(OR(MONTH(O$3)={6,7,8,9}),'Electric Factors '!$G$19,0))</f>
        <v>0</v>
      </c>
    </row>
    <row r="15" spans="1:16">
      <c r="A15" s="14"/>
      <c r="B15" s="14" t="s">
        <v>330</v>
      </c>
      <c r="C15" s="14"/>
      <c r="D15" s="26">
        <f>INDEX(LoadShape,MATCH(D$6,M.WkDy.H,0),$A12)</f>
        <v>4.7404862309240993E-2</v>
      </c>
      <c r="E15" s="26">
        <f t="shared" ref="E15:O15" si="3">INDEX(LoadShape,MATCH(E$6,M.WkDy.H,0),$A12)</f>
        <v>4.850340463907598E-2</v>
      </c>
      <c r="F15" s="26">
        <f t="shared" si="3"/>
        <v>4.9188063701799567E-2</v>
      </c>
      <c r="G15" s="26">
        <f t="shared" si="3"/>
        <v>5.1175959860955238E-2</v>
      </c>
      <c r="H15" s="26">
        <f t="shared" si="3"/>
        <v>4.5287103494136151E-2</v>
      </c>
      <c r="I15" s="26">
        <f t="shared" si="3"/>
        <v>4.6115038297676943E-2</v>
      </c>
      <c r="J15" s="26">
        <f t="shared" si="3"/>
        <v>6.1774388941502389E-2</v>
      </c>
      <c r="K15" s="26">
        <f t="shared" si="3"/>
        <v>6.2405425865568694E-2</v>
      </c>
      <c r="L15" s="26">
        <f t="shared" si="3"/>
        <v>6.157976617590144E-2</v>
      </c>
      <c r="M15" s="26">
        <f t="shared" si="3"/>
        <v>5.1915937180885982E-2</v>
      </c>
      <c r="N15" s="26">
        <f t="shared" si="3"/>
        <v>4.4749202729075094E-2</v>
      </c>
      <c r="O15" s="26">
        <f t="shared" si="3"/>
        <v>5.4737515917291729E-2</v>
      </c>
    </row>
    <row r="16" spans="1:16">
      <c r="A16" s="14"/>
      <c r="B16" s="14" t="s">
        <v>331</v>
      </c>
      <c r="C16" s="24">
        <f>AVERAGE(D16:O16)</f>
        <v>199415.95707085787</v>
      </c>
      <c r="D16" s="24">
        <f t="shared" ref="D16:O16" si="4">D10*D15</f>
        <v>218390.77233903107</v>
      </c>
      <c r="E16" s="24">
        <f t="shared" si="4"/>
        <v>254846.96392481026</v>
      </c>
      <c r="F16" s="24">
        <f t="shared" si="4"/>
        <v>258638.21850123556</v>
      </c>
      <c r="G16" s="24">
        <f t="shared" si="4"/>
        <v>159900.84716069757</v>
      </c>
      <c r="H16" s="24">
        <f t="shared" si="4"/>
        <v>111378.21081528132</v>
      </c>
      <c r="I16" s="24">
        <f t="shared" si="4"/>
        <v>153470.58063937441</v>
      </c>
      <c r="J16" s="24">
        <f t="shared" si="4"/>
        <v>226598.82651238094</v>
      </c>
      <c r="K16" s="24">
        <f t="shared" si="4"/>
        <v>249827.87694896865</v>
      </c>
      <c r="L16" s="24">
        <f t="shared" si="4"/>
        <v>159108.5001579333</v>
      </c>
      <c r="M16" s="24">
        <f t="shared" si="4"/>
        <v>203355.85057612049</v>
      </c>
      <c r="N16" s="24">
        <f t="shared" si="4"/>
        <v>159548.35970979612</v>
      </c>
      <c r="O16" s="24">
        <f t="shared" si="4"/>
        <v>237926.47756466473</v>
      </c>
    </row>
    <row r="17" spans="1:15">
      <c r="A17" s="14"/>
      <c r="B17" s="14"/>
      <c r="C17" s="2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4" t="s">
        <v>339</v>
      </c>
      <c r="B18" s="14" t="s">
        <v>325</v>
      </c>
      <c r="C18" s="14"/>
      <c r="D18" s="24">
        <f>(($C20*12)/$P$5+D21*D$7+D22*D$8)*D19</f>
        <v>112348.27945205478</v>
      </c>
      <c r="E18" s="24">
        <f t="shared" ref="E18:O18" si="5">(($C20*12)/$P$5+E21*E$7+E22*E$8)*E19</f>
        <v>127434.2808219178</v>
      </c>
      <c r="F18" s="24">
        <f t="shared" si="5"/>
        <v>128351.40410958903</v>
      </c>
      <c r="G18" s="24">
        <f t="shared" si="5"/>
        <v>76424.677260273966</v>
      </c>
      <c r="H18" s="24">
        <f t="shared" si="5"/>
        <v>56013.247123287678</v>
      </c>
      <c r="I18" s="24">
        <f t="shared" si="5"/>
        <v>68058.226849315062</v>
      </c>
      <c r="J18" s="24">
        <f t="shared" si="5"/>
        <v>73871.243835616435</v>
      </c>
      <c r="K18" s="24">
        <f t="shared" si="5"/>
        <v>78472.888767123295</v>
      </c>
      <c r="L18" s="24">
        <f t="shared" si="5"/>
        <v>57679.191780821922</v>
      </c>
      <c r="M18" s="24">
        <f t="shared" si="5"/>
        <v>97566.58</v>
      </c>
      <c r="N18" s="24">
        <f t="shared" si="5"/>
        <v>88470.106849315067</v>
      </c>
      <c r="O18" s="24">
        <f t="shared" si="5"/>
        <v>108492.65828767122</v>
      </c>
    </row>
    <row r="19" spans="1:15">
      <c r="A19" s="14"/>
      <c r="B19" s="14" t="s">
        <v>326</v>
      </c>
      <c r="C19" s="140">
        <f>AVERAGE(D19:O19)</f>
        <v>5665.75</v>
      </c>
      <c r="D19" s="430">
        <v>5590</v>
      </c>
      <c r="E19" s="430">
        <v>5558</v>
      </c>
      <c r="F19" s="430">
        <v>5598</v>
      </c>
      <c r="G19" s="430">
        <v>5612</v>
      </c>
      <c r="H19" s="430">
        <v>5659</v>
      </c>
      <c r="I19" s="430">
        <v>5607</v>
      </c>
      <c r="J19" s="430">
        <v>5692</v>
      </c>
      <c r="K19" s="430">
        <v>5679</v>
      </c>
      <c r="L19" s="430">
        <v>5667</v>
      </c>
      <c r="M19" s="430">
        <v>5767</v>
      </c>
      <c r="N19" s="430">
        <v>5753</v>
      </c>
      <c r="O19" s="430">
        <v>5807</v>
      </c>
    </row>
    <row r="20" spans="1:15">
      <c r="A20" s="14"/>
      <c r="B20" s="14" t="s">
        <v>327</v>
      </c>
      <c r="C20" s="24">
        <f>'Electric Factors '!$H$20</f>
        <v>267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4"/>
      <c r="B21" s="14" t="s">
        <v>328</v>
      </c>
      <c r="C21" s="27"/>
      <c r="D21" s="14">
        <f>IF(OR(MONTH(D$3)={12,1,2,3}),'Electric Factors '!$E$20,IF(OR(MONTH(D$3)={7,8,9}),0,'Electric Factors '!$D$20))</f>
        <v>0.28299999999999997</v>
      </c>
      <c r="E21" s="14">
        <f>IF(OR(MONTH(E$3)={12,1,2,3}),'Electric Factors '!$E$20,IF(OR(MONTH(E$3)={7,8,9}),0,'Electric Factors '!$D$20))</f>
        <v>0.28299999999999997</v>
      </c>
      <c r="F21" s="14">
        <f>IF(OR(MONTH(F$3)={12,1,2,3}),'Electric Factors '!$E$20,IF(OR(MONTH(F$3)={7,8,9}),0,'Electric Factors '!$D$20))</f>
        <v>0.28299999999999997</v>
      </c>
      <c r="G21" s="14">
        <f>IF(OR(MONTH(G$3)={12,1,2,3}),'Electric Factors '!$E$20,IF(OR(MONTH(G$3)={7,8,9}),0,'Electric Factors '!$D$20))</f>
        <v>0.22</v>
      </c>
      <c r="H21" s="14">
        <f>IF(OR(MONTH(H$3)={12,1,2,3}),'Electric Factors '!$E$20,IF(OR(MONTH(H$3)={7,8,9}),0,'Electric Factors '!$D$20))</f>
        <v>0.22</v>
      </c>
      <c r="I21" s="14">
        <f>IF(OR(MONTH(I$3)={12,1,2,3}),'Electric Factors '!$E$20,IF(OR(MONTH(I$3)={7,8,9}),0,'Electric Factors '!$D$20))</f>
        <v>0.22</v>
      </c>
      <c r="J21" s="14">
        <f>IF(OR(MONTH(J$3)={12,1,2,3}),'Electric Factors '!$E$20,IF(OR(MONTH(J$3)={7,8,9}),0,'Electric Factors '!$D$20))</f>
        <v>0</v>
      </c>
      <c r="K21" s="14">
        <f>IF(OR(MONTH(K$3)={12,1,2,3}),'Electric Factors '!$E$20,IF(OR(MONTH(K$3)={7,8,9}),0,'Electric Factors '!$D$20))</f>
        <v>0</v>
      </c>
      <c r="L21" s="14">
        <f>IF(OR(MONTH(L$3)={12,1,2,3}),'Electric Factors '!$E$20,IF(OR(MONTH(L$3)={7,8,9}),0,'Electric Factors '!$D$20))</f>
        <v>0</v>
      </c>
      <c r="M21" s="14">
        <f>IF(OR(MONTH(M$3)={12,1,2,3}),'Electric Factors '!$E$20,IF(OR(MONTH(M$3)={7,8,9}),0,'Electric Factors '!$D$20))</f>
        <v>0.22</v>
      </c>
      <c r="N21" s="14">
        <f>IF(OR(MONTH(N$3)={12,1,2,3}),'Electric Factors '!$E$20,IF(OR(MONTH(N$3)={7,8,9}),0,'Electric Factors '!$D$20))</f>
        <v>0.22</v>
      </c>
      <c r="O21" s="14">
        <f>IF(OR(MONTH(O$3)={12,1,2,3}),'Electric Factors '!$E$20,IF(OR(MONTH(O$3)={7,8,9}),0,'Electric Factors '!$D$20))</f>
        <v>0.28299999999999997</v>
      </c>
    </row>
    <row r="22" spans="1:15">
      <c r="A22" s="14"/>
      <c r="B22" s="14" t="s">
        <v>329</v>
      </c>
      <c r="C22" s="27"/>
      <c r="D22" s="14">
        <f>IF(OR(MONTH(D$3)={4,5,10,11}),'Electric Factors '!$F$20,IF(OR(MONTH(D$3)={6,7,8,9}),'Electric Factors '!$G$20,0))</f>
        <v>0</v>
      </c>
      <c r="E22" s="14">
        <f>IF(OR(MONTH(E$3)={4,5,10,11}),'Electric Factors '!$F$20,IF(OR(MONTH(E$3)={6,7,8,9}),'Electric Factors '!$G$20,0))</f>
        <v>0</v>
      </c>
      <c r="F22" s="14">
        <f>IF(OR(MONTH(F$3)={4,5,10,11}),'Electric Factors '!$F$20,IF(OR(MONTH(F$3)={6,7,8,9}),'Electric Factors '!$G$20,0))</f>
        <v>0</v>
      </c>
      <c r="G22" s="14">
        <f>IF(OR(MONTH(G$3)={4,5,10,11}),'Electric Factors '!$F$20,IF(OR(MONTH(G$3)={6,7,8,9}),'Electric Factors '!$G$20,0))</f>
        <v>0.28000000000000003</v>
      </c>
      <c r="H22" s="14">
        <f>IF(OR(MONTH(H$3)={4,5,10,11}),'Electric Factors '!$F$20,IF(OR(MONTH(H$3)={6,7,8,9}),'Electric Factors '!$G$20,0))</f>
        <v>0.28000000000000003</v>
      </c>
      <c r="I22" s="14">
        <f>IF(OR(MONTH(I$3)={4,5,10,11}),'Electric Factors '!$F$20,IF(OR(MONTH(I$3)={6,7,8,9}),'Electric Factors '!$G$20,0))</f>
        <v>0.28000000000000003</v>
      </c>
      <c r="J22" s="14">
        <f>IF(OR(MONTH(J$3)={4,5,10,11}),'Electric Factors '!$F$20,IF(OR(MONTH(J$3)={6,7,8,9}),'Electric Factors '!$G$20,0))</f>
        <v>0.28000000000000003</v>
      </c>
      <c r="K22" s="14">
        <f>IF(OR(MONTH(K$3)={4,5,10,11}),'Electric Factors '!$F$20,IF(OR(MONTH(K$3)={6,7,8,9}),'Electric Factors '!$G$20,0))</f>
        <v>0.28000000000000003</v>
      </c>
      <c r="L22" s="14">
        <f>IF(OR(MONTH(L$3)={4,5,10,11}),'Electric Factors '!$F$20,IF(OR(MONTH(L$3)={6,7,8,9}),'Electric Factors '!$G$20,0))</f>
        <v>0.28000000000000003</v>
      </c>
      <c r="M22" s="14">
        <f>IF(OR(MONTH(M$3)={4,5,10,11}),'Electric Factors '!$F$20,IF(OR(MONTH(M$3)={6,7,8,9}),'Electric Factors '!$G$20,0))</f>
        <v>0.28000000000000003</v>
      </c>
      <c r="N22" s="14">
        <f>IF(OR(MONTH(N$3)={4,5,10,11}),'Electric Factors '!$F$20,IF(OR(MONTH(N$3)={6,7,8,9}),'Electric Factors '!$G$20,0))</f>
        <v>0.28000000000000003</v>
      </c>
      <c r="O22" s="14">
        <f>IF(OR(MONTH(O$3)={4,5,10,11}),'Electric Factors '!$F$20,IF(OR(MONTH(O$3)={6,7,8,9}),'Electric Factors '!$G$20,0))</f>
        <v>0</v>
      </c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 s="14" t="s">
        <v>340</v>
      </c>
      <c r="B24" s="14" t="s">
        <v>325</v>
      </c>
      <c r="C24" s="14"/>
      <c r="D24" s="24">
        <f>(($C26*12)/$P$5+D27*D$7+D28*D$8)*D25</f>
        <v>1135695.7972602742</v>
      </c>
      <c r="E24" s="24">
        <f t="shared" ref="E24:O24" si="6">(($C26*12)/$P$5+E27*E$7+E28*E$8)*E25</f>
        <v>1206573.8013698631</v>
      </c>
      <c r="F24" s="24">
        <f t="shared" si="6"/>
        <v>1212720.993150685</v>
      </c>
      <c r="G24" s="24">
        <f t="shared" si="6"/>
        <v>899283.69756164378</v>
      </c>
      <c r="H24" s="24">
        <f t="shared" si="6"/>
        <v>915159.10087671236</v>
      </c>
      <c r="I24" s="24">
        <f t="shared" si="6"/>
        <v>1096717.9926575343</v>
      </c>
      <c r="J24" s="24">
        <f t="shared" si="6"/>
        <v>1178137.243150685</v>
      </c>
      <c r="K24" s="24">
        <f t="shared" si="6"/>
        <v>1250596.978438356</v>
      </c>
      <c r="L24" s="24">
        <f t="shared" si="6"/>
        <v>935609.23342465749</v>
      </c>
      <c r="M24" s="24">
        <f t="shared" si="6"/>
        <v>970442.96535616438</v>
      </c>
      <c r="N24" s="24">
        <f t="shared" si="6"/>
        <v>936239.32643835619</v>
      </c>
      <c r="O24" s="24">
        <f t="shared" si="6"/>
        <v>1084083.3746575341</v>
      </c>
    </row>
    <row r="25" spans="1:15">
      <c r="A25" s="14"/>
      <c r="B25" s="14" t="s">
        <v>326</v>
      </c>
      <c r="C25" s="140">
        <f>AVERAGE(D25:O25)</f>
        <v>16196.083333333334</v>
      </c>
      <c r="D25" s="430">
        <v>16209</v>
      </c>
      <c r="E25" s="430">
        <v>16095</v>
      </c>
      <c r="F25" s="430">
        <v>16177</v>
      </c>
      <c r="G25" s="430">
        <v>16151</v>
      </c>
      <c r="H25" s="430">
        <v>16243</v>
      </c>
      <c r="I25" s="430">
        <v>16106</v>
      </c>
      <c r="J25" s="430">
        <v>16250</v>
      </c>
      <c r="K25" s="430">
        <v>16261</v>
      </c>
      <c r="L25" s="430">
        <v>16184</v>
      </c>
      <c r="M25" s="430">
        <v>16383</v>
      </c>
      <c r="N25" s="430">
        <v>16261</v>
      </c>
      <c r="O25" s="430">
        <v>16033</v>
      </c>
    </row>
    <row r="26" spans="1:15">
      <c r="A26" s="14"/>
      <c r="B26" s="14" t="s">
        <v>327</v>
      </c>
      <c r="C26" s="24">
        <f>'Electric Factors '!$H$21</f>
        <v>1535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14"/>
      <c r="B27" s="14" t="s">
        <v>328</v>
      </c>
      <c r="C27" s="27"/>
      <c r="D27" s="14">
        <f>IF(OR(MONTH(D$3)={12,1,2,3}),'Electric Factors '!$E$21,IF(OR(MONTH(D$3)={7,8,9}),0,'Electric Factors '!$D$21))</f>
        <v>0.49</v>
      </c>
      <c r="E27" s="14">
        <f>IF(OR(MONTH(E$3)={12,1,2,3}),'Electric Factors '!$E$21,IF(OR(MONTH(E$3)={7,8,9}),0,'Electric Factors '!$D$21))</f>
        <v>0.49</v>
      </c>
      <c r="F27" s="14">
        <f>IF(OR(MONTH(F$3)={12,1,2,3}),'Electric Factors '!$E$21,IF(OR(MONTH(F$3)={7,8,9}),0,'Electric Factors '!$D$21))</f>
        <v>0.49</v>
      </c>
      <c r="G27" s="14">
        <f>IF(OR(MONTH(G$3)={12,1,2,3}),'Electric Factors '!$E$21,IF(OR(MONTH(G$3)={7,8,9}),0,'Electric Factors '!$D$21))</f>
        <v>0.23699999999999999</v>
      </c>
      <c r="H27" s="14">
        <f>IF(OR(MONTH(H$3)={12,1,2,3}),'Electric Factors '!$E$21,IF(OR(MONTH(H$3)={7,8,9}),0,'Electric Factors '!$D$21))</f>
        <v>0.23699999999999999</v>
      </c>
      <c r="I27" s="14">
        <f>IF(OR(MONTH(I$3)={12,1,2,3}),'Electric Factors '!$E$21,IF(OR(MONTH(I$3)={7,8,9}),0,'Electric Factors '!$D$21))</f>
        <v>0.23699999999999999</v>
      </c>
      <c r="J27" s="14">
        <f>IF(OR(MONTH(J$3)={12,1,2,3}),'Electric Factors '!$E$21,IF(OR(MONTH(J$3)={7,8,9}),0,'Electric Factors '!$D$21))</f>
        <v>0</v>
      </c>
      <c r="K27" s="14">
        <f>IF(OR(MONTH(K$3)={12,1,2,3}),'Electric Factors '!$E$21,IF(OR(MONTH(K$3)={7,8,9}),0,'Electric Factors '!$D$21))</f>
        <v>0</v>
      </c>
      <c r="L27" s="14">
        <f>IF(OR(MONTH(L$3)={12,1,2,3}),'Electric Factors '!$E$21,IF(OR(MONTH(L$3)={7,8,9}),0,'Electric Factors '!$D$21))</f>
        <v>0</v>
      </c>
      <c r="M27" s="14">
        <f>IF(OR(MONTH(M$3)={12,1,2,3}),'Electric Factors '!$E$21,IF(OR(MONTH(M$3)={7,8,9}),0,'Electric Factors '!$D$21))</f>
        <v>0.23699999999999999</v>
      </c>
      <c r="N27" s="14">
        <f>IF(OR(MONTH(N$3)={12,1,2,3}),'Electric Factors '!$E$21,IF(OR(MONTH(N$3)={7,8,9}),0,'Electric Factors '!$D$21))</f>
        <v>0.23699999999999999</v>
      </c>
      <c r="O27" s="14">
        <f>IF(OR(MONTH(O$3)={12,1,2,3}),'Electric Factors '!$E$21,IF(OR(MONTH(O$3)={7,8,9}),0,'Electric Factors '!$D$21))</f>
        <v>0.49</v>
      </c>
    </row>
    <row r="28" spans="1:15">
      <c r="A28" s="14"/>
      <c r="B28" s="14" t="s">
        <v>329</v>
      </c>
      <c r="C28" s="27"/>
      <c r="D28" s="14">
        <f>IF(OR(MONTH(D$3)={4,5,10,11}),'Electric Factors '!$F$21,IF(OR(MONTH(D$3)={6,7,8,9}),'Electric Factors '!$G$21,0))</f>
        <v>0</v>
      </c>
      <c r="E28" s="14">
        <f>IF(OR(MONTH(E$3)={4,5,10,11}),'Electric Factors '!$F$21,IF(OR(MONTH(E$3)={6,7,8,9}),'Electric Factors '!$G$21,0))</f>
        <v>0</v>
      </c>
      <c r="F28" s="14">
        <f>IF(OR(MONTH(F$3)={4,5,10,11}),'Electric Factors '!$F$21,IF(OR(MONTH(F$3)={6,7,8,9}),'Electric Factors '!$G$21,0))</f>
        <v>0</v>
      </c>
      <c r="G28" s="14">
        <f>IF(OR(MONTH(G$3)={4,5,10,11}),'Electric Factors '!$F$21,IF(OR(MONTH(G$3)={6,7,8,9}),'Electric Factors '!$G$21,0))</f>
        <v>1.4690000000000001</v>
      </c>
      <c r="H28" s="14">
        <f>IF(OR(MONTH(H$3)={4,5,10,11}),'Electric Factors '!$F$21,IF(OR(MONTH(H$3)={6,7,8,9}),'Electric Factors '!$G$21,0))</f>
        <v>1.4690000000000001</v>
      </c>
      <c r="I28" s="14">
        <f>IF(OR(MONTH(I$3)={4,5,10,11}),'Electric Factors '!$F$21,IF(OR(MONTH(I$3)={6,7,8,9}),'Electric Factors '!$G$21,0))</f>
        <v>1.4690000000000001</v>
      </c>
      <c r="J28" s="14">
        <f>IF(OR(MONTH(J$3)={4,5,10,11}),'Electric Factors '!$F$21,IF(OR(MONTH(J$3)={6,7,8,9}),'Electric Factors '!$G$21,0))</f>
        <v>1.4690000000000001</v>
      </c>
      <c r="K28" s="14">
        <f>IF(OR(MONTH(K$3)={4,5,10,11}),'Electric Factors '!$F$21,IF(OR(MONTH(K$3)={6,7,8,9}),'Electric Factors '!$G$21,0))</f>
        <v>1.4690000000000001</v>
      </c>
      <c r="L28" s="14">
        <f>IF(OR(MONTH(L$3)={4,5,10,11}),'Electric Factors '!$F$21,IF(OR(MONTH(L$3)={6,7,8,9}),'Electric Factors '!$G$21,0))</f>
        <v>1.4690000000000001</v>
      </c>
      <c r="M28" s="14">
        <f>IF(OR(MONTH(M$3)={4,5,10,11}),'Electric Factors '!$F$21,IF(OR(MONTH(M$3)={6,7,8,9}),'Electric Factors '!$G$21,0))</f>
        <v>1.4690000000000001</v>
      </c>
      <c r="N28" s="14">
        <f>IF(OR(MONTH(N$3)={4,5,10,11}),'Electric Factors '!$F$21,IF(OR(MONTH(N$3)={6,7,8,9}),'Electric Factors '!$G$21,0))</f>
        <v>1.4690000000000001</v>
      </c>
      <c r="O28" s="14">
        <f>IF(OR(MONTH(O$3)={4,5,10,11}),'Electric Factors '!$F$21,IF(OR(MONTH(O$3)={6,7,8,9}),'Electric Factors '!$G$21,0))</f>
        <v>0</v>
      </c>
    </row>
    <row r="29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14" t="s">
        <v>2315</v>
      </c>
      <c r="B30" s="14" t="s">
        <v>325</v>
      </c>
      <c r="C30" s="14"/>
      <c r="D30" s="24">
        <f>(($C32*12)/$P$5+D33*D$7+D34*D$8)*D31</f>
        <v>16348.483835616442</v>
      </c>
      <c r="E30" s="24">
        <f t="shared" ref="E30:O30" si="7">(($C32*12)/$P$5+E33*E$7+E34*E$8)*E31</f>
        <v>17057.277397260274</v>
      </c>
      <c r="F30" s="24">
        <f t="shared" si="7"/>
        <v>16784.360958904112</v>
      </c>
      <c r="G30" s="24">
        <f t="shared" si="7"/>
        <v>13330.966739726029</v>
      </c>
      <c r="H30" s="24">
        <f t="shared" si="7"/>
        <v>12575.054958904109</v>
      </c>
      <c r="I30" s="24">
        <f t="shared" si="7"/>
        <v>13553.250739726027</v>
      </c>
      <c r="J30" s="24">
        <f t="shared" si="7"/>
        <v>13843.999520547946</v>
      </c>
      <c r="K30" s="24">
        <f t="shared" si="7"/>
        <v>14245.840520547947</v>
      </c>
      <c r="L30" s="24">
        <f t="shared" si="7"/>
        <v>12297.843082191781</v>
      </c>
      <c r="M30" s="24">
        <f t="shared" si="7"/>
        <v>13933.141082191782</v>
      </c>
      <c r="N30" s="24">
        <f t="shared" si="7"/>
        <v>13272.271643835616</v>
      </c>
      <c r="O30" s="24">
        <f t="shared" si="7"/>
        <v>14608.996643835619</v>
      </c>
    </row>
    <row r="31" spans="1:15">
      <c r="A31" s="14"/>
      <c r="B31" s="14" t="s">
        <v>326</v>
      </c>
      <c r="C31" s="140">
        <f>AVERAGE(D31:O31)</f>
        <v>121.33333333333333</v>
      </c>
      <c r="D31" s="430">
        <v>127</v>
      </c>
      <c r="E31" s="430">
        <v>125</v>
      </c>
      <c r="F31" s="430">
        <v>123</v>
      </c>
      <c r="G31" s="430">
        <v>122</v>
      </c>
      <c r="H31" s="430">
        <v>123</v>
      </c>
      <c r="I31" s="430">
        <v>122</v>
      </c>
      <c r="J31" s="430">
        <v>121</v>
      </c>
      <c r="K31" s="430">
        <v>121</v>
      </c>
      <c r="L31" s="430">
        <v>119</v>
      </c>
      <c r="M31" s="430">
        <v>119</v>
      </c>
      <c r="N31" s="430">
        <v>117</v>
      </c>
      <c r="O31" s="430">
        <v>117</v>
      </c>
    </row>
    <row r="32" spans="1:15">
      <c r="A32" s="14"/>
      <c r="B32" s="14" t="s">
        <v>327</v>
      </c>
      <c r="C32" s="24">
        <f>'Electric Factors '!$H$22</f>
        <v>2975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14"/>
      <c r="B33" s="14" t="s">
        <v>328</v>
      </c>
      <c r="C33" s="27"/>
      <c r="D33" s="14">
        <f>IF(OR(MONTH(D$3)={12,1,2,3}),'Electric Factors '!$E$22,IF(OR(MONTH(D$3)={7,8,9}),0,'Electric Factors '!$D$22))</f>
        <v>0.77300000000000002</v>
      </c>
      <c r="E33" s="14">
        <f>IF(OR(MONTH(E$3)={12,1,2,3}),'Electric Factors '!$E$22,IF(OR(MONTH(E$3)={7,8,9}),0,'Electric Factors '!$D$22))</f>
        <v>0.77300000000000002</v>
      </c>
      <c r="F33" s="14">
        <f>IF(OR(MONTH(F$3)={12,1,2,3}),'Electric Factors '!$E$22,IF(OR(MONTH(F$3)={7,8,9}),0,'Electric Factors '!$D$22))</f>
        <v>0.77300000000000002</v>
      </c>
      <c r="G33" s="14">
        <f>IF(OR(MONTH(G$3)={12,1,2,3}),'Electric Factors '!$E$22,IF(OR(MONTH(G$3)={7,8,9}),0,'Electric Factors '!$D$22))</f>
        <v>0.52100000000000002</v>
      </c>
      <c r="H33" s="14">
        <f>IF(OR(MONTH(H$3)={12,1,2,3}),'Electric Factors '!$E$22,IF(OR(MONTH(H$3)={7,8,9}),0,'Electric Factors '!$D$22))</f>
        <v>0.52100000000000002</v>
      </c>
      <c r="I33" s="14">
        <f>IF(OR(MONTH(I$3)={12,1,2,3}),'Electric Factors '!$E$22,IF(OR(MONTH(I$3)={7,8,9}),0,'Electric Factors '!$D$22))</f>
        <v>0.52100000000000002</v>
      </c>
      <c r="J33" s="14">
        <f>IF(OR(MONTH(J$3)={12,1,2,3}),'Electric Factors '!$E$22,IF(OR(MONTH(J$3)={7,8,9}),0,'Electric Factors '!$D$22))</f>
        <v>0</v>
      </c>
      <c r="K33" s="14">
        <f>IF(OR(MONTH(K$3)={12,1,2,3}),'Electric Factors '!$E$22,IF(OR(MONTH(K$3)={7,8,9}),0,'Electric Factors '!$D$22))</f>
        <v>0</v>
      </c>
      <c r="L33" s="14">
        <f>IF(OR(MONTH(L$3)={12,1,2,3}),'Electric Factors '!$E$22,IF(OR(MONTH(L$3)={7,8,9}),0,'Electric Factors '!$D$22))</f>
        <v>0</v>
      </c>
      <c r="M33" s="14">
        <f>IF(OR(MONTH(M$3)={12,1,2,3}),'Electric Factors '!$E$22,IF(OR(MONTH(M$3)={7,8,9}),0,'Electric Factors '!$D$22))</f>
        <v>0.52100000000000002</v>
      </c>
      <c r="N33" s="14">
        <f>IF(OR(MONTH(N$3)={12,1,2,3}),'Electric Factors '!$E$22,IF(OR(MONTH(N$3)={7,8,9}),0,'Electric Factors '!$D$22))</f>
        <v>0.52100000000000002</v>
      </c>
      <c r="O33" s="14">
        <f>IF(OR(MONTH(O$3)={12,1,2,3}),'Electric Factors '!$E$22,IF(OR(MONTH(O$3)={7,8,9}),0,'Electric Factors '!$D$22))</f>
        <v>0.77300000000000002</v>
      </c>
    </row>
    <row r="34" spans="1:15">
      <c r="A34" s="14"/>
      <c r="B34" s="14" t="s">
        <v>329</v>
      </c>
      <c r="C34" s="27"/>
      <c r="D34" s="14">
        <f>IF(OR(MONTH(D$3)={4,5,10,11}),'Electric Factors '!$F$22,IF(OR(MONTH(D$3)={6,7,8,9}),'Electric Factors '!$G$22,0))</f>
        <v>0</v>
      </c>
      <c r="E34" s="14">
        <f>IF(OR(MONTH(E$3)={4,5,10,11}),'Electric Factors '!$F$22,IF(OR(MONTH(E$3)={6,7,8,9}),'Electric Factors '!$G$22,0))</f>
        <v>0</v>
      </c>
      <c r="F34" s="14">
        <f>IF(OR(MONTH(F$3)={4,5,10,11}),'Electric Factors '!$F$22,IF(OR(MONTH(F$3)={6,7,8,9}),'Electric Factors '!$G$22,0))</f>
        <v>0</v>
      </c>
      <c r="G34" s="14">
        <f>IF(OR(MONTH(G$3)={4,5,10,11}),'Electric Factors '!$F$22,IF(OR(MONTH(G$3)={6,7,8,9}),'Electric Factors '!$G$22,0))</f>
        <v>1.107</v>
      </c>
      <c r="H34" s="14">
        <f>IF(OR(MONTH(H$3)={4,5,10,11}),'Electric Factors '!$F$22,IF(OR(MONTH(H$3)={6,7,8,9}),'Electric Factors '!$G$22,0))</f>
        <v>1.107</v>
      </c>
      <c r="I34" s="14">
        <f>IF(OR(MONTH(I$3)={4,5,10,11}),'Electric Factors '!$F$22,IF(OR(MONTH(I$3)={6,7,8,9}),'Electric Factors '!$G$22,0))</f>
        <v>1.107</v>
      </c>
      <c r="J34" s="14">
        <f>IF(OR(MONTH(J$3)={4,5,10,11}),'Electric Factors '!$F$22,IF(OR(MONTH(J$3)={6,7,8,9}),'Electric Factors '!$G$22,0))</f>
        <v>1.107</v>
      </c>
      <c r="K34" s="14">
        <f>IF(OR(MONTH(K$3)={4,5,10,11}),'Electric Factors '!$F$22,IF(OR(MONTH(K$3)={6,7,8,9}),'Electric Factors '!$G$22,0))</f>
        <v>1.107</v>
      </c>
      <c r="L34" s="14">
        <f>IF(OR(MONTH(L$3)={4,5,10,11}),'Electric Factors '!$F$22,IF(OR(MONTH(L$3)={6,7,8,9}),'Electric Factors '!$G$22,0))</f>
        <v>1.107</v>
      </c>
      <c r="M34" s="14">
        <f>IF(OR(MONTH(M$3)={4,5,10,11}),'Electric Factors '!$F$22,IF(OR(MONTH(M$3)={6,7,8,9}),'Electric Factors '!$G$22,0))</f>
        <v>1.107</v>
      </c>
      <c r="N34" s="14">
        <f>IF(OR(MONTH(N$3)={4,5,10,11}),'Electric Factors '!$F$22,IF(OR(MONTH(N$3)={6,7,8,9}),'Electric Factors '!$G$22,0))</f>
        <v>1.107</v>
      </c>
      <c r="O34" s="14">
        <f>IF(OR(MONTH(O$3)={4,5,10,11}),'Electric Factors '!$F$22,IF(OR(MONTH(O$3)={6,7,8,9}),'Electric Factors '!$G$22,0))</f>
        <v>0</v>
      </c>
    </row>
    <row r="35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 s="14" t="s">
        <v>214</v>
      </c>
      <c r="B36" s="14" t="s">
        <v>334</v>
      </c>
      <c r="C36" s="14"/>
      <c r="D36" s="24">
        <f ca="1">'12.2019 ID Usage'!C161</f>
        <v>639849.48999999464</v>
      </c>
      <c r="E36" s="24">
        <f ca="1">'12.2019 ID Usage'!D161</f>
        <v>607169.64999999851</v>
      </c>
      <c r="F36" s="24">
        <f ca="1">'12.2019 ID Usage'!E161</f>
        <v>584237.49999999255</v>
      </c>
      <c r="G36" s="24">
        <f ca="1">'12.2019 ID Usage'!F161</f>
        <v>541662.79000000283</v>
      </c>
      <c r="H36" s="24">
        <f ca="1">'12.2019 ID Usage'!G161</f>
        <v>462544.33000000194</v>
      </c>
      <c r="I36" s="24">
        <f ca="1">'12.2019 ID Usage'!H161</f>
        <v>488605.03999999911</v>
      </c>
      <c r="J36" s="24">
        <f ca="1">'12.2019 ID Usage'!I161</f>
        <v>461012.63000000268</v>
      </c>
      <c r="K36" s="24">
        <f ca="1">'12.2019 ID Usage'!J161</f>
        <v>477661.23000000045</v>
      </c>
      <c r="L36" s="24">
        <f ca="1">'12.2019 ID Usage'!K161</f>
        <v>492584.47999999672</v>
      </c>
      <c r="M36" s="24">
        <f ca="1">'12.2019 ID Usage'!L161</f>
        <v>437305.89999999851</v>
      </c>
      <c r="N36" s="24">
        <f ca="1">'12.2019 ID Usage'!M161</f>
        <v>499732.16000000015</v>
      </c>
      <c r="O36" s="24">
        <f ca="1">'12.2019 ID Usage'!N161</f>
        <v>553600.82999999821</v>
      </c>
    </row>
    <row r="37" spans="1:15">
      <c r="A37" s="14"/>
      <c r="B37" s="14" t="s">
        <v>335</v>
      </c>
      <c r="C37"/>
      <c r="D37" s="41">
        <f ca="1">D36/D$5</f>
        <v>20640.306129032084</v>
      </c>
      <c r="E37" s="41">
        <f t="shared" ref="E37:O37" ca="1" si="8">E36/E$5</f>
        <v>21684.630357142803</v>
      </c>
      <c r="F37" s="41">
        <f t="shared" ca="1" si="8"/>
        <v>18846.370967741695</v>
      </c>
      <c r="G37" s="41">
        <f t="shared" ca="1" si="8"/>
        <v>18055.426333333427</v>
      </c>
      <c r="H37" s="41">
        <f t="shared" ca="1" si="8"/>
        <v>14920.78483870974</v>
      </c>
      <c r="I37" s="41">
        <f t="shared" ca="1" si="8"/>
        <v>16286.834666666637</v>
      </c>
      <c r="J37" s="41">
        <f t="shared" ca="1" si="8"/>
        <v>14871.375161290409</v>
      </c>
      <c r="K37" s="41">
        <f t="shared" ca="1" si="8"/>
        <v>15408.426774193564</v>
      </c>
      <c r="L37" s="41">
        <f t="shared" ca="1" si="8"/>
        <v>16419.482666666558</v>
      </c>
      <c r="M37" s="41">
        <f t="shared" ca="1" si="8"/>
        <v>14106.641935483824</v>
      </c>
      <c r="N37" s="41">
        <f t="shared" ca="1" si="8"/>
        <v>16657.738666666672</v>
      </c>
      <c r="O37" s="41">
        <f t="shared" ca="1" si="8"/>
        <v>17858.091290322522</v>
      </c>
    </row>
    <row r="38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 s="14" t="s">
        <v>341</v>
      </c>
      <c r="B39" s="14" t="s">
        <v>325</v>
      </c>
      <c r="C39" s="14"/>
      <c r="D39" s="24">
        <f ca="1">D18+D24+D30+D37</f>
        <v>1285032.8666769774</v>
      </c>
      <c r="E39" s="24">
        <f t="shared" ref="E39:O39" ca="1" si="9">E18+E24+E30+E37</f>
        <v>1372749.989946184</v>
      </c>
      <c r="F39" s="24">
        <f t="shared" ca="1" si="9"/>
        <v>1376703.1291869197</v>
      </c>
      <c r="G39" s="24">
        <f t="shared" ca="1" si="9"/>
        <v>1007094.7678949772</v>
      </c>
      <c r="H39" s="24">
        <f t="shared" ca="1" si="9"/>
        <v>998668.18779761391</v>
      </c>
      <c r="I39" s="24">
        <f t="shared" ca="1" si="9"/>
        <v>1194616.3049132419</v>
      </c>
      <c r="J39" s="24">
        <f t="shared" ca="1" si="9"/>
        <v>1280723.8616681397</v>
      </c>
      <c r="K39" s="24">
        <f t="shared" ca="1" si="9"/>
        <v>1358724.1345002207</v>
      </c>
      <c r="L39" s="24">
        <f t="shared" ca="1" si="9"/>
        <v>1022005.7509543377</v>
      </c>
      <c r="M39" s="24">
        <f t="shared" ca="1" si="9"/>
        <v>1096049.3283738401</v>
      </c>
      <c r="N39" s="24">
        <f t="shared" ca="1" si="9"/>
        <v>1054639.4435981736</v>
      </c>
      <c r="O39" s="24">
        <f t="shared" ca="1" si="9"/>
        <v>1225043.1208793635</v>
      </c>
    </row>
    <row r="40" spans="1:15">
      <c r="A40" s="14" t="str">
        <f>'Load Shape'!K2</f>
        <v>ID11</v>
      </c>
      <c r="B40" s="14" t="s">
        <v>330</v>
      </c>
      <c r="C40" s="14"/>
      <c r="D40" s="26">
        <f t="shared" ref="D40:O40" si="10">INDEX(LoadShape,MATCH(D$6,M.WkDy.H,0),$A41)</f>
        <v>4.54220657543985E-2</v>
      </c>
      <c r="E40" s="26">
        <f t="shared" si="10"/>
        <v>4.3240355755463825E-2</v>
      </c>
      <c r="F40" s="26">
        <f t="shared" si="10"/>
        <v>4.2585213086526033E-2</v>
      </c>
      <c r="G40" s="26">
        <f t="shared" si="10"/>
        <v>4.2920610490328713E-2</v>
      </c>
      <c r="H40" s="26">
        <f t="shared" si="10"/>
        <v>5.2018173268806624E-2</v>
      </c>
      <c r="I40" s="26">
        <f t="shared" si="10"/>
        <v>5.7767987601829322E-2</v>
      </c>
      <c r="J40" s="26">
        <f t="shared" si="10"/>
        <v>5.6536096572677476E-2</v>
      </c>
      <c r="K40" s="26">
        <f t="shared" si="10"/>
        <v>5.7704202053240568E-2</v>
      </c>
      <c r="L40" s="26">
        <f t="shared" si="10"/>
        <v>4.4665044139782548E-2</v>
      </c>
      <c r="M40" s="26">
        <f t="shared" si="10"/>
        <v>4.4308816182355354E-2</v>
      </c>
      <c r="N40" s="26">
        <f t="shared" si="10"/>
        <v>4.1325150874833752E-2</v>
      </c>
      <c r="O40" s="26">
        <f t="shared" si="10"/>
        <v>4.4465479961516827E-2</v>
      </c>
    </row>
    <row r="41" spans="1:15">
      <c r="A41" s="40">
        <f>MATCH(A40,'Load Shape'!$E$2:$N$2,0)</f>
        <v>7</v>
      </c>
      <c r="B41" s="14" t="s">
        <v>212</v>
      </c>
      <c r="C41" s="24">
        <f ca="1">AVERAGE(D41:O41)</f>
        <v>56968.158581026357</v>
      </c>
      <c r="D41" s="24">
        <f t="shared" ref="D41:O41" ca="1" si="11">D39*D40</f>
        <v>58368.847366764865</v>
      </c>
      <c r="E41" s="24">
        <f t="shared" ca="1" si="11"/>
        <v>59358.197928582384</v>
      </c>
      <c r="F41" s="24">
        <f t="shared" ca="1" si="11"/>
        <v>58627.196113312151</v>
      </c>
      <c r="G41" s="24">
        <f t="shared" ca="1" si="11"/>
        <v>43225.122259668322</v>
      </c>
      <c r="H41" s="24">
        <f t="shared" ca="1" si="11"/>
        <v>51948.894830901394</v>
      </c>
      <c r="I41" s="24">
        <f t="shared" ca="1" si="11"/>
        <v>69010.579891171321</v>
      </c>
      <c r="J41" s="24">
        <f t="shared" ca="1" si="11"/>
        <v>72407.127926202375</v>
      </c>
      <c r="K41" s="24">
        <f t="shared" ca="1" si="11"/>
        <v>78404.091991815149</v>
      </c>
      <c r="L41" s="24">
        <f t="shared" ca="1" si="11"/>
        <v>45647.931977487104</v>
      </c>
      <c r="M41" s="24">
        <f t="shared" ca="1" si="11"/>
        <v>48564.648217710521</v>
      </c>
      <c r="N41" s="24">
        <f t="shared" ca="1" si="11"/>
        <v>43583.13412524524</v>
      </c>
      <c r="O41" s="24">
        <f t="shared" ca="1" si="11"/>
        <v>54472.13034345537</v>
      </c>
    </row>
    <row r="42" spans="1:15">
      <c r="A42" s="14"/>
      <c r="B42" s="1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A43" s="14" t="s">
        <v>341</v>
      </c>
      <c r="B43" s="14" t="s">
        <v>325</v>
      </c>
      <c r="C43" s="14"/>
      <c r="D43" s="24">
        <f>(($C45*12)/$P$5+D46*D$7+D47*D$8)*D44</f>
        <v>1271400.5342465753</v>
      </c>
      <c r="E43" s="24">
        <f t="shared" ref="E43:O43" si="12">(($C45*12)/$P$5+E46*E$7+E47*E$8)*E44</f>
        <v>1357699.8760273971</v>
      </c>
      <c r="F43" s="24">
        <f t="shared" si="12"/>
        <v>1365108.1150684932</v>
      </c>
      <c r="G43" s="24">
        <f t="shared" si="12"/>
        <v>994771.1978630136</v>
      </c>
      <c r="H43" s="24">
        <f t="shared" si="12"/>
        <v>995786.70509589033</v>
      </c>
      <c r="I43" s="24">
        <f t="shared" si="12"/>
        <v>1190299.9722739726</v>
      </c>
      <c r="J43" s="24">
        <f t="shared" si="12"/>
        <v>1279664.807260274</v>
      </c>
      <c r="K43" s="24">
        <f>(($C45*12)/$P$5+K46*K$7+K47*K$8)*K44</f>
        <v>1356495.4050410958</v>
      </c>
      <c r="L43" s="24">
        <f t="shared" si="12"/>
        <v>1018846.720068493</v>
      </c>
      <c r="M43" s="24">
        <f t="shared" si="12"/>
        <v>1086413.8438356163</v>
      </c>
      <c r="N43" s="24">
        <f t="shared" si="12"/>
        <v>1045250.9967123286</v>
      </c>
      <c r="O43" s="24">
        <f t="shared" si="12"/>
        <v>1225371.6616438355</v>
      </c>
    </row>
    <row r="44" spans="1:15">
      <c r="A44" s="14"/>
      <c r="B44" s="14" t="s">
        <v>326</v>
      </c>
      <c r="C44" s="140">
        <f>AVERAGE(D44:O44)</f>
        <v>22014.166666666668</v>
      </c>
      <c r="D44" s="432">
        <v>21957</v>
      </c>
      <c r="E44" s="432">
        <v>21809</v>
      </c>
      <c r="F44" s="432">
        <v>21928</v>
      </c>
      <c r="G44" s="432">
        <v>21917</v>
      </c>
      <c r="H44" s="432">
        <v>22056</v>
      </c>
      <c r="I44" s="432">
        <v>21866</v>
      </c>
      <c r="J44" s="432">
        <v>22094</v>
      </c>
      <c r="K44" s="432">
        <v>22092</v>
      </c>
      <c r="L44" s="432">
        <v>22001</v>
      </c>
      <c r="M44" s="432">
        <v>22300</v>
      </c>
      <c r="N44" s="432">
        <v>22162</v>
      </c>
      <c r="O44" s="432">
        <v>21988</v>
      </c>
    </row>
    <row r="45" spans="1:15">
      <c r="A45" s="40"/>
      <c r="B45" s="14" t="s">
        <v>327</v>
      </c>
      <c r="C45" s="24">
        <f>'Electric Factors '!$H$23</f>
        <v>1232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14"/>
      <c r="B46" s="14" t="s">
        <v>328</v>
      </c>
      <c r="C46" s="27"/>
      <c r="D46" s="14">
        <f>IF(OR(MONTH(D$3)={12,1,2,3}),'Electric Factors '!$E$23,IF(OR(MONTH(D$3)={7,8,9}),0,'Electric Factors '!$D$23))</f>
        <v>0.435</v>
      </c>
      <c r="E46" s="14">
        <f>IF(OR(MONTH(E$3)={12,1,2,3}),'Electric Factors '!$E$23,IF(OR(MONTH(E$3)={7,8,9}),0,'Electric Factors '!$D$23))</f>
        <v>0.435</v>
      </c>
      <c r="F46" s="14">
        <f>IF(OR(MONTH(F$3)={12,1,2,3}),'Electric Factors '!$E$23,IF(OR(MONTH(F$3)={7,8,9}),0,'Electric Factors '!$D$23))</f>
        <v>0.435</v>
      </c>
      <c r="G46" s="14">
        <f>IF(OR(MONTH(G$3)={12,1,2,3}),'Electric Factors '!$E$23,IF(OR(MONTH(G$3)={7,8,9}),0,'Electric Factors '!$D$23))</f>
        <v>0.222</v>
      </c>
      <c r="H46" s="14">
        <f>IF(OR(MONTH(H$3)={12,1,2,3}),'Electric Factors '!$E$23,IF(OR(MONTH(H$3)={7,8,9}),0,'Electric Factors '!$D$23))</f>
        <v>0.222</v>
      </c>
      <c r="I46" s="14">
        <f>IF(OR(MONTH(I$3)={12,1,2,3}),'Electric Factors '!$E$23,IF(OR(MONTH(I$3)={7,8,9}),0,'Electric Factors '!$D$23))</f>
        <v>0.222</v>
      </c>
      <c r="J46" s="14">
        <f>IF(OR(MONTH(J$3)={12,1,2,3}),'Electric Factors '!$E$23,IF(OR(MONTH(J$3)={7,8,9}),0,'Electric Factors '!$D$23))</f>
        <v>0</v>
      </c>
      <c r="K46" s="14">
        <f>IF(OR(MONTH(K$3)={12,1,2,3}),'Electric Factors '!$E$23,IF(OR(MONTH(K$3)={7,8,9}),0,'Electric Factors '!$D$23))</f>
        <v>0</v>
      </c>
      <c r="L46" s="14">
        <f>IF(OR(MONTH(L$3)={12,1,2,3}),'Electric Factors '!$E$23,IF(OR(MONTH(L$3)={7,8,9}),0,'Electric Factors '!$D$23))</f>
        <v>0</v>
      </c>
      <c r="M46" s="14">
        <f>IF(OR(MONTH(M$3)={12,1,2,3}),'Electric Factors '!$E$23,IF(OR(MONTH(M$3)={7,8,9}),0,'Electric Factors '!$D$23))</f>
        <v>0.222</v>
      </c>
      <c r="N46" s="14">
        <f>IF(OR(MONTH(N$3)={12,1,2,3}),'Electric Factors '!$E$23,IF(OR(MONTH(N$3)={7,8,9}),0,'Electric Factors '!$D$23))</f>
        <v>0.222</v>
      </c>
      <c r="O46" s="14">
        <f>IF(OR(MONTH(O$3)={12,1,2,3}),'Electric Factors '!$E$23,IF(OR(MONTH(O$3)={7,8,9}),0,'Electric Factors '!$D$23))</f>
        <v>0.435</v>
      </c>
    </row>
    <row r="47" spans="1:15">
      <c r="A47" s="14"/>
      <c r="B47" s="14" t="s">
        <v>329</v>
      </c>
      <c r="C47" s="27"/>
      <c r="D47" s="14">
        <f>IF(OR(MONTH(D$3)={4,5,10,11}),'Electric Factors '!$F$23,IF(OR(MONTH(D$3)={6,7,8,9}),'Electric Factors '!$G$23,0))</f>
        <v>0</v>
      </c>
      <c r="E47" s="14">
        <f>IF(OR(MONTH(E$3)={4,5,10,11}),'Electric Factors '!$F$23,IF(OR(MONTH(E$3)={6,7,8,9}),'Electric Factors '!$G$23,0))</f>
        <v>0</v>
      </c>
      <c r="F47" s="14">
        <f>IF(OR(MONTH(F$3)={4,5,10,11}),'Electric Factors '!$F$23,IF(OR(MONTH(F$3)={6,7,8,9}),'Electric Factors '!$G$23,0))</f>
        <v>0</v>
      </c>
      <c r="G47" s="14">
        <f>IF(OR(MONTH(G$3)={4,5,10,11}),'Electric Factors '!$F$23,IF(OR(MONTH(G$3)={6,7,8,9}),'Electric Factors '!$G$23,0))</f>
        <v>1.161</v>
      </c>
      <c r="H47" s="14">
        <f>IF(OR(MONTH(H$3)={4,5,10,11}),'Electric Factors '!$F$23,IF(OR(MONTH(H$3)={6,7,8,9}),'Electric Factors '!$G$23,0))</f>
        <v>1.161</v>
      </c>
      <c r="I47" s="14">
        <f>IF(OR(MONTH(I$3)={4,5,10,11}),'Electric Factors '!$F$23,IF(OR(MONTH(I$3)={6,7,8,9}),'Electric Factors '!$G$23,0))</f>
        <v>1.161</v>
      </c>
      <c r="J47" s="14">
        <f>IF(OR(MONTH(J$3)={4,5,10,11}),'Electric Factors '!$F$23,IF(OR(MONTH(J$3)={6,7,8,9}),'Electric Factors '!$G$23,0))</f>
        <v>1.161</v>
      </c>
      <c r="K47" s="14">
        <f>IF(OR(MONTH(K$3)={4,5,10,11}),'Electric Factors '!$F$23,IF(OR(MONTH(K$3)={6,7,8,9}),'Electric Factors '!$G$23,0))</f>
        <v>1.161</v>
      </c>
      <c r="L47" s="14">
        <f>IF(OR(MONTH(L$3)={4,5,10,11}),'Electric Factors '!$F$23,IF(OR(MONTH(L$3)={6,7,8,9}),'Electric Factors '!$G$23,0))</f>
        <v>1.161</v>
      </c>
      <c r="M47" s="14">
        <f>IF(OR(MONTH(M$3)={4,5,10,11}),'Electric Factors '!$F$23,IF(OR(MONTH(M$3)={6,7,8,9}),'Electric Factors '!$G$23,0))</f>
        <v>1.161</v>
      </c>
      <c r="N47" s="14">
        <f>IF(OR(MONTH(N$3)={4,5,10,11}),'Electric Factors '!$F$23,IF(OR(MONTH(N$3)={6,7,8,9}),'Electric Factors '!$G$23,0))</f>
        <v>1.161</v>
      </c>
      <c r="O47" s="14">
        <f>IF(OR(MONTH(O$3)={4,5,10,11}),'Electric Factors '!$F$23,IF(OR(MONTH(O$3)={6,7,8,9}),'Electric Factors '!$G$23,0))</f>
        <v>0</v>
      </c>
    </row>
    <row r="48" spans="1:15">
      <c r="A48" s="14"/>
      <c r="B48" s="14" t="s">
        <v>330</v>
      </c>
      <c r="C48" s="14"/>
      <c r="D48" s="26">
        <f>D40</f>
        <v>4.54220657543985E-2</v>
      </c>
      <c r="E48" s="26">
        <f t="shared" ref="E48:O48" si="13">E40</f>
        <v>4.3240355755463825E-2</v>
      </c>
      <c r="F48" s="26">
        <f t="shared" si="13"/>
        <v>4.2585213086526033E-2</v>
      </c>
      <c r="G48" s="26">
        <f t="shared" si="13"/>
        <v>4.2920610490328713E-2</v>
      </c>
      <c r="H48" s="26">
        <f t="shared" si="13"/>
        <v>5.2018173268806624E-2</v>
      </c>
      <c r="I48" s="26">
        <f t="shared" si="13"/>
        <v>5.7767987601829322E-2</v>
      </c>
      <c r="J48" s="26">
        <f t="shared" si="13"/>
        <v>5.6536096572677476E-2</v>
      </c>
      <c r="K48" s="26">
        <f t="shared" si="13"/>
        <v>5.7704202053240568E-2</v>
      </c>
      <c r="L48" s="26">
        <f t="shared" si="13"/>
        <v>4.4665044139782548E-2</v>
      </c>
      <c r="M48" s="26">
        <f t="shared" si="13"/>
        <v>4.4308816182355354E-2</v>
      </c>
      <c r="N48" s="26">
        <f t="shared" si="13"/>
        <v>4.1325150874833752E-2</v>
      </c>
      <c r="O48" s="26">
        <f t="shared" si="13"/>
        <v>4.4465479961516827E-2</v>
      </c>
    </row>
    <row r="49" spans="1:15">
      <c r="A49" s="14"/>
      <c r="B49" s="14" t="s">
        <v>213</v>
      </c>
      <c r="C49" s="24">
        <f>AVERAGE(D49:O49)</f>
        <v>56649.674007792106</v>
      </c>
      <c r="D49" s="24">
        <f t="shared" ref="D49:O49" si="14">D43*D48</f>
        <v>57749.638666725325</v>
      </c>
      <c r="E49" s="24">
        <f t="shared" si="14"/>
        <v>58707.425648573779</v>
      </c>
      <c r="F49" s="24">
        <f t="shared" si="14"/>
        <v>58133.419966337678</v>
      </c>
      <c r="G49" s="24">
        <f t="shared" si="14"/>
        <v>42696.187110476123</v>
      </c>
      <c r="H49" s="24">
        <f t="shared" si="14"/>
        <v>51799.005364452067</v>
      </c>
      <c r="I49" s="24">
        <f t="shared" si="14"/>
        <v>68761.234040780633</v>
      </c>
      <c r="J49" s="24">
        <f t="shared" si="14"/>
        <v>72347.253123923554</v>
      </c>
      <c r="K49" s="24">
        <f t="shared" si="14"/>
        <v>78275.484936783789</v>
      </c>
      <c r="L49" s="24">
        <f t="shared" si="14"/>
        <v>45506.833723531912</v>
      </c>
      <c r="M49" s="24">
        <f t="shared" si="14"/>
        <v>48137.711304478435</v>
      </c>
      <c r="N49" s="24">
        <f t="shared" si="14"/>
        <v>43195.155141207339</v>
      </c>
      <c r="O49" s="24">
        <f t="shared" si="14"/>
        <v>54486.739066234542</v>
      </c>
    </row>
    <row r="50" spans="1:15">
      <c r="A50" s="14"/>
      <c r="B50" s="14"/>
      <c r="C50" s="2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>
      <c r="A51" s="14" t="s">
        <v>2316</v>
      </c>
      <c r="B51" s="14" t="s">
        <v>325</v>
      </c>
      <c r="C51" s="14"/>
      <c r="D51" s="24">
        <f>(($C53*12)/$P$5+D54*D$7+D55*D$8)*D52</f>
        <v>25345.69589041096</v>
      </c>
      <c r="E51" s="24">
        <f t="shared" ref="E51:O51" si="15">(($C53*12)/$P$5+E54*E$7+E55*E$8)*E52</f>
        <v>27976.44589041096</v>
      </c>
      <c r="F51" s="24">
        <f t="shared" si="15"/>
        <v>27976.44589041096</v>
      </c>
      <c r="G51" s="24">
        <f t="shared" si="15"/>
        <v>17984.865890410958</v>
      </c>
      <c r="H51" s="24">
        <f t="shared" si="15"/>
        <v>16583.283890410959</v>
      </c>
      <c r="I51" s="24">
        <f t="shared" si="15"/>
        <v>20104.459890410959</v>
      </c>
      <c r="J51" s="24">
        <f t="shared" si="15"/>
        <v>21424.900890410958</v>
      </c>
      <c r="K51" s="24">
        <f t="shared" si="15"/>
        <v>22745.34189041096</v>
      </c>
      <c r="L51" s="24">
        <f t="shared" si="15"/>
        <v>17023.430890410957</v>
      </c>
      <c r="M51" s="24">
        <f t="shared" si="15"/>
        <v>20140.890890410959</v>
      </c>
      <c r="N51" s="24">
        <f t="shared" si="15"/>
        <v>19134.745890410959</v>
      </c>
      <c r="O51" s="24">
        <f t="shared" si="15"/>
        <v>24030.32089041096</v>
      </c>
    </row>
    <row r="52" spans="1:15">
      <c r="A52" s="14"/>
      <c r="B52" s="14" t="s">
        <v>326</v>
      </c>
      <c r="C52" s="140">
        <f>AVERAGE(D52:O52)</f>
        <v>17</v>
      </c>
      <c r="D52" s="433">
        <v>17</v>
      </c>
      <c r="E52" s="433">
        <v>17</v>
      </c>
      <c r="F52" s="433">
        <v>17</v>
      </c>
      <c r="G52" s="433">
        <v>17</v>
      </c>
      <c r="H52" s="433">
        <v>17</v>
      </c>
      <c r="I52" s="433">
        <v>17</v>
      </c>
      <c r="J52" s="433">
        <v>17</v>
      </c>
      <c r="K52" s="433">
        <v>17</v>
      </c>
      <c r="L52" s="433">
        <v>17</v>
      </c>
      <c r="M52" s="433">
        <v>17</v>
      </c>
      <c r="N52" s="433">
        <v>17</v>
      </c>
      <c r="O52" s="433">
        <v>17</v>
      </c>
    </row>
    <row r="53" spans="1:15">
      <c r="A53" s="14"/>
      <c r="B53" s="14" t="s">
        <v>327</v>
      </c>
      <c r="C53" s="24">
        <f>'Electric Factors '!$H$24</f>
        <v>26521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>
      <c r="A54" s="14"/>
      <c r="B54" s="14" t="s">
        <v>328</v>
      </c>
      <c r="C54" s="27"/>
      <c r="D54" s="14">
        <f>IF(OR(MONTH(D$3)={12,1,2,3}),'Electric Factors '!$E$24,IF(OR(MONTH(D$3)={7,8,9}),0,'Electric Factors '!$D$24))</f>
        <v>15.475</v>
      </c>
      <c r="E54" s="14">
        <f>IF(OR(MONTH(E$3)={12,1,2,3}),'Electric Factors '!$E$24,IF(OR(MONTH(E$3)={7,8,9}),0,'Electric Factors '!$D$24))</f>
        <v>15.475</v>
      </c>
      <c r="F54" s="14">
        <f>IF(OR(MONTH(F$3)={12,1,2,3}),'Electric Factors '!$E$24,IF(OR(MONTH(F$3)={7,8,9}),0,'Electric Factors '!$D$24))</f>
        <v>15.475</v>
      </c>
      <c r="G54" s="14">
        <f>IF(OR(MONTH(G$3)={12,1,2,3}),'Electric Factors '!$E$24,IF(OR(MONTH(G$3)={7,8,9}),0,'Electric Factors '!$D$24))</f>
        <v>8.4550000000000001</v>
      </c>
      <c r="H54" s="14">
        <f>IF(OR(MONTH(H$3)={12,1,2,3}),'Electric Factors '!$E$24,IF(OR(MONTH(H$3)={7,8,9}),0,'Electric Factors '!$D$24))</f>
        <v>8.4550000000000001</v>
      </c>
      <c r="I54" s="14">
        <f>IF(OR(MONTH(I$3)={12,1,2,3}),'Electric Factors '!$E$24,IF(OR(MONTH(I$3)={7,8,9}),0,'Electric Factors '!$D$24))</f>
        <v>8.4550000000000001</v>
      </c>
      <c r="J54" s="14">
        <f>IF(OR(MONTH(J$3)={12,1,2,3}),'Electric Factors '!$E$24,IF(OR(MONTH(J$3)={7,8,9}),0,'Electric Factors '!$D$24))</f>
        <v>0</v>
      </c>
      <c r="K54" s="14">
        <f>IF(OR(MONTH(K$3)={12,1,2,3}),'Electric Factors '!$E$24,IF(OR(MONTH(K$3)={7,8,9}),0,'Electric Factors '!$D$24))</f>
        <v>0</v>
      </c>
      <c r="L54" s="14">
        <f>IF(OR(MONTH(L$3)={12,1,2,3}),'Electric Factors '!$E$24,IF(OR(MONTH(L$3)={7,8,9}),0,'Electric Factors '!$D$24))</f>
        <v>0</v>
      </c>
      <c r="M54" s="14">
        <f>IF(OR(MONTH(M$3)={12,1,2,3}),'Electric Factors '!$E$24,IF(OR(MONTH(M$3)={7,8,9}),0,'Electric Factors '!$D$24))</f>
        <v>8.4550000000000001</v>
      </c>
      <c r="N54" s="14">
        <f>IF(OR(MONTH(N$3)={12,1,2,3}),'Electric Factors '!$E$24,IF(OR(MONTH(N$3)={7,8,9}),0,'Electric Factors '!$D$24))</f>
        <v>8.4550000000000001</v>
      </c>
      <c r="O54" s="14">
        <f>IF(OR(MONTH(O$3)={12,1,2,3}),'Electric Factors '!$E$24,IF(OR(MONTH(O$3)={7,8,9}),0,'Electric Factors '!$D$24))</f>
        <v>15.475</v>
      </c>
    </row>
    <row r="55" spans="1:15">
      <c r="A55" s="14" t="str">
        <f>$A$76</f>
        <v>ID21S</v>
      </c>
      <c r="B55" s="14" t="s">
        <v>329</v>
      </c>
      <c r="C55" s="27"/>
      <c r="D55" s="14">
        <f>IF(OR(MONTH(D$3)={4,5,10,11}),'Electric Factors '!$F$24,IF(OR(MONTH(D$3)={6,7,8,9}),'Electric Factors '!$G$24,0))</f>
        <v>0</v>
      </c>
      <c r="E55" s="14">
        <f>IF(OR(MONTH(E$3)={4,5,10,11}),'Electric Factors '!$F$24,IF(OR(MONTH(E$3)={6,7,8,9}),'Electric Factors '!$G$24,0))</f>
        <v>0</v>
      </c>
      <c r="F55" s="14">
        <f>IF(OR(MONTH(F$3)={4,5,10,11}),'Electric Factors '!$F$24,IF(OR(MONTH(F$3)={6,7,8,9}),'Electric Factors '!$G$24,0))</f>
        <v>0</v>
      </c>
      <c r="G55" s="14">
        <f>IF(OR(MONTH(G$3)={4,5,10,11}),'Electric Factors '!$F$24,IF(OR(MONTH(G$3)={6,7,8,9}),'Electric Factors '!$G$24,0))</f>
        <v>25.890999999999998</v>
      </c>
      <c r="H55" s="14">
        <f>IF(OR(MONTH(H$3)={4,5,10,11}),'Electric Factors '!$F$24,IF(OR(MONTH(H$3)={6,7,8,9}),'Electric Factors '!$G$24,0))</f>
        <v>25.890999999999998</v>
      </c>
      <c r="I55" s="14">
        <f>IF(OR(MONTH(I$3)={4,5,10,11}),'Electric Factors '!$F$24,IF(OR(MONTH(I$3)={6,7,8,9}),'Electric Factors '!$G$24,0))</f>
        <v>25.890999999999998</v>
      </c>
      <c r="J55" s="14">
        <f>IF(OR(MONTH(J$3)={4,5,10,11}),'Electric Factors '!$F$24,IF(OR(MONTH(J$3)={6,7,8,9}),'Electric Factors '!$G$24,0))</f>
        <v>25.890999999999998</v>
      </c>
      <c r="K55" s="14">
        <f>IF(OR(MONTH(K$3)={4,5,10,11}),'Electric Factors '!$F$24,IF(OR(MONTH(K$3)={6,7,8,9}),'Electric Factors '!$G$24,0))</f>
        <v>25.890999999999998</v>
      </c>
      <c r="L55" s="14">
        <f>IF(OR(MONTH(L$3)={4,5,10,11}),'Electric Factors '!$F$24,IF(OR(MONTH(L$3)={6,7,8,9}),'Electric Factors '!$G$24,0))</f>
        <v>25.890999999999998</v>
      </c>
      <c r="M55" s="14">
        <f>IF(OR(MONTH(M$3)={4,5,10,11}),'Electric Factors '!$F$24,IF(OR(MONTH(M$3)={6,7,8,9}),'Electric Factors '!$G$24,0))</f>
        <v>25.890999999999998</v>
      </c>
      <c r="N55" s="14">
        <f>IF(OR(MONTH(N$3)={4,5,10,11}),'Electric Factors '!$F$24,IF(OR(MONTH(N$3)={6,7,8,9}),'Electric Factors '!$G$24,0))</f>
        <v>25.890999999999998</v>
      </c>
      <c r="O55" s="14">
        <f>IF(OR(MONTH(O$3)={4,5,10,11}),'Electric Factors '!$F$24,IF(OR(MONTH(O$3)={6,7,8,9}),'Electric Factors '!$G$24,0))</f>
        <v>0</v>
      </c>
    </row>
    <row r="56" spans="1:15">
      <c r="A56" s="40">
        <f>MATCH(A55,'Load Shape'!$E$2:$N$2,0)</f>
        <v>8</v>
      </c>
      <c r="B56" s="14" t="s">
        <v>330</v>
      </c>
      <c r="C56" s="14"/>
      <c r="D56" s="26">
        <f t="shared" ref="D56:O56" si="16">INDEX(LoadShape,MATCH(D$6,M.WkDy.H,0),$A56)</f>
        <v>4.9639778026933909E-2</v>
      </c>
      <c r="E56" s="26">
        <f t="shared" si="16"/>
        <v>4.9856579355595433E-2</v>
      </c>
      <c r="F56" s="26">
        <f t="shared" si="16"/>
        <v>4.9238985442380645E-2</v>
      </c>
      <c r="G56" s="26">
        <f t="shared" si="16"/>
        <v>4.8304113804873455E-2</v>
      </c>
      <c r="H56" s="26">
        <f t="shared" si="16"/>
        <v>4.7675886346571841E-2</v>
      </c>
      <c r="I56" s="26">
        <f t="shared" si="16"/>
        <v>5.3487038676719355E-2</v>
      </c>
      <c r="J56" s="26">
        <f t="shared" si="16"/>
        <v>5.1105052524869243E-2</v>
      </c>
      <c r="K56" s="26">
        <f t="shared" si="16"/>
        <v>5.0677730991572967E-2</v>
      </c>
      <c r="L56" s="26">
        <f t="shared" si="16"/>
        <v>4.6212687308742131E-2</v>
      </c>
      <c r="M56" s="26">
        <f t="shared" si="16"/>
        <v>4.844470337061639E-2</v>
      </c>
      <c r="N56" s="26">
        <f t="shared" si="16"/>
        <v>4.7771180201204293E-2</v>
      </c>
      <c r="O56" s="26">
        <f t="shared" si="16"/>
        <v>4.4567709166739994E-2</v>
      </c>
    </row>
    <row r="57" spans="1:15">
      <c r="B57" s="14" t="s">
        <v>331</v>
      </c>
      <c r="C57" s="24">
        <f>AVERAGE(D57:O57)</f>
        <v>1063.3564115063637</v>
      </c>
      <c r="D57" s="24">
        <f>D51*D56</f>
        <v>1258.154717938171</v>
      </c>
      <c r="E57" s="24">
        <f t="shared" ref="E57:O57" si="17">E51*E56</f>
        <v>1394.8098946227958</v>
      </c>
      <c r="F57" s="24">
        <f t="shared" si="17"/>
        <v>1377.531811927495</v>
      </c>
      <c r="G57" s="24">
        <f t="shared" si="17"/>
        <v>868.74300873579773</v>
      </c>
      <c r="H57" s="24">
        <f t="shared" si="17"/>
        <v>790.62275801216867</v>
      </c>
      <c r="I57" s="24">
        <f t="shared" si="17"/>
        <v>1075.3280237329639</v>
      </c>
      <c r="J57" s="24">
        <f t="shared" si="17"/>
        <v>1094.9206853445698</v>
      </c>
      <c r="K57" s="24">
        <f t="shared" si="17"/>
        <v>1152.6823176336025</v>
      </c>
      <c r="L57" s="24">
        <f t="shared" si="17"/>
        <v>786.69848866054315</v>
      </c>
      <c r="M57" s="24">
        <f t="shared" si="17"/>
        <v>975.71948480590879</v>
      </c>
      <c r="N57" s="24">
        <f t="shared" si="17"/>
        <v>914.0893940350752</v>
      </c>
      <c r="O57" s="24">
        <f t="shared" si="17"/>
        <v>1070.976352627272</v>
      </c>
    </row>
    <row r="58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>
      <c r="A59" s="14" t="s">
        <v>2386</v>
      </c>
      <c r="B59" s="14" t="s">
        <v>325</v>
      </c>
      <c r="C59" s="14"/>
      <c r="D59" s="24">
        <f>(($C61*12)/$P$5+D62*D$7+D63*D$8)*D60</f>
        <v>1640282.1106849315</v>
      </c>
      <c r="E59" s="24">
        <f>(($C61*12)/$P$5+E62*E$7+E63*E$8)*E60</f>
        <v>1666102.9547945207</v>
      </c>
      <c r="F59" s="24">
        <f t="shared" ref="F59:O59" si="18">(($C61*12)/$P$5+F62*F$7+F63*F$8)*F60</f>
        <v>1677931.2719178083</v>
      </c>
      <c r="G59" s="24">
        <f t="shared" si="18"/>
        <v>1457605.8739726029</v>
      </c>
      <c r="H59" s="24">
        <f t="shared" si="18"/>
        <v>1536741.3107397261</v>
      </c>
      <c r="I59" s="24">
        <f t="shared" si="18"/>
        <v>1667444.117260274</v>
      </c>
      <c r="J59" s="24">
        <f t="shared" si="18"/>
        <v>1724612.311849315</v>
      </c>
      <c r="K59" s="24">
        <f t="shared" si="18"/>
        <v>1767377.1437260276</v>
      </c>
      <c r="L59" s="24">
        <f t="shared" si="18"/>
        <v>1528736.4297260277</v>
      </c>
      <c r="M59" s="24">
        <f t="shared" si="18"/>
        <v>1438426.8493150685</v>
      </c>
      <c r="N59" s="24">
        <f t="shared" si="18"/>
        <v>1425149.0630136987</v>
      </c>
      <c r="O59" s="24">
        <f t="shared" si="18"/>
        <v>1575036.426780822</v>
      </c>
    </row>
    <row r="60" spans="1:15">
      <c r="A60" s="14"/>
      <c r="B60" s="14" t="s">
        <v>326</v>
      </c>
      <c r="C60" s="140">
        <f>AVERAGE(D60:O60)</f>
        <v>981.08333333333337</v>
      </c>
      <c r="D60" s="434">
        <v>996</v>
      </c>
      <c r="E60" s="434">
        <v>986</v>
      </c>
      <c r="F60" s="434">
        <v>993</v>
      </c>
      <c r="G60" s="434">
        <v>988</v>
      </c>
      <c r="H60" s="434">
        <v>991</v>
      </c>
      <c r="I60" s="434">
        <v>980</v>
      </c>
      <c r="J60" s="434">
        <v>981</v>
      </c>
      <c r="K60" s="434">
        <v>974</v>
      </c>
      <c r="L60" s="434">
        <v>974</v>
      </c>
      <c r="M60" s="434">
        <v>975</v>
      </c>
      <c r="N60" s="434">
        <v>966</v>
      </c>
      <c r="O60" s="434">
        <v>969</v>
      </c>
    </row>
    <row r="61" spans="1:15">
      <c r="A61" s="14"/>
      <c r="B61" s="14" t="s">
        <v>327</v>
      </c>
      <c r="C61" s="24">
        <f>'Electric Factors '!$H$25</f>
        <v>44874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>
      <c r="A62" s="14"/>
      <c r="B62" s="14" t="s">
        <v>328</v>
      </c>
      <c r="C62" s="27"/>
      <c r="D62" s="14">
        <f>IF(OR(MONTH(D$3)={12,1,2,3}),'Electric Factors '!$E$25,IF(OR(MONTH(D$3)={7,8,9}),0,'Electric Factors '!$D$25))</f>
        <v>4.2889999999999997</v>
      </c>
      <c r="E62" s="14">
        <f>IF(OR(MONTH(E$3)={12,1,2,3}),'Electric Factors '!$E$25,IF(OR(MONTH(E$3)={7,8,9}),0,'Electric Factors '!$D$25))</f>
        <v>4.2889999999999997</v>
      </c>
      <c r="F62" s="14">
        <f>IF(OR(MONTH(F$3)={12,1,2,3}),'Electric Factors '!$E$25,IF(OR(MONTH(F$3)={7,8,9}),0,'Electric Factors '!$D$25))</f>
        <v>4.2889999999999997</v>
      </c>
      <c r="G62" s="14">
        <f>IF(OR(MONTH(G$3)={12,1,2,3}),'Electric Factors '!$E$25,IF(OR(MONTH(G$3)={7,8,9}),0,'Electric Factors '!$D$25))</f>
        <v>0</v>
      </c>
      <c r="H62" s="14">
        <f>IF(OR(MONTH(H$3)={12,1,2,3}),'Electric Factors '!$E$25,IF(OR(MONTH(H$3)={7,8,9}),0,'Electric Factors '!$D$25))</f>
        <v>0</v>
      </c>
      <c r="I62" s="14">
        <f>IF(OR(MONTH(I$3)={12,1,2,3}),'Electric Factors '!$E$25,IF(OR(MONTH(I$3)={7,8,9}),0,'Electric Factors '!$D$25))</f>
        <v>0</v>
      </c>
      <c r="J62" s="14">
        <f>IF(OR(MONTH(J$3)={12,1,2,3}),'Electric Factors '!$E$25,IF(OR(MONTH(J$3)={7,8,9}),0,'Electric Factors '!$D$25))</f>
        <v>0</v>
      </c>
      <c r="K62" s="14">
        <f>IF(OR(MONTH(K$3)={12,1,2,3}),'Electric Factors '!$E$25,IF(OR(MONTH(K$3)={7,8,9}),0,'Electric Factors '!$D$25))</f>
        <v>0</v>
      </c>
      <c r="L62" s="14">
        <f>IF(OR(MONTH(L$3)={12,1,2,3}),'Electric Factors '!$E$25,IF(OR(MONTH(L$3)={7,8,9}),0,'Electric Factors '!$D$25))</f>
        <v>0</v>
      </c>
      <c r="M62" s="14">
        <f>IF(OR(MONTH(M$3)={12,1,2,3}),'Electric Factors '!$E$25,IF(OR(MONTH(M$3)={7,8,9}),0,'Electric Factors '!$D$25))</f>
        <v>0</v>
      </c>
      <c r="N62" s="14">
        <f>IF(OR(MONTH(N$3)={12,1,2,3}),'Electric Factors '!$E$25,IF(OR(MONTH(N$3)={7,8,9}),0,'Electric Factors '!$D$25))</f>
        <v>0</v>
      </c>
      <c r="O62" s="14">
        <f>IF(OR(MONTH(O$3)={12,1,2,3}),'Electric Factors '!$E$25,IF(OR(MONTH(O$3)={7,8,9}),0,'Electric Factors '!$D$25))</f>
        <v>4.2889999999999997</v>
      </c>
    </row>
    <row r="63" spans="1:15">
      <c r="A63" s="14" t="str">
        <f>$A$76</f>
        <v>ID21S</v>
      </c>
      <c r="B63" s="14" t="s">
        <v>329</v>
      </c>
      <c r="C63" s="27"/>
      <c r="D63" s="14">
        <f>IF(OR(MONTH(D$3)={4,5,10,11}),'Electric Factors '!$F$25,IF(OR(MONTH(D$3)={6,7,8,9}),'Electric Factors '!$G$25,0))</f>
        <v>0</v>
      </c>
      <c r="E63" s="14">
        <f>IF(OR(MONTH(E$3)={4,5,10,11}),'Electric Factors '!$F$25,IF(OR(MONTH(E$3)={6,7,8,9}),'Electric Factors '!$G$25,0))</f>
        <v>0</v>
      </c>
      <c r="F63" s="14">
        <f>IF(OR(MONTH(F$3)={4,5,10,11}),'Electric Factors '!$F$25,IF(OR(MONTH(F$3)={6,7,8,9}),'Electric Factors '!$G$25,0))</f>
        <v>0</v>
      </c>
      <c r="G63" s="14">
        <f>IF(OR(MONTH(G$3)={4,5,10,11}),'Electric Factors '!$F$25,IF(OR(MONTH(G$3)={6,7,8,9}),'Electric Factors '!$G$25,0))</f>
        <v>18.847000000000001</v>
      </c>
      <c r="H63" s="14">
        <f>IF(OR(MONTH(H$3)={4,5,10,11}),'Electric Factors '!$F$25,IF(OR(MONTH(H$3)={6,7,8,9}),'Electric Factors '!$G$25,0))</f>
        <v>18.847000000000001</v>
      </c>
      <c r="I63" s="14">
        <f>IF(OR(MONTH(I$3)={4,5,10,11}),'Electric Factors '!$F$25,IF(OR(MONTH(I$3)={6,7,8,9}),'Electric Factors '!$G$25,0))</f>
        <v>18.847000000000001</v>
      </c>
      <c r="J63" s="14">
        <f>IF(OR(MONTH(J$3)={4,5,10,11}),'Electric Factors '!$F$25,IF(OR(MONTH(J$3)={6,7,8,9}),'Electric Factors '!$G$25,0))</f>
        <v>18.847000000000001</v>
      </c>
      <c r="K63" s="14">
        <f>IF(OR(MONTH(K$3)={4,5,10,11}),'Electric Factors '!$F$25,IF(OR(MONTH(K$3)={6,7,8,9}),'Electric Factors '!$G$25,0))</f>
        <v>18.847000000000001</v>
      </c>
      <c r="L63" s="14">
        <f>IF(OR(MONTH(L$3)={4,5,10,11}),'Electric Factors '!$F$25,IF(OR(MONTH(L$3)={6,7,8,9}),'Electric Factors '!$G$25,0))</f>
        <v>18.847000000000001</v>
      </c>
      <c r="M63" s="14">
        <f>IF(OR(MONTH(M$3)={4,5,10,11}),'Electric Factors '!$F$25,IF(OR(MONTH(M$3)={6,7,8,9}),'Electric Factors '!$G$25,0))</f>
        <v>18.847000000000001</v>
      </c>
      <c r="N63" s="14">
        <f>IF(OR(MONTH(N$3)={4,5,10,11}),'Electric Factors '!$F$25,IF(OR(MONTH(N$3)={6,7,8,9}),'Electric Factors '!$G$25,0))</f>
        <v>18.847000000000001</v>
      </c>
      <c r="O63" s="14">
        <f>IF(OR(MONTH(O$3)={4,5,10,11}),'Electric Factors '!$F$25,IF(OR(MONTH(O$3)={6,7,8,9}),'Electric Factors '!$G$25,0))</f>
        <v>0</v>
      </c>
    </row>
    <row r="64" spans="1:15">
      <c r="A64" s="40">
        <f>MATCH(A63,'Load Shape'!$E$2:$N$2,0)</f>
        <v>8</v>
      </c>
      <c r="B64" s="14" t="s">
        <v>330</v>
      </c>
      <c r="C64" s="14"/>
      <c r="D64" s="26">
        <f t="shared" ref="D64:O64" si="19">INDEX(LoadShape,MATCH(D$6,M.WkDy.H,0),$A64)</f>
        <v>4.9639778026933909E-2</v>
      </c>
      <c r="E64" s="26">
        <f t="shared" si="19"/>
        <v>4.9856579355595433E-2</v>
      </c>
      <c r="F64" s="26">
        <f t="shared" si="19"/>
        <v>4.9238985442380645E-2</v>
      </c>
      <c r="G64" s="26">
        <f t="shared" si="19"/>
        <v>4.8304113804873455E-2</v>
      </c>
      <c r="H64" s="26">
        <f t="shared" si="19"/>
        <v>4.7675886346571841E-2</v>
      </c>
      <c r="I64" s="26">
        <f t="shared" si="19"/>
        <v>5.3487038676719355E-2</v>
      </c>
      <c r="J64" s="26">
        <f t="shared" si="19"/>
        <v>5.1105052524869243E-2</v>
      </c>
      <c r="K64" s="26">
        <f t="shared" si="19"/>
        <v>5.0677730991572967E-2</v>
      </c>
      <c r="L64" s="26">
        <f t="shared" si="19"/>
        <v>4.6212687308742131E-2</v>
      </c>
      <c r="M64" s="26">
        <f t="shared" si="19"/>
        <v>4.844470337061639E-2</v>
      </c>
      <c r="N64" s="26">
        <f t="shared" si="19"/>
        <v>4.7771180201204293E-2</v>
      </c>
      <c r="O64" s="26">
        <f t="shared" si="19"/>
        <v>4.4567709166739994E-2</v>
      </c>
    </row>
    <row r="65" spans="1:15">
      <c r="A65" s="14"/>
      <c r="B65" s="14" t="s">
        <v>331</v>
      </c>
      <c r="C65" s="24">
        <f>AVERAGE(D65:O65)</f>
        <v>78023.387048627992</v>
      </c>
      <c r="D65" s="24">
        <f>D59*D64</f>
        <v>81423.239875950632</v>
      </c>
      <c r="E65" s="24">
        <f t="shared" ref="E65" si="20">E59*E64</f>
        <v>83066.194180305058</v>
      </c>
      <c r="F65" s="24">
        <f t="shared" ref="F65" si="21">F59*F64</f>
        <v>82619.633471276204</v>
      </c>
      <c r="G65" s="24">
        <f t="shared" ref="G65" si="22">G59*G64</f>
        <v>70408.360019024651</v>
      </c>
      <c r="H65" s="24">
        <f t="shared" ref="H65" si="23">H59*H64</f>
        <v>73265.504074909026</v>
      </c>
      <c r="I65" s="24">
        <f t="shared" ref="I65" si="24">I59*I64</f>
        <v>89186.647991168444</v>
      </c>
      <c r="J65" s="24">
        <f t="shared" ref="J65" si="25">J59*J64</f>
        <v>88136.402782095422</v>
      </c>
      <c r="K65" s="24">
        <f t="shared" ref="K65" si="26">K59*K64</f>
        <v>89566.663450402222</v>
      </c>
      <c r="L65" s="24">
        <f t="shared" ref="L65" si="27">L59*L64</f>
        <v>70647.018604411758</v>
      </c>
      <c r="M65" s="24">
        <f t="shared" ref="M65" si="28">M59*M64</f>
        <v>69684.162035398811</v>
      </c>
      <c r="N65" s="24">
        <f t="shared" ref="N65" si="29">N59*N64</f>
        <v>68081.052702804853</v>
      </c>
      <c r="O65" s="24">
        <f t="shared" ref="O65" si="30">O59*O64</f>
        <v>70195.765395789043</v>
      </c>
    </row>
    <row r="66" spans="1:15">
      <c r="A66" s="14"/>
      <c r="B66" s="14"/>
      <c r="C66" s="2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>
      <c r="A67" s="14" t="s">
        <v>2439</v>
      </c>
      <c r="B67" s="14" t="s">
        <v>325</v>
      </c>
      <c r="C67" s="14"/>
      <c r="D67" s="24">
        <f>(($C69*12)/$P$5+D70*D$7+D71*D$8)*D68</f>
        <v>210350.19726027394</v>
      </c>
      <c r="E67" s="24">
        <f t="shared" ref="E67:O67" si="31">(($C69*12)/$P$5+E70*E$7+E71*E$8)*E68</f>
        <v>213921.89726027395</v>
      </c>
      <c r="F67" s="24">
        <f t="shared" si="31"/>
        <v>217811.38630136984</v>
      </c>
      <c r="G67" s="24">
        <f t="shared" si="31"/>
        <v>199628.18630136986</v>
      </c>
      <c r="H67" s="24">
        <f t="shared" si="31"/>
        <v>206757.76438356165</v>
      </c>
      <c r="I67" s="24">
        <f t="shared" si="31"/>
        <v>203192.97534246574</v>
      </c>
      <c r="J67" s="24">
        <f t="shared" si="31"/>
        <v>210322.55342465753</v>
      </c>
      <c r="K67" s="24">
        <f t="shared" si="31"/>
        <v>203192.97534246574</v>
      </c>
      <c r="L67" s="24">
        <f t="shared" si="31"/>
        <v>206757.76438356165</v>
      </c>
      <c r="M67" s="24">
        <f t="shared" si="31"/>
        <v>210322.55342465753</v>
      </c>
      <c r="N67" s="24">
        <f t="shared" si="31"/>
        <v>206757.76438356165</v>
      </c>
      <c r="O67" s="24">
        <f t="shared" si="31"/>
        <v>231316.82150684932</v>
      </c>
    </row>
    <row r="68" spans="1:15">
      <c r="A68" s="14"/>
      <c r="B68" s="14" t="s">
        <v>326</v>
      </c>
      <c r="C68" s="140">
        <f>AVERAGE(D68:O68)</f>
        <v>57.416666666666664</v>
      </c>
      <c r="D68" s="435">
        <v>55</v>
      </c>
      <c r="E68" s="435">
        <v>55</v>
      </c>
      <c r="F68" s="435">
        <v>56</v>
      </c>
      <c r="G68" s="435">
        <v>56</v>
      </c>
      <c r="H68" s="435">
        <v>58</v>
      </c>
      <c r="I68" s="435">
        <v>57</v>
      </c>
      <c r="J68" s="435">
        <v>59</v>
      </c>
      <c r="K68" s="435">
        <v>57</v>
      </c>
      <c r="L68" s="435">
        <v>58</v>
      </c>
      <c r="M68" s="435">
        <v>59</v>
      </c>
      <c r="N68" s="435">
        <v>58</v>
      </c>
      <c r="O68" s="435">
        <v>61</v>
      </c>
    </row>
    <row r="69" spans="1:15">
      <c r="A69" s="14"/>
      <c r="B69" s="14" t="s">
        <v>327</v>
      </c>
      <c r="C69" s="24">
        <f>'Electric Factors '!$H$26</f>
        <v>108429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 t="s">
        <v>328</v>
      </c>
      <c r="C70" s="27"/>
      <c r="D70" s="14">
        <f>IF(OR(MONTH(D$3)={12,1,2,3}),'Electric Factors '!$E$26,IF(OR(MONTH(D$3)={7,8,9}),0,'Electric Factors '!$D$26))</f>
        <v>6.4939999999999998</v>
      </c>
      <c r="E70" s="14">
        <f>IF(OR(MONTH(E$3)={12,1,2,3}),'Electric Factors '!$E$26,IF(OR(MONTH(E$3)={7,8,9}),0,'Electric Factors '!$D$26))</f>
        <v>6.4939999999999998</v>
      </c>
      <c r="F70" s="14">
        <f>IF(OR(MONTH(F$3)={12,1,2,3}),'Electric Factors '!$E$26,IF(OR(MONTH(F$3)={7,8,9}),0,'Electric Factors '!$D$26))</f>
        <v>6.4939999999999998</v>
      </c>
      <c r="G70" s="14">
        <f>IF(OR(MONTH(G$3)={12,1,2,3}),'Electric Factors '!$E$26,IF(OR(MONTH(G$3)={7,8,9}),0,'Electric Factors '!$D$26))</f>
        <v>0</v>
      </c>
      <c r="H70" s="14">
        <f>IF(OR(MONTH(H$3)={12,1,2,3}),'Electric Factors '!$E$26,IF(OR(MONTH(H$3)={7,8,9}),0,'Electric Factors '!$D$26))</f>
        <v>0</v>
      </c>
      <c r="I70" s="14">
        <f>IF(OR(MONTH(I$3)={12,1,2,3}),'Electric Factors '!$E$26,IF(OR(MONTH(I$3)={7,8,9}),0,'Electric Factors '!$D$26))</f>
        <v>0</v>
      </c>
      <c r="J70" s="14">
        <f>IF(OR(MONTH(J$3)={12,1,2,3}),'Electric Factors '!$E$26,IF(OR(MONTH(J$3)={7,8,9}),0,'Electric Factors '!$D$26))</f>
        <v>0</v>
      </c>
      <c r="K70" s="14">
        <f>IF(OR(MONTH(K$3)={12,1,2,3}),'Electric Factors '!$E$26,IF(OR(MONTH(K$3)={7,8,9}),0,'Electric Factors '!$D$26))</f>
        <v>0</v>
      </c>
      <c r="L70" s="14">
        <f>IF(OR(MONTH(L$3)={12,1,2,3}),'Electric Factors '!$E$26,IF(OR(MONTH(L$3)={7,8,9}),0,'Electric Factors '!$D$26))</f>
        <v>0</v>
      </c>
      <c r="M70" s="14">
        <f>IF(OR(MONTH(M$3)={12,1,2,3}),'Electric Factors '!$E$26,IF(OR(MONTH(M$3)={7,8,9}),0,'Electric Factors '!$D$26))</f>
        <v>0</v>
      </c>
      <c r="N70" s="14">
        <f>IF(OR(MONTH(N$3)={12,1,2,3}),'Electric Factors '!$E$26,IF(OR(MONTH(N$3)={7,8,9}),0,'Electric Factors '!$D$26))</f>
        <v>0</v>
      </c>
      <c r="O70" s="14">
        <f>IF(OR(MONTH(O$3)={12,1,2,3}),'Electric Factors '!$E$26,IF(OR(MONTH(O$3)={7,8,9}),0,'Electric Factors '!$D$26))</f>
        <v>6.4939999999999998</v>
      </c>
    </row>
    <row r="71" spans="1:15">
      <c r="A71" s="14" t="str">
        <f>$A$76</f>
        <v>ID21S</v>
      </c>
      <c r="B71" s="14" t="s">
        <v>329</v>
      </c>
      <c r="C71" s="27"/>
      <c r="D71" s="14">
        <f>IF(OR(MONTH(D$3)={4,5,10,11}),'Electric Factors '!$F$26,IF(OR(MONTH(D$3)={6,7,8,9}),'Electric Factors '!$G$26,0))</f>
        <v>0</v>
      </c>
      <c r="E71" s="14">
        <f>IF(OR(MONTH(E$3)={4,5,10,11}),'Electric Factors '!$F$26,IF(OR(MONTH(E$3)={6,7,8,9}),'Electric Factors '!$G$26,0))</f>
        <v>0</v>
      </c>
      <c r="F71" s="14">
        <f>IF(OR(MONTH(F$3)={4,5,10,11}),'Electric Factors '!$F$26,IF(OR(MONTH(F$3)={6,7,8,9}),'Electric Factors '!$G$26,0))</f>
        <v>0</v>
      </c>
      <c r="G71" s="14">
        <f>IF(OR(MONTH(G$3)={4,5,10,11}),'Electric Factors '!$F$26,IF(OR(MONTH(G$3)={6,7,8,9}),'Electric Factors '!$G$26,0))</f>
        <v>0</v>
      </c>
      <c r="H71" s="14">
        <f>IF(OR(MONTH(H$3)={4,5,10,11}),'Electric Factors '!$F$26,IF(OR(MONTH(H$3)={6,7,8,9}),'Electric Factors '!$G$26,0))</f>
        <v>0</v>
      </c>
      <c r="I71" s="14">
        <f>IF(OR(MONTH(I$3)={4,5,10,11}),'Electric Factors '!$F$26,IF(OR(MONTH(I$3)={6,7,8,9}),'Electric Factors '!$G$26,0))</f>
        <v>0</v>
      </c>
      <c r="J71" s="14">
        <f>IF(OR(MONTH(J$3)={4,5,10,11}),'Electric Factors '!$F$26,IF(OR(MONTH(J$3)={6,7,8,9}),'Electric Factors '!$G$26,0))</f>
        <v>0</v>
      </c>
      <c r="K71" s="14">
        <f>IF(OR(MONTH(K$3)={4,5,10,11}),'Electric Factors '!$F$26,IF(OR(MONTH(K$3)={6,7,8,9}),'Electric Factors '!$G$26,0))</f>
        <v>0</v>
      </c>
      <c r="L71" s="14">
        <f>IF(OR(MONTH(L$3)={4,5,10,11}),'Electric Factors '!$F$26,IF(OR(MONTH(L$3)={6,7,8,9}),'Electric Factors '!$G$26,0))</f>
        <v>0</v>
      </c>
      <c r="M71" s="14">
        <f>IF(OR(MONTH(M$3)={4,5,10,11}),'Electric Factors '!$F$26,IF(OR(MONTH(M$3)={6,7,8,9}),'Electric Factors '!$G$26,0))</f>
        <v>0</v>
      </c>
      <c r="N71" s="14">
        <f>IF(OR(MONTH(N$3)={4,5,10,11}),'Electric Factors '!$F$26,IF(OR(MONTH(N$3)={6,7,8,9}),'Electric Factors '!$G$26,0))</f>
        <v>0</v>
      </c>
      <c r="O71" s="14">
        <f>IF(OR(MONTH(O$3)={4,5,10,11}),'Electric Factors '!$F$26,IF(OR(MONTH(O$3)={6,7,8,9}),'Electric Factors '!$G$26,0))</f>
        <v>0</v>
      </c>
    </row>
    <row r="72" spans="1:15">
      <c r="A72" s="40">
        <f>MATCH(A71,'Load Shape'!$E$2:$N$2,0)</f>
        <v>8</v>
      </c>
      <c r="B72" s="14" t="s">
        <v>330</v>
      </c>
      <c r="C72" s="14"/>
      <c r="D72" s="26">
        <f t="shared" ref="D72:O72" si="32">INDEX(LoadShape,MATCH(D$6,M.WkDy.H,0),$A72)</f>
        <v>4.9639778026933909E-2</v>
      </c>
      <c r="E72" s="26">
        <f t="shared" si="32"/>
        <v>4.9856579355595433E-2</v>
      </c>
      <c r="F72" s="26">
        <f t="shared" si="32"/>
        <v>4.9238985442380645E-2</v>
      </c>
      <c r="G72" s="26">
        <f t="shared" si="32"/>
        <v>4.8304113804873455E-2</v>
      </c>
      <c r="H72" s="26">
        <f t="shared" si="32"/>
        <v>4.7675886346571841E-2</v>
      </c>
      <c r="I72" s="26">
        <f t="shared" si="32"/>
        <v>5.3487038676719355E-2</v>
      </c>
      <c r="J72" s="26">
        <f t="shared" si="32"/>
        <v>5.1105052524869243E-2</v>
      </c>
      <c r="K72" s="26">
        <f t="shared" si="32"/>
        <v>5.0677730991572967E-2</v>
      </c>
      <c r="L72" s="26">
        <f t="shared" si="32"/>
        <v>4.6212687308742131E-2</v>
      </c>
      <c r="M72" s="26">
        <f t="shared" si="32"/>
        <v>4.844470337061639E-2</v>
      </c>
      <c r="N72" s="26">
        <f t="shared" si="32"/>
        <v>4.7771180201204293E-2</v>
      </c>
      <c r="O72" s="26">
        <f t="shared" si="32"/>
        <v>4.4567709166739994E-2</v>
      </c>
    </row>
    <row r="73" spans="1:15">
      <c r="A73" s="14"/>
      <c r="B73" s="14" t="s">
        <v>331</v>
      </c>
      <c r="C73" s="24">
        <f>AVERAGE(D73:O73)</f>
        <v>10264.704051659337</v>
      </c>
      <c r="D73" s="24">
        <f>D67*D72</f>
        <v>10441.73709992176</v>
      </c>
      <c r="E73" s="24">
        <f t="shared" ref="E73" si="33">E67*E72</f>
        <v>10665.414046656382</v>
      </c>
      <c r="F73" s="24">
        <f t="shared" ref="F73" si="34">F67*F72</f>
        <v>10724.811679277896</v>
      </c>
      <c r="G73" s="24">
        <f t="shared" ref="G73" si="35">G67*G72</f>
        <v>9642.8626297618503</v>
      </c>
      <c r="H73" s="24">
        <f t="shared" ref="H73" si="36">H67*H72</f>
        <v>9857.3596760219643</v>
      </c>
      <c r="I73" s="24">
        <f t="shared" ref="I73" si="37">I67*I72</f>
        <v>10868.190530980148</v>
      </c>
      <c r="J73" s="24">
        <f t="shared" ref="J73" si="38">J67*J72</f>
        <v>10748.545139931741</v>
      </c>
      <c r="K73" s="24">
        <f t="shared" ref="K73" si="39">K67*K72</f>
        <v>10297.358943782798</v>
      </c>
      <c r="L73" s="24">
        <f t="shared" ref="L73" si="40">L67*L72</f>
        <v>9554.8319141121156</v>
      </c>
      <c r="M73" s="24">
        <f t="shared" ref="M73" si="41">M67*M72</f>
        <v>10189.013712808151</v>
      </c>
      <c r="N73" s="24">
        <f t="shared" ref="N73" si="42">N67*N72</f>
        <v>9877.0624203652624</v>
      </c>
      <c r="O73" s="24">
        <f t="shared" ref="O73" si="43">O67*O72</f>
        <v>10309.260826291968</v>
      </c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 t="s">
        <v>2440</v>
      </c>
      <c r="B75" s="14" t="s">
        <v>334</v>
      </c>
      <c r="C75" s="14"/>
      <c r="D75" s="24">
        <f>('12.2019 ID Usage'!C174)-D80</f>
        <v>-4563628.3990000077</v>
      </c>
      <c r="E75" s="24">
        <f>('12.2019 ID Usage'!D174)-E80</f>
        <v>-4530649</v>
      </c>
      <c r="F75" s="24">
        <f>('12.2019 ID Usage'!E174)-F80</f>
        <v>-4584829.9999999925</v>
      </c>
      <c r="G75" s="24">
        <f>('12.2019 ID Usage'!F174)-G80</f>
        <v>-4239375</v>
      </c>
      <c r="H75" s="24">
        <f>('12.2019 ID Usage'!G174)-H80</f>
        <v>-3929565.9999999925</v>
      </c>
      <c r="I75" s="24">
        <f>('12.2019 ID Usage'!H174)-I80</f>
        <v>-3851481.0000000075</v>
      </c>
      <c r="J75" s="24">
        <f>('12.2019 ID Usage'!I174)-J80</f>
        <v>-3642912</v>
      </c>
      <c r="K75" s="24">
        <f>('12.2019 ID Usage'!J174)-K80</f>
        <v>-3920383</v>
      </c>
      <c r="L75" s="24">
        <f>('12.2019 ID Usage'!K174)-L80</f>
        <v>-3942613.9999999925</v>
      </c>
      <c r="M75" s="24">
        <f>('12.2019 ID Usage'!L174)-M80</f>
        <v>-3571811.9999999925</v>
      </c>
      <c r="N75" s="24">
        <f>('12.2019 ID Usage'!M174)-N80</f>
        <v>-3836805</v>
      </c>
      <c r="O75" s="24">
        <f>('12.2019 ID Usage'!N174)-O80</f>
        <v>-4352091.0000000075</v>
      </c>
    </row>
    <row r="76" spans="1:15">
      <c r="A76" s="14" t="str">
        <f>'Load Shape'!L2</f>
        <v>ID21S</v>
      </c>
      <c r="B76" s="14" t="s">
        <v>335</v>
      </c>
      <c r="C76" s="14"/>
      <c r="D76" s="41">
        <f t="shared" ref="D76:O76" si="44">D75/D$5+D51</f>
        <v>-121868.12343216992</v>
      </c>
      <c r="E76" s="41">
        <f t="shared" si="44"/>
        <v>-133832.44696673192</v>
      </c>
      <c r="F76" s="41">
        <f t="shared" si="44"/>
        <v>-119921.29604507265</v>
      </c>
      <c r="G76" s="41">
        <f t="shared" si="44"/>
        <v>-123327.63410958904</v>
      </c>
      <c r="H76" s="41">
        <f t="shared" si="44"/>
        <v>-110176.90965797589</v>
      </c>
      <c r="I76" s="41">
        <f t="shared" si="44"/>
        <v>-108278.24010958929</v>
      </c>
      <c r="J76" s="41">
        <f t="shared" si="44"/>
        <v>-96088.389432169701</v>
      </c>
      <c r="K76" s="41">
        <f t="shared" si="44"/>
        <v>-103718.62585152453</v>
      </c>
      <c r="L76" s="41">
        <f t="shared" si="44"/>
        <v>-114397.03577625545</v>
      </c>
      <c r="M76" s="41">
        <f t="shared" si="44"/>
        <v>-95078.851045072675</v>
      </c>
      <c r="N76" s="41">
        <f t="shared" si="44"/>
        <v>-108758.75410958903</v>
      </c>
      <c r="O76" s="41">
        <f t="shared" si="44"/>
        <v>-116359.71136765378</v>
      </c>
    </row>
    <row r="77" spans="1:15">
      <c r="A77" s="40">
        <f>MATCH(A76,'Load Shape'!$E$2:$N$2,0)</f>
        <v>8</v>
      </c>
      <c r="B77" s="14" t="s">
        <v>330</v>
      </c>
      <c r="C77" s="14"/>
      <c r="D77" s="26">
        <f t="shared" ref="D77:O77" si="45">INDEX(LoadShape,MATCH(D$6,M.WkDy.H,0),$A77)</f>
        <v>4.9639778026933909E-2</v>
      </c>
      <c r="E77" s="26">
        <f t="shared" si="45"/>
        <v>4.9856579355595433E-2</v>
      </c>
      <c r="F77" s="26">
        <f t="shared" si="45"/>
        <v>4.9238985442380645E-2</v>
      </c>
      <c r="G77" s="26">
        <f t="shared" si="45"/>
        <v>4.8304113804873455E-2</v>
      </c>
      <c r="H77" s="26">
        <f t="shared" si="45"/>
        <v>4.7675886346571841E-2</v>
      </c>
      <c r="I77" s="26">
        <f t="shared" si="45"/>
        <v>5.3487038676719355E-2</v>
      </c>
      <c r="J77" s="26">
        <f t="shared" si="45"/>
        <v>5.1105052524869243E-2</v>
      </c>
      <c r="K77" s="26">
        <f t="shared" si="45"/>
        <v>5.0677730991572967E-2</v>
      </c>
      <c r="L77" s="26">
        <f t="shared" si="45"/>
        <v>4.6212687308742131E-2</v>
      </c>
      <c r="M77" s="26">
        <f t="shared" si="45"/>
        <v>4.844470337061639E-2</v>
      </c>
      <c r="N77" s="26">
        <f t="shared" si="45"/>
        <v>4.7771180201204293E-2</v>
      </c>
      <c r="O77" s="26">
        <f t="shared" si="45"/>
        <v>4.4567709166739994E-2</v>
      </c>
    </row>
    <row r="78" spans="1:15">
      <c r="B78" s="14" t="s">
        <v>331</v>
      </c>
      <c r="C78" s="24">
        <f>AVERAGE(D78:O78)</f>
        <v>-5505.7618062492738</v>
      </c>
      <c r="D78" s="24">
        <f t="shared" ref="D78:O78" si="46">D76*D77</f>
        <v>-6049.5065957318975</v>
      </c>
      <c r="E78" s="24">
        <f t="shared" si="46"/>
        <v>-6672.4280125503874</v>
      </c>
      <c r="F78" s="24">
        <f t="shared" si="46"/>
        <v>-5904.8029501947522</v>
      </c>
      <c r="G78" s="24">
        <f t="shared" si="46"/>
        <v>-5957.232073315382</v>
      </c>
      <c r="H78" s="24">
        <f t="shared" si="46"/>
        <v>-5252.7818228701717</v>
      </c>
      <c r="I78" s="24">
        <f t="shared" si="46"/>
        <v>-5791.4824165887067</v>
      </c>
      <c r="J78" s="24">
        <f t="shared" si="46"/>
        <v>-4910.6021889611229</v>
      </c>
      <c r="K78" s="24">
        <f t="shared" si="46"/>
        <v>-5256.2246197191653</v>
      </c>
      <c r="L78" s="24">
        <f t="shared" si="46"/>
        <v>-5286.5944433750801</v>
      </c>
      <c r="M78" s="24">
        <f t="shared" si="46"/>
        <v>-4606.0667356975664</v>
      </c>
      <c r="N78" s="24">
        <f t="shared" si="46"/>
        <v>-5195.5340410276458</v>
      </c>
      <c r="O78" s="24">
        <f t="shared" si="46"/>
        <v>-5185.8857749594035</v>
      </c>
    </row>
    <row r="79" spans="1:15">
      <c r="A79" s="14"/>
      <c r="B79" s="14"/>
      <c r="C79" s="2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>
      <c r="A80" s="14" t="s">
        <v>342</v>
      </c>
      <c r="B80" s="14" t="s">
        <v>334</v>
      </c>
      <c r="C80" s="14"/>
      <c r="D80" s="24">
        <f>'12.2019 ID Usage'!C133</f>
        <v>4715108.3990000002</v>
      </c>
      <c r="E80" s="24">
        <f>'12.2019 ID Usage'!D133</f>
        <v>4672729</v>
      </c>
      <c r="F80" s="24">
        <f>'12.2019 ID Usage'!E133</f>
        <v>4724630</v>
      </c>
      <c r="G80" s="24">
        <f>'12.2019 ID Usage'!F133</f>
        <v>4342575</v>
      </c>
      <c r="H80" s="24">
        <f>'12.2019 ID Usage'!G133</f>
        <v>4011486</v>
      </c>
      <c r="I80" s="24">
        <f>'12.2019 ID Usage'!H133</f>
        <v>3918481</v>
      </c>
      <c r="J80" s="24">
        <f>'12.2019 ID Usage'!I133</f>
        <v>3707672</v>
      </c>
      <c r="K80" s="24">
        <f>'12.2019 ID Usage'!J133</f>
        <v>3988303</v>
      </c>
      <c r="L80" s="24">
        <f>'12.2019 ID Usage'!K133</f>
        <v>4010254</v>
      </c>
      <c r="M80" s="24">
        <f>'12.2019 ID Usage'!L133</f>
        <v>3655132</v>
      </c>
      <c r="N80" s="24">
        <f>'12.2019 ID Usage'!M133</f>
        <v>3950445</v>
      </c>
      <c r="O80" s="24">
        <f>'12.2019 ID Usage'!N133</f>
        <v>4485171</v>
      </c>
    </row>
    <row r="81" spans="1:15">
      <c r="A81" s="14" t="str">
        <f>'Load Shape'!M2</f>
        <v>ID21P</v>
      </c>
      <c r="B81" s="14" t="s">
        <v>335</v>
      </c>
      <c r="C81" s="14"/>
      <c r="D81" s="41">
        <f>D80/D$5</f>
        <v>152100.27093548389</v>
      </c>
      <c r="E81" s="41">
        <f t="shared" ref="E81:O81" si="47">E80/E$5</f>
        <v>166883.17857142858</v>
      </c>
      <c r="F81" s="41">
        <f t="shared" si="47"/>
        <v>152407.4193548387</v>
      </c>
      <c r="G81" s="41">
        <f t="shared" si="47"/>
        <v>144752.5</v>
      </c>
      <c r="H81" s="41">
        <f t="shared" si="47"/>
        <v>129402.77419354839</v>
      </c>
      <c r="I81" s="41">
        <f t="shared" si="47"/>
        <v>130616.03333333334</v>
      </c>
      <c r="J81" s="41">
        <f t="shared" si="47"/>
        <v>119602.32258064517</v>
      </c>
      <c r="K81" s="41">
        <f t="shared" si="47"/>
        <v>128654.93548387097</v>
      </c>
      <c r="L81" s="41">
        <f t="shared" si="47"/>
        <v>133675.13333333333</v>
      </c>
      <c r="M81" s="41">
        <f t="shared" si="47"/>
        <v>117907.48387096774</v>
      </c>
      <c r="N81" s="41">
        <f t="shared" si="47"/>
        <v>131681.5</v>
      </c>
      <c r="O81" s="41">
        <f t="shared" si="47"/>
        <v>144682.93548387097</v>
      </c>
    </row>
    <row r="82" spans="1:15">
      <c r="A82" s="40">
        <f>MATCH(A81,'Load Shape'!$E$2:$N$2,0)</f>
        <v>9</v>
      </c>
      <c r="B82" s="14" t="s">
        <v>330</v>
      </c>
      <c r="C82" s="14"/>
      <c r="D82" s="26">
        <f t="shared" ref="D82:O82" si="48">INDEX(LoadShape,MATCH(D$6,M.WkDy.H,0),$A82)</f>
        <v>5.2918006574747482E-2</v>
      </c>
      <c r="E82" s="26">
        <f t="shared" si="48"/>
        <v>5.3816796507769313E-2</v>
      </c>
      <c r="F82" s="26">
        <f t="shared" si="48"/>
        <v>5.2133930338030772E-2</v>
      </c>
      <c r="G82" s="26">
        <f t="shared" si="48"/>
        <v>5.1498172951592938E-2</v>
      </c>
      <c r="H82" s="26">
        <f t="shared" si="48"/>
        <v>3.7498824210058949E-2</v>
      </c>
      <c r="I82" s="26">
        <f t="shared" si="48"/>
        <v>4.808667980055735E-2</v>
      </c>
      <c r="J82" s="26">
        <f t="shared" si="48"/>
        <v>4.067694881291329E-2</v>
      </c>
      <c r="K82" s="26">
        <f t="shared" si="48"/>
        <v>3.9657733552908137E-2</v>
      </c>
      <c r="L82" s="26">
        <f t="shared" si="48"/>
        <v>3.8086595908622602E-2</v>
      </c>
      <c r="M82" s="26">
        <f t="shared" si="48"/>
        <v>5.3149726174299167E-2</v>
      </c>
      <c r="N82" s="26">
        <f t="shared" si="48"/>
        <v>5.0290998744351875E-2</v>
      </c>
      <c r="O82" s="26">
        <f t="shared" si="48"/>
        <v>3.5973083420632899E-2</v>
      </c>
    </row>
    <row r="83" spans="1:15">
      <c r="A83" s="14"/>
      <c r="B83" s="14" t="s">
        <v>331</v>
      </c>
      <c r="C83" s="24">
        <f>AVERAGE(D83:O83)</f>
        <v>6392.9732457043392</v>
      </c>
      <c r="D83" s="24">
        <f>D81*D82</f>
        <v>8048.8431373848098</v>
      </c>
      <c r="E83" s="24">
        <f t="shared" ref="E83:O83" si="49">E81*E82</f>
        <v>8981.1180617483005</v>
      </c>
      <c r="F83" s="24">
        <f t="shared" si="49"/>
        <v>7945.5977836442034</v>
      </c>
      <c r="G83" s="24">
        <f t="shared" si="49"/>
        <v>7454.4892801754568</v>
      </c>
      <c r="H83" s="24">
        <f t="shared" si="49"/>
        <v>4852.4518817778244</v>
      </c>
      <c r="I83" s="24">
        <f t="shared" si="49"/>
        <v>6280.8913717189262</v>
      </c>
      <c r="J83" s="24">
        <f t="shared" si="49"/>
        <v>4865.0575535184471</v>
      </c>
      <c r="K83" s="24">
        <f t="shared" si="49"/>
        <v>5102.1631516859416</v>
      </c>
      <c r="L83" s="24">
        <f t="shared" si="49"/>
        <v>5091.2307862979142</v>
      </c>
      <c r="M83" s="24">
        <f t="shared" si="49"/>
        <v>6266.7504816425308</v>
      </c>
      <c r="N83" s="24">
        <f t="shared" si="49"/>
        <v>6622.3941511543717</v>
      </c>
      <c r="O83" s="24">
        <f t="shared" si="49"/>
        <v>5204.6913077033378</v>
      </c>
    </row>
    <row r="8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>
      <c r="A85" s="14" t="s">
        <v>343</v>
      </c>
      <c r="B85" s="14" t="s">
        <v>334</v>
      </c>
      <c r="C85" s="14"/>
      <c r="D85" s="24">
        <f>SUM('12.2019 ID Usage'!C112:C114)</f>
        <v>3553209.0000100001</v>
      </c>
      <c r="E85" s="24">
        <f>SUM('12.2019 ID Usage'!D112:D114)</f>
        <v>3646532.77</v>
      </c>
      <c r="F85" s="24">
        <f>SUM('12.2019 ID Usage'!E112:E114)</f>
        <v>3481644.9499999997</v>
      </c>
      <c r="G85" s="24">
        <f>SUM('12.2019 ID Usage'!F112:F114)</f>
        <v>3571245.66</v>
      </c>
      <c r="H85" s="24">
        <f>SUM('12.2019 ID Usage'!G112:G114)</f>
        <v>4364498.57</v>
      </c>
      <c r="I85" s="24">
        <f>SUM('12.2019 ID Usage'!H112:H114)</f>
        <v>6339983.79</v>
      </c>
      <c r="J85" s="24">
        <f>SUM('12.2019 ID Usage'!I112:I114)</f>
        <v>8066177.1039999994</v>
      </c>
      <c r="K85" s="24">
        <f>SUM('12.2019 ID Usage'!J112:J114)</f>
        <v>8916083.0299999993</v>
      </c>
      <c r="L85" s="24">
        <f>SUM('12.2019 ID Usage'!K112:K114)</f>
        <v>7398953.5600000005</v>
      </c>
      <c r="M85" s="24">
        <f>SUM('12.2019 ID Usage'!L112:L114)</f>
        <v>4078405.71</v>
      </c>
      <c r="N85" s="24">
        <f>SUM('12.2019 ID Usage'!M112:M114)</f>
        <v>3115596.5</v>
      </c>
      <c r="O85" s="24">
        <f>SUM('12.2019 ID Usage'!N112:N114)</f>
        <v>3819435.6600199998</v>
      </c>
    </row>
    <row r="86" spans="1:15">
      <c r="A86" s="14" t="str">
        <f>'Load Shape'!N2</f>
        <v>ID31</v>
      </c>
      <c r="B86" s="14" t="s">
        <v>335</v>
      </c>
      <c r="C86" s="14"/>
      <c r="D86" s="41">
        <f>D85/D$5</f>
        <v>114619.64516161291</v>
      </c>
      <c r="E86" s="41">
        <f t="shared" ref="E86:O86" si="50">E85/E$5</f>
        <v>130233.31321428572</v>
      </c>
      <c r="F86" s="41">
        <f t="shared" si="50"/>
        <v>112311.12741935483</v>
      </c>
      <c r="G86" s="41">
        <f t="shared" si="50"/>
        <v>119041.52200000001</v>
      </c>
      <c r="H86" s="41">
        <f t="shared" si="50"/>
        <v>140790.27645161291</v>
      </c>
      <c r="I86" s="41">
        <f t="shared" si="50"/>
        <v>211332.79300000001</v>
      </c>
      <c r="J86" s="41">
        <f t="shared" si="50"/>
        <v>260199.26141935482</v>
      </c>
      <c r="K86" s="41">
        <f t="shared" si="50"/>
        <v>287615.58161290322</v>
      </c>
      <c r="L86" s="41">
        <f t="shared" si="50"/>
        <v>246631.78533333336</v>
      </c>
      <c r="M86" s="41">
        <f t="shared" si="50"/>
        <v>131561.47451612903</v>
      </c>
      <c r="N86" s="41">
        <f t="shared" si="50"/>
        <v>103853.21666666666</v>
      </c>
      <c r="O86" s="41">
        <f t="shared" si="50"/>
        <v>123207.60193612902</v>
      </c>
    </row>
    <row r="87" spans="1:15">
      <c r="A87" s="40">
        <f>MATCH(A86,'Load Shape'!$E$2:$N$2,0)</f>
        <v>10</v>
      </c>
      <c r="B87" s="14" t="s">
        <v>330</v>
      </c>
      <c r="C87" s="14"/>
      <c r="D87" s="26">
        <f t="shared" ref="D87:O87" si="51">INDEX(LoadShape,MATCH(D$6,M.WkDy.H,0),$A87)</f>
        <v>5.0883098937684612E-2</v>
      </c>
      <c r="E87" s="26">
        <f t="shared" si="51"/>
        <v>4.0880933929734665E-2</v>
      </c>
      <c r="F87" s="26">
        <f t="shared" si="51"/>
        <v>4.805193889258335E-2</v>
      </c>
      <c r="G87" s="26">
        <f t="shared" si="51"/>
        <v>4.5219881885720785E-2</v>
      </c>
      <c r="H87" s="26">
        <f t="shared" si="51"/>
        <v>3.4638565628726053E-2</v>
      </c>
      <c r="I87" s="26">
        <f t="shared" si="51"/>
        <v>3.2525930298782153E-2</v>
      </c>
      <c r="J87" s="26">
        <f t="shared" si="51"/>
        <v>3.4400161210479528E-2</v>
      </c>
      <c r="K87" s="26">
        <f t="shared" si="51"/>
        <v>2.8729786689195035E-2</v>
      </c>
      <c r="L87" s="26">
        <f t="shared" si="51"/>
        <v>2.9504328028895858E-2</v>
      </c>
      <c r="M87" s="26">
        <f t="shared" si="51"/>
        <v>5.0217120274319217E-2</v>
      </c>
      <c r="N87" s="26">
        <f t="shared" si="51"/>
        <v>5.3725220326794082E-2</v>
      </c>
      <c r="O87" s="26">
        <f t="shared" si="51"/>
        <v>4.7845820957209836E-2</v>
      </c>
    </row>
    <row r="88" spans="1:15">
      <c r="A88" s="14"/>
      <c r="B88" s="14" t="s">
        <v>331</v>
      </c>
      <c r="C88" s="24">
        <f>AVERAGE(D88:O88)</f>
        <v>6354.8768569608874</v>
      </c>
      <c r="D88" s="24">
        <f t="shared" ref="D88:O88" si="52">D86*D87</f>
        <v>5832.202744960653</v>
      </c>
      <c r="E88" s="24">
        <f t="shared" si="52"/>
        <v>5324.059472963655</v>
      </c>
      <c r="F88" s="24">
        <f t="shared" si="52"/>
        <v>5396.7674317119809</v>
      </c>
      <c r="G88" s="24">
        <f t="shared" si="52"/>
        <v>5383.0435643364326</v>
      </c>
      <c r="H88" s="24">
        <f t="shared" si="52"/>
        <v>4876.773230755678</v>
      </c>
      <c r="I88" s="24">
        <f t="shared" si="52"/>
        <v>6873.795694964957</v>
      </c>
      <c r="J88" s="24">
        <f t="shared" si="52"/>
        <v>8950.896539673513</v>
      </c>
      <c r="K88" s="24">
        <f t="shared" si="52"/>
        <v>8263.1343082274743</v>
      </c>
      <c r="L88" s="24">
        <f t="shared" si="52"/>
        <v>7276.7050968268941</v>
      </c>
      <c r="M88" s="24">
        <f t="shared" si="52"/>
        <v>6606.6383892432341</v>
      </c>
      <c r="N88" s="24">
        <f t="shared" si="52"/>
        <v>5579.5369470629494</v>
      </c>
      <c r="O88" s="24">
        <f t="shared" si="52"/>
        <v>5894.968862803209</v>
      </c>
    </row>
  </sheetData>
  <phoneticPr fontId="0" type="noConversion"/>
  <printOptions horizontalCentered="1"/>
  <pageMargins left="0.25" right="0.25" top="0.5" bottom="0.5" header="0.5" footer="0.3"/>
  <pageSetup scale="48" orientation="landscape" r:id="rId1"/>
  <headerFooter alignWithMargins="0">
    <oddFooter>&amp;C&amp;F / 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S39"/>
  <sheetViews>
    <sheetView workbookViewId="0"/>
  </sheetViews>
  <sheetFormatPr defaultColWidth="10.6640625" defaultRowHeight="12.75"/>
  <cols>
    <col min="1" max="1" width="37.5" style="110" bestFit="1" customWidth="1"/>
    <col min="2" max="10" width="10.6640625" style="110"/>
    <col min="11" max="11" width="11.5" style="110" customWidth="1"/>
    <col min="12" max="12" width="11.6640625" style="110" customWidth="1"/>
    <col min="13" max="13" width="11.5" style="110" customWidth="1"/>
    <col min="14" max="16384" width="10.6640625" style="110"/>
  </cols>
  <sheetData>
    <row r="1" spans="1:19" ht="15.75">
      <c r="A1" s="149">
        <v>2019</v>
      </c>
      <c r="Q1"/>
      <c r="R1"/>
      <c r="S1" s="143"/>
    </row>
    <row r="2" spans="1:19">
      <c r="A2" s="148"/>
      <c r="B2" s="111">
        <v>43496</v>
      </c>
      <c r="C2" s="111">
        <f t="shared" ref="C2:M2" si="0">EOMONTH(B2,1)</f>
        <v>43524</v>
      </c>
      <c r="D2" s="111">
        <f t="shared" si="0"/>
        <v>43555</v>
      </c>
      <c r="E2" s="111">
        <f t="shared" si="0"/>
        <v>43585</v>
      </c>
      <c r="F2" s="111">
        <f t="shared" si="0"/>
        <v>43616</v>
      </c>
      <c r="G2" s="111">
        <f t="shared" si="0"/>
        <v>43646</v>
      </c>
      <c r="H2" s="111">
        <f t="shared" si="0"/>
        <v>43677</v>
      </c>
      <c r="I2" s="111">
        <f t="shared" si="0"/>
        <v>43708</v>
      </c>
      <c r="J2" s="111">
        <f t="shared" si="0"/>
        <v>43738</v>
      </c>
      <c r="K2" s="111">
        <f t="shared" si="0"/>
        <v>43769</v>
      </c>
      <c r="L2" s="111">
        <f t="shared" si="0"/>
        <v>43799</v>
      </c>
      <c r="M2" s="111">
        <f t="shared" si="0"/>
        <v>43830</v>
      </c>
      <c r="N2" s="112" t="s">
        <v>277</v>
      </c>
      <c r="Q2"/>
      <c r="R2"/>
      <c r="S2" s="143"/>
    </row>
    <row r="3" spans="1:19">
      <c r="A3" s="113" t="s">
        <v>252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Q3"/>
      <c r="R3"/>
      <c r="S3" s="143"/>
    </row>
    <row r="4" spans="1:19">
      <c r="A4" s="110" t="s">
        <v>165</v>
      </c>
      <c r="B4" s="424">
        <v>1279</v>
      </c>
      <c r="C4" s="424">
        <v>1409</v>
      </c>
      <c r="D4" s="424">
        <v>1353</v>
      </c>
      <c r="E4" s="424">
        <v>1039</v>
      </c>
      <c r="F4" s="424">
        <v>1122</v>
      </c>
      <c r="G4" s="424">
        <v>1281</v>
      </c>
      <c r="H4" s="424">
        <v>1369</v>
      </c>
      <c r="I4" s="424">
        <v>1422</v>
      </c>
      <c r="J4" s="424">
        <v>1194</v>
      </c>
      <c r="K4" s="424">
        <v>1335</v>
      </c>
      <c r="L4" s="424">
        <v>1243</v>
      </c>
      <c r="M4" s="424">
        <v>1228</v>
      </c>
      <c r="N4" s="115">
        <f>SUM(B4:M4)</f>
        <v>15274</v>
      </c>
      <c r="Q4"/>
      <c r="R4"/>
      <c r="S4" s="143"/>
    </row>
    <row r="5" spans="1:19">
      <c r="A5" s="110" t="s">
        <v>166</v>
      </c>
      <c r="B5" s="424">
        <v>-184</v>
      </c>
      <c r="C5" s="424">
        <v>-220</v>
      </c>
      <c r="D5" s="424">
        <v>-205</v>
      </c>
      <c r="E5" s="424">
        <v>-137</v>
      </c>
      <c r="F5" s="424">
        <v>-175</v>
      </c>
      <c r="G5" s="424">
        <v>-198</v>
      </c>
      <c r="H5" s="424">
        <v>-198</v>
      </c>
      <c r="I5" s="424">
        <v>-208</v>
      </c>
      <c r="J5" s="424">
        <v>-170</v>
      </c>
      <c r="K5" s="424">
        <v>-191</v>
      </c>
      <c r="L5" s="424">
        <v>-175</v>
      </c>
      <c r="M5" s="424">
        <v>-163</v>
      </c>
      <c r="N5" s="115">
        <f>SUM(B5:M5)</f>
        <v>-2224</v>
      </c>
      <c r="O5" s="121" t="s">
        <v>178</v>
      </c>
      <c r="Q5"/>
      <c r="R5"/>
      <c r="S5" s="143"/>
    </row>
    <row r="6" spans="1:19">
      <c r="A6" s="110" t="s">
        <v>167</v>
      </c>
      <c r="B6" s="424">
        <v>0</v>
      </c>
      <c r="C6" s="424">
        <v>0</v>
      </c>
      <c r="D6" s="424">
        <v>0</v>
      </c>
      <c r="E6" s="424">
        <v>0</v>
      </c>
      <c r="F6" s="424">
        <v>0</v>
      </c>
      <c r="G6" s="424">
        <v>0</v>
      </c>
      <c r="H6" s="424">
        <v>0</v>
      </c>
      <c r="I6" s="424">
        <v>0</v>
      </c>
      <c r="J6" s="424">
        <v>0</v>
      </c>
      <c r="K6" s="424">
        <v>0</v>
      </c>
      <c r="L6" s="424">
        <v>0</v>
      </c>
      <c r="M6" s="424">
        <v>0</v>
      </c>
      <c r="N6" s="115">
        <f>SUM(B6:M6)</f>
        <v>0</v>
      </c>
      <c r="Q6"/>
      <c r="R6"/>
      <c r="S6" s="143"/>
    </row>
    <row r="7" spans="1:19">
      <c r="A7" s="110" t="s">
        <v>168</v>
      </c>
      <c r="B7" s="424">
        <v>8</v>
      </c>
      <c r="C7" s="424">
        <v>5</v>
      </c>
      <c r="D7" s="424">
        <v>10</v>
      </c>
      <c r="E7" s="424">
        <v>9</v>
      </c>
      <c r="F7" s="424">
        <v>7</v>
      </c>
      <c r="G7" s="424">
        <v>11</v>
      </c>
      <c r="H7" s="424">
        <v>7</v>
      </c>
      <c r="I7" s="424">
        <v>6</v>
      </c>
      <c r="J7" s="424">
        <v>7</v>
      </c>
      <c r="K7" s="424">
        <v>10</v>
      </c>
      <c r="L7" s="424">
        <v>10</v>
      </c>
      <c r="M7" s="424">
        <v>9</v>
      </c>
      <c r="N7" s="115">
        <f>SUM(B7:M7)</f>
        <v>99</v>
      </c>
      <c r="Q7"/>
      <c r="R7"/>
      <c r="S7" s="143"/>
    </row>
    <row r="8" spans="1:19">
      <c r="A8" s="110" t="s">
        <v>169</v>
      </c>
      <c r="B8" s="196">
        <f t="shared" ref="B8:M8" si="1">SUM(B4:B7)</f>
        <v>1103</v>
      </c>
      <c r="C8" s="196">
        <f t="shared" si="1"/>
        <v>1194</v>
      </c>
      <c r="D8" s="196">
        <f t="shared" si="1"/>
        <v>1158</v>
      </c>
      <c r="E8" s="196">
        <f t="shared" si="1"/>
        <v>911</v>
      </c>
      <c r="F8" s="196">
        <f t="shared" si="1"/>
        <v>954</v>
      </c>
      <c r="G8" s="196">
        <f t="shared" si="1"/>
        <v>1094</v>
      </c>
      <c r="H8" s="116">
        <f t="shared" si="1"/>
        <v>1178</v>
      </c>
      <c r="I8" s="116">
        <f t="shared" si="1"/>
        <v>1220</v>
      </c>
      <c r="J8" s="116">
        <f t="shared" si="1"/>
        <v>1031</v>
      </c>
      <c r="K8" s="116">
        <f t="shared" si="1"/>
        <v>1154</v>
      </c>
      <c r="L8" s="116">
        <f t="shared" si="1"/>
        <v>1078</v>
      </c>
      <c r="M8" s="116">
        <f t="shared" si="1"/>
        <v>1074</v>
      </c>
      <c r="N8" s="116">
        <f>IF(ROUND(SUM(N4:N7),3)&lt;&gt;ROUND(SUM(B8:M8),3),#VALUE!,SUM(B8:M8))</f>
        <v>13149</v>
      </c>
      <c r="Q8"/>
      <c r="R8"/>
      <c r="S8" s="143"/>
    </row>
    <row r="9" spans="1:19">
      <c r="A9" s="117" t="s">
        <v>170</v>
      </c>
      <c r="B9" s="182">
        <f>B36</f>
        <v>-163</v>
      </c>
      <c r="C9" s="182">
        <f t="shared" ref="C9:M9" si="2">C36</f>
        <v>-176</v>
      </c>
      <c r="D9" s="182">
        <f t="shared" si="2"/>
        <v>-190</v>
      </c>
      <c r="E9" s="182">
        <f t="shared" si="2"/>
        <v>-171</v>
      </c>
      <c r="F9" s="182">
        <f t="shared" si="2"/>
        <v>-120</v>
      </c>
      <c r="G9" s="182">
        <f t="shared" si="2"/>
        <v>-140</v>
      </c>
      <c r="H9" s="182">
        <f t="shared" si="2"/>
        <v>-152</v>
      </c>
      <c r="I9" s="182">
        <f t="shared" si="2"/>
        <v>-147</v>
      </c>
      <c r="J9" s="182">
        <f t="shared" si="2"/>
        <v>-152</v>
      </c>
      <c r="K9" s="182">
        <f t="shared" si="2"/>
        <v>-177</v>
      </c>
      <c r="L9" s="182">
        <f t="shared" si="2"/>
        <v>-171</v>
      </c>
      <c r="M9" s="182">
        <f t="shared" si="2"/>
        <v>-151</v>
      </c>
      <c r="N9" s="115">
        <f>SUM(B9:M9)</f>
        <v>-1910</v>
      </c>
      <c r="O9" s="121" t="s">
        <v>179</v>
      </c>
      <c r="Q9"/>
      <c r="R9"/>
      <c r="S9" s="143"/>
    </row>
    <row r="10" spans="1:19">
      <c r="A10" s="110" t="s">
        <v>171</v>
      </c>
      <c r="B10" s="197">
        <f>B8+B9</f>
        <v>940</v>
      </c>
      <c r="C10" s="197">
        <f t="shared" ref="C10:M10" si="3">C8+C9</f>
        <v>1018</v>
      </c>
      <c r="D10" s="197">
        <f t="shared" si="3"/>
        <v>968</v>
      </c>
      <c r="E10" s="197">
        <f t="shared" si="3"/>
        <v>740</v>
      </c>
      <c r="F10" s="197">
        <f t="shared" si="3"/>
        <v>834</v>
      </c>
      <c r="G10" s="197">
        <f t="shared" si="3"/>
        <v>954</v>
      </c>
      <c r="H10" s="118">
        <f t="shared" si="3"/>
        <v>1026</v>
      </c>
      <c r="I10" s="118">
        <f t="shared" si="3"/>
        <v>1073</v>
      </c>
      <c r="J10" s="118">
        <f t="shared" si="3"/>
        <v>879</v>
      </c>
      <c r="K10" s="118">
        <f t="shared" si="3"/>
        <v>977</v>
      </c>
      <c r="L10" s="118">
        <f t="shared" si="3"/>
        <v>907</v>
      </c>
      <c r="M10" s="118">
        <f t="shared" si="3"/>
        <v>923</v>
      </c>
      <c r="N10" s="118">
        <f>IF(ROUND(N8+N9,3)&lt;&gt;ROUND(SUM(B10:M10),3),#VALUE!,N8+N9)</f>
        <v>11239</v>
      </c>
      <c r="Q10"/>
      <c r="R10"/>
      <c r="S10" s="143"/>
    </row>
    <row r="11" spans="1:19">
      <c r="B11" s="259">
        <f>B10/B21</f>
        <v>0.64560439560439564</v>
      </c>
      <c r="C11" s="259">
        <f t="shared" ref="C11:N11" si="4">C10/C21</f>
        <v>0.64512040557667938</v>
      </c>
      <c r="D11" s="259">
        <f t="shared" si="4"/>
        <v>0.65317139001349522</v>
      </c>
      <c r="E11" s="259">
        <f t="shared" si="4"/>
        <v>0.64798598949211905</v>
      </c>
      <c r="F11" s="259">
        <f t="shared" si="4"/>
        <v>0.66348448687350836</v>
      </c>
      <c r="G11" s="259">
        <f t="shared" si="4"/>
        <v>0.67707594038325059</v>
      </c>
      <c r="H11" s="259">
        <f t="shared" si="4"/>
        <v>0.66753415744957711</v>
      </c>
      <c r="I11" s="259">
        <f t="shared" si="4"/>
        <v>0.66770379589296824</v>
      </c>
      <c r="J11" s="259">
        <f t="shared" si="4"/>
        <v>0.66490166414523444</v>
      </c>
      <c r="K11" s="259">
        <f t="shared" si="4"/>
        <v>0.65746971736204574</v>
      </c>
      <c r="L11" s="259">
        <f t="shared" si="4"/>
        <v>0.65915697674418605</v>
      </c>
      <c r="M11" s="259">
        <f t="shared" si="4"/>
        <v>0.64141765114662963</v>
      </c>
      <c r="N11" s="259">
        <f t="shared" si="4"/>
        <v>0.65759756597039376</v>
      </c>
      <c r="Q11"/>
      <c r="R11"/>
      <c r="S11" s="143"/>
    </row>
    <row r="12" spans="1:19">
      <c r="A12" s="113" t="s">
        <v>258</v>
      </c>
      <c r="B12" s="114"/>
      <c r="Q12"/>
      <c r="R12"/>
      <c r="S12" s="143"/>
    </row>
    <row r="13" spans="1:19">
      <c r="A13" s="110" t="s">
        <v>165</v>
      </c>
      <c r="B13" s="424">
        <v>704</v>
      </c>
      <c r="C13" s="424">
        <v>782</v>
      </c>
      <c r="D13" s="424">
        <v>749</v>
      </c>
      <c r="E13" s="424">
        <v>580</v>
      </c>
      <c r="F13" s="424">
        <v>570</v>
      </c>
      <c r="G13" s="424">
        <v>622</v>
      </c>
      <c r="H13" s="424">
        <v>696</v>
      </c>
      <c r="I13" s="424">
        <v>723</v>
      </c>
      <c r="J13" s="424">
        <v>606</v>
      </c>
      <c r="K13" s="424">
        <v>745</v>
      </c>
      <c r="L13" s="424">
        <v>691</v>
      </c>
      <c r="M13" s="424">
        <v>722</v>
      </c>
      <c r="N13" s="115">
        <f>SUM(B13:M13)</f>
        <v>8190</v>
      </c>
      <c r="Q13"/>
      <c r="R13"/>
      <c r="S13" s="143"/>
    </row>
    <row r="14" spans="1:19">
      <c r="A14" s="110" t="s">
        <v>166</v>
      </c>
      <c r="B14" s="424">
        <v>-162</v>
      </c>
      <c r="C14" s="424">
        <v>-192</v>
      </c>
      <c r="D14" s="424">
        <v>-174</v>
      </c>
      <c r="E14" s="424">
        <v>-116</v>
      </c>
      <c r="F14" s="424">
        <v>-90</v>
      </c>
      <c r="G14" s="424">
        <v>-105</v>
      </c>
      <c r="H14" s="424">
        <v>-128</v>
      </c>
      <c r="I14" s="424">
        <v>-131</v>
      </c>
      <c r="J14" s="424">
        <v>-104</v>
      </c>
      <c r="K14" s="424">
        <v>-169</v>
      </c>
      <c r="L14" s="424">
        <v>-155</v>
      </c>
      <c r="M14" s="424">
        <v>-146</v>
      </c>
      <c r="N14" s="115">
        <f>SUM(B14:M14)</f>
        <v>-1672</v>
      </c>
      <c r="O14" s="121" t="s">
        <v>178</v>
      </c>
      <c r="Q14"/>
      <c r="R14"/>
      <c r="S14" s="143"/>
    </row>
    <row r="15" spans="1:19">
      <c r="A15" s="110" t="s">
        <v>167</v>
      </c>
      <c r="B15" s="424">
        <v>0</v>
      </c>
      <c r="C15" s="424">
        <v>0</v>
      </c>
      <c r="D15" s="424">
        <v>0</v>
      </c>
      <c r="E15" s="424">
        <v>0</v>
      </c>
      <c r="F15" s="424">
        <v>0</v>
      </c>
      <c r="G15" s="424">
        <v>0</v>
      </c>
      <c r="H15" s="424">
        <v>0</v>
      </c>
      <c r="I15" s="424">
        <v>0</v>
      </c>
      <c r="J15" s="424">
        <v>0</v>
      </c>
      <c r="K15" s="424">
        <v>0</v>
      </c>
      <c r="L15" s="424">
        <v>0</v>
      </c>
      <c r="M15" s="424">
        <v>0</v>
      </c>
      <c r="N15" s="115">
        <f>SUM(B15:M15)</f>
        <v>0</v>
      </c>
      <c r="Q15"/>
      <c r="R15"/>
    </row>
    <row r="16" spans="1:19">
      <c r="A16" s="110" t="s">
        <v>168</v>
      </c>
      <c r="B16" s="182">
        <f>-B7</f>
        <v>-8</v>
      </c>
      <c r="C16" s="182">
        <f t="shared" ref="C16:M16" si="5">-C7</f>
        <v>-5</v>
      </c>
      <c r="D16" s="182">
        <f t="shared" si="5"/>
        <v>-10</v>
      </c>
      <c r="E16" s="182">
        <f t="shared" si="5"/>
        <v>-9</v>
      </c>
      <c r="F16" s="182">
        <f t="shared" si="5"/>
        <v>-7</v>
      </c>
      <c r="G16" s="182">
        <f t="shared" si="5"/>
        <v>-11</v>
      </c>
      <c r="H16" s="182">
        <f t="shared" si="5"/>
        <v>-7</v>
      </c>
      <c r="I16" s="182">
        <f t="shared" si="5"/>
        <v>-6</v>
      </c>
      <c r="J16" s="182">
        <f t="shared" si="5"/>
        <v>-7</v>
      </c>
      <c r="K16" s="182">
        <f t="shared" si="5"/>
        <v>-10</v>
      </c>
      <c r="L16" s="182">
        <f t="shared" si="5"/>
        <v>-10</v>
      </c>
      <c r="M16" s="182">
        <f t="shared" si="5"/>
        <v>-9</v>
      </c>
      <c r="N16" s="115">
        <f>SUM(B16:M16)</f>
        <v>-99</v>
      </c>
    </row>
    <row r="17" spans="1:16">
      <c r="A17" s="110" t="s">
        <v>169</v>
      </c>
      <c r="B17" s="196">
        <f t="shared" ref="B17:M17" si="6">SUM(B13:B16)</f>
        <v>534</v>
      </c>
      <c r="C17" s="196">
        <f t="shared" si="6"/>
        <v>585</v>
      </c>
      <c r="D17" s="196">
        <f t="shared" si="6"/>
        <v>565</v>
      </c>
      <c r="E17" s="196">
        <f t="shared" si="6"/>
        <v>455</v>
      </c>
      <c r="F17" s="196">
        <f t="shared" si="6"/>
        <v>473</v>
      </c>
      <c r="G17" s="196">
        <f t="shared" si="6"/>
        <v>506</v>
      </c>
      <c r="H17" s="116">
        <f t="shared" si="6"/>
        <v>561</v>
      </c>
      <c r="I17" s="116">
        <f t="shared" si="6"/>
        <v>586</v>
      </c>
      <c r="J17" s="116">
        <f t="shared" si="6"/>
        <v>495</v>
      </c>
      <c r="K17" s="116">
        <f t="shared" si="6"/>
        <v>566</v>
      </c>
      <c r="L17" s="116">
        <f t="shared" si="6"/>
        <v>526</v>
      </c>
      <c r="M17" s="116">
        <f t="shared" si="6"/>
        <v>567</v>
      </c>
      <c r="N17" s="116">
        <f>IF(ROUND(SUM(N13:N16),3)&lt;&gt;ROUND(SUM(B17:M17),3),#VALUE!,SUM(B17:M17))</f>
        <v>6419</v>
      </c>
    </row>
    <row r="18" spans="1:16">
      <c r="A18" s="117" t="s">
        <v>172</v>
      </c>
      <c r="B18" s="182">
        <f>B39</f>
        <v>-18</v>
      </c>
      <c r="C18" s="182">
        <f t="shared" ref="C18:M18" si="7">C39</f>
        <v>-25</v>
      </c>
      <c r="D18" s="182">
        <f t="shared" si="7"/>
        <v>-51</v>
      </c>
      <c r="E18" s="182">
        <f t="shared" si="7"/>
        <v>-53</v>
      </c>
      <c r="F18" s="182">
        <f t="shared" si="7"/>
        <v>-50</v>
      </c>
      <c r="G18" s="182">
        <f t="shared" si="7"/>
        <v>-51</v>
      </c>
      <c r="H18" s="182">
        <f t="shared" si="7"/>
        <v>-50</v>
      </c>
      <c r="I18" s="182">
        <f t="shared" si="7"/>
        <v>-52</v>
      </c>
      <c r="J18" s="182">
        <f t="shared" si="7"/>
        <v>-52</v>
      </c>
      <c r="K18" s="182">
        <f t="shared" si="7"/>
        <v>-57</v>
      </c>
      <c r="L18" s="182">
        <f t="shared" si="7"/>
        <v>-57</v>
      </c>
      <c r="M18" s="182">
        <f t="shared" si="7"/>
        <v>-51</v>
      </c>
      <c r="N18" s="115">
        <f>SUM(B18:M18)</f>
        <v>-567</v>
      </c>
      <c r="O18" s="144"/>
    </row>
    <row r="19" spans="1:16">
      <c r="A19" s="110" t="s">
        <v>173</v>
      </c>
      <c r="B19" s="118">
        <f t="shared" ref="B19:M19" si="8">B17+B18</f>
        <v>516</v>
      </c>
      <c r="C19" s="118">
        <f t="shared" si="8"/>
        <v>560</v>
      </c>
      <c r="D19" s="118">
        <f t="shared" si="8"/>
        <v>514</v>
      </c>
      <c r="E19" s="118">
        <f t="shared" si="8"/>
        <v>402</v>
      </c>
      <c r="F19" s="118">
        <f t="shared" si="8"/>
        <v>423</v>
      </c>
      <c r="G19" s="118">
        <f t="shared" si="8"/>
        <v>455</v>
      </c>
      <c r="H19" s="118">
        <f t="shared" si="8"/>
        <v>511</v>
      </c>
      <c r="I19" s="118">
        <f t="shared" si="8"/>
        <v>534</v>
      </c>
      <c r="J19" s="118">
        <f t="shared" si="8"/>
        <v>443</v>
      </c>
      <c r="K19" s="118">
        <f t="shared" si="8"/>
        <v>509</v>
      </c>
      <c r="L19" s="118">
        <f t="shared" si="8"/>
        <v>469</v>
      </c>
      <c r="M19" s="118">
        <f t="shared" si="8"/>
        <v>516</v>
      </c>
      <c r="N19" s="118">
        <f>IF(ROUND(N17+N18,3)&lt;&gt;ROUND(SUM(B19:M19),3),#VALUE!,N17+N18)</f>
        <v>5852</v>
      </c>
    </row>
    <row r="20" spans="1:16">
      <c r="B20" s="259">
        <f>B19/B21</f>
        <v>0.35439560439560441</v>
      </c>
      <c r="C20" s="259">
        <f t="shared" ref="C20:N20" si="9">C19/C21</f>
        <v>0.35487959442332068</v>
      </c>
      <c r="D20" s="259">
        <f t="shared" si="9"/>
        <v>0.34682860998650472</v>
      </c>
      <c r="E20" s="259">
        <f t="shared" si="9"/>
        <v>0.35201401050788089</v>
      </c>
      <c r="F20" s="259">
        <f t="shared" si="9"/>
        <v>0.33651551312649164</v>
      </c>
      <c r="G20" s="259">
        <f t="shared" si="9"/>
        <v>0.32292405961674947</v>
      </c>
      <c r="H20" s="259">
        <f t="shared" si="9"/>
        <v>0.33246584255042289</v>
      </c>
      <c r="I20" s="259">
        <f t="shared" si="9"/>
        <v>0.33229620410703176</v>
      </c>
      <c r="J20" s="259">
        <f t="shared" si="9"/>
        <v>0.33509833585476551</v>
      </c>
      <c r="K20" s="259">
        <f t="shared" si="9"/>
        <v>0.34253028263795426</v>
      </c>
      <c r="L20" s="259">
        <f t="shared" si="9"/>
        <v>0.34084302325581395</v>
      </c>
      <c r="M20" s="259">
        <f t="shared" si="9"/>
        <v>0.35858234885337037</v>
      </c>
      <c r="N20" s="259">
        <f t="shared" si="9"/>
        <v>0.34240243402960624</v>
      </c>
    </row>
    <row r="21" spans="1:16">
      <c r="A21" s="110" t="s">
        <v>2356</v>
      </c>
      <c r="B21" s="115">
        <f>B10+B19</f>
        <v>1456</v>
      </c>
      <c r="C21" s="115">
        <f t="shared" ref="C21:M21" si="10">C10+C19</f>
        <v>1578</v>
      </c>
      <c r="D21" s="115">
        <f t="shared" si="10"/>
        <v>1482</v>
      </c>
      <c r="E21" s="115">
        <f t="shared" si="10"/>
        <v>1142</v>
      </c>
      <c r="F21" s="115">
        <f t="shared" si="10"/>
        <v>1257</v>
      </c>
      <c r="G21" s="115">
        <f t="shared" si="10"/>
        <v>1409</v>
      </c>
      <c r="H21" s="115">
        <f t="shared" si="10"/>
        <v>1537</v>
      </c>
      <c r="I21" s="115">
        <f t="shared" si="10"/>
        <v>1607</v>
      </c>
      <c r="J21" s="115">
        <f t="shared" si="10"/>
        <v>1322</v>
      </c>
      <c r="K21" s="115">
        <f t="shared" si="10"/>
        <v>1486</v>
      </c>
      <c r="L21" s="115">
        <f t="shared" si="10"/>
        <v>1376</v>
      </c>
      <c r="M21" s="115">
        <f t="shared" si="10"/>
        <v>1439</v>
      </c>
      <c r="N21" s="115">
        <f>SUM(B21:M21)</f>
        <v>17091</v>
      </c>
    </row>
    <row r="22" spans="1:1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>
      <c r="A23" s="346" t="s">
        <v>2492</v>
      </c>
      <c r="B23" s="421">
        <v>43480</v>
      </c>
      <c r="C23" s="422">
        <v>43503</v>
      </c>
      <c r="D23" s="422">
        <v>43525</v>
      </c>
      <c r="E23" s="422">
        <v>43566</v>
      </c>
      <c r="F23" s="422">
        <v>43615</v>
      </c>
      <c r="G23" s="422">
        <v>43629</v>
      </c>
      <c r="H23" s="422">
        <v>43669</v>
      </c>
      <c r="I23" s="422">
        <v>43684</v>
      </c>
      <c r="J23" s="422">
        <v>43712</v>
      </c>
      <c r="K23" s="422">
        <v>43768</v>
      </c>
      <c r="L23" s="422">
        <v>43770</v>
      </c>
      <c r="M23" s="422">
        <v>43815</v>
      </c>
      <c r="N23" s="115"/>
      <c r="O23"/>
      <c r="P23"/>
    </row>
    <row r="24" spans="1:16">
      <c r="A24" s="347" t="s">
        <v>2493</v>
      </c>
      <c r="B24" s="423">
        <v>0.33333333333333331</v>
      </c>
      <c r="C24" s="423">
        <v>0.33333333333333331</v>
      </c>
      <c r="D24" s="423">
        <v>0.33333333333333331</v>
      </c>
      <c r="E24" s="423">
        <v>0.33333333333333331</v>
      </c>
      <c r="F24" s="423">
        <v>0.70833333333333337</v>
      </c>
      <c r="G24" s="423">
        <v>0.66666666666666663</v>
      </c>
      <c r="H24" s="423">
        <v>0.70833333333333337</v>
      </c>
      <c r="I24" s="423">
        <v>0.70833333333333337</v>
      </c>
      <c r="J24" s="423">
        <v>0.75</v>
      </c>
      <c r="K24" s="423">
        <v>0.33333333333333331</v>
      </c>
      <c r="L24" s="423">
        <v>0.33333333333333331</v>
      </c>
      <c r="M24" s="423">
        <v>0.75</v>
      </c>
      <c r="N24"/>
      <c r="O24"/>
      <c r="P24"/>
    </row>
    <row r="26" spans="1:16">
      <c r="A26" s="110" t="s">
        <v>2366</v>
      </c>
      <c r="O26" s="121"/>
    </row>
    <row r="27" spans="1:16">
      <c r="A27" s="110" t="s">
        <v>252</v>
      </c>
    </row>
    <row r="28" spans="1:16">
      <c r="A28" s="110" t="s">
        <v>2367</v>
      </c>
      <c r="B28" s="420">
        <v>-53</v>
      </c>
      <c r="C28" s="420">
        <v>-51</v>
      </c>
      <c r="D28" s="420">
        <v>-44</v>
      </c>
      <c r="E28" s="420">
        <v>-82</v>
      </c>
      <c r="F28" s="420">
        <v>-71</v>
      </c>
      <c r="G28" s="420">
        <v>-79</v>
      </c>
      <c r="H28" s="420">
        <v>-45</v>
      </c>
      <c r="I28" s="420">
        <v>-37</v>
      </c>
      <c r="J28" s="420">
        <v>-38</v>
      </c>
      <c r="K28" s="420">
        <v>-64</v>
      </c>
      <c r="L28" s="420">
        <v>-64</v>
      </c>
      <c r="M28" s="420">
        <v>-34</v>
      </c>
      <c r="N28" s="115">
        <f>SUM(B28:M28)</f>
        <v>-662</v>
      </c>
      <c r="O28" s="121" t="s">
        <v>178</v>
      </c>
    </row>
    <row r="29" spans="1:16">
      <c r="A29" s="110" t="s">
        <v>2368</v>
      </c>
      <c r="B29" s="420">
        <v>41</v>
      </c>
      <c r="C29" s="420">
        <v>34</v>
      </c>
      <c r="D29" s="420">
        <v>3</v>
      </c>
      <c r="E29" s="420">
        <v>34</v>
      </c>
      <c r="F29" s="420">
        <v>69</v>
      </c>
      <c r="G29" s="420">
        <v>52</v>
      </c>
      <c r="H29" s="420">
        <v>34</v>
      </c>
      <c r="I29" s="420">
        <v>35</v>
      </c>
      <c r="J29" s="420">
        <v>34</v>
      </c>
      <c r="K29" s="420">
        <v>35</v>
      </c>
      <c r="L29" s="420">
        <v>51</v>
      </c>
      <c r="M29" s="420">
        <v>47</v>
      </c>
      <c r="N29" s="115">
        <f t="shared" ref="N29:N36" si="11">SUM(B29:M29)</f>
        <v>469</v>
      </c>
    </row>
    <row r="30" spans="1:16">
      <c r="A30" s="110" t="s">
        <v>2369</v>
      </c>
      <c r="B30" s="420">
        <v>-36</v>
      </c>
      <c r="C30" s="420">
        <v>-40</v>
      </c>
      <c r="D30" s="420">
        <v>-41</v>
      </c>
      <c r="E30" s="420">
        <v>-37</v>
      </c>
      <c r="F30" s="420">
        <v>-18</v>
      </c>
      <c r="G30" s="420">
        <v>-37</v>
      </c>
      <c r="H30" s="420">
        <v>-37</v>
      </c>
      <c r="I30" s="420">
        <v>-35</v>
      </c>
      <c r="J30" s="420">
        <v>-38</v>
      </c>
      <c r="K30" s="420">
        <v>-35</v>
      </c>
      <c r="L30" s="420">
        <v>-34</v>
      </c>
      <c r="M30" s="420">
        <v>-39</v>
      </c>
      <c r="N30" s="115">
        <f t="shared" si="11"/>
        <v>-427</v>
      </c>
    </row>
    <row r="31" spans="1:16">
      <c r="A31" s="110" t="s">
        <v>2370</v>
      </c>
      <c r="B31" s="420">
        <v>-82</v>
      </c>
      <c r="C31" s="420">
        <v>-85</v>
      </c>
      <c r="D31" s="420">
        <v>-90</v>
      </c>
      <c r="E31" s="420">
        <v>-82</v>
      </c>
      <c r="F31" s="420">
        <v>-59</v>
      </c>
      <c r="G31" s="420">
        <v>-50</v>
      </c>
      <c r="H31" s="420">
        <v>-77</v>
      </c>
      <c r="I31" s="420">
        <v>-90</v>
      </c>
      <c r="J31" s="420">
        <v>-102</v>
      </c>
      <c r="K31" s="420">
        <v>-88</v>
      </c>
      <c r="L31" s="420">
        <v>-92</v>
      </c>
      <c r="M31" s="420">
        <v>-81</v>
      </c>
      <c r="N31" s="115">
        <f t="shared" si="11"/>
        <v>-978</v>
      </c>
    </row>
    <row r="32" spans="1:16">
      <c r="A32" s="110" t="s">
        <v>2371</v>
      </c>
      <c r="B32" s="420">
        <v>-4</v>
      </c>
      <c r="C32" s="420">
        <v>-1</v>
      </c>
      <c r="D32" s="420">
        <v>-5</v>
      </c>
      <c r="E32" s="420">
        <v>-14</v>
      </c>
      <c r="F32" s="420">
        <v>-45</v>
      </c>
      <c r="G32" s="420">
        <v>-48</v>
      </c>
      <c r="H32" s="420">
        <v>-1</v>
      </c>
      <c r="I32" s="420">
        <v>-2</v>
      </c>
      <c r="J32" s="420">
        <v>25</v>
      </c>
      <c r="K32" s="420">
        <v>-10</v>
      </c>
      <c r="L32" s="420">
        <v>-4</v>
      </c>
      <c r="M32" s="420">
        <v>-16</v>
      </c>
      <c r="N32" s="115">
        <f t="shared" si="11"/>
        <v>-125</v>
      </c>
    </row>
    <row r="33" spans="1:15">
      <c r="A33" s="110" t="s">
        <v>2372</v>
      </c>
      <c r="B33" s="420">
        <v>-7</v>
      </c>
      <c r="C33" s="420">
        <v>-9</v>
      </c>
      <c r="D33" s="420">
        <v>10</v>
      </c>
      <c r="E33" s="420">
        <v>25</v>
      </c>
      <c r="F33" s="420">
        <v>15</v>
      </c>
      <c r="G33" s="420">
        <v>32</v>
      </c>
      <c r="H33" s="420">
        <v>-16</v>
      </c>
      <c r="I33" s="420">
        <v>-8</v>
      </c>
      <c r="J33" s="420">
        <v>-24</v>
      </c>
      <c r="K33" s="420">
        <v>3</v>
      </c>
      <c r="L33" s="420">
        <v>-11</v>
      </c>
      <c r="M33" s="420">
        <v>-13</v>
      </c>
      <c r="N33" s="115">
        <f t="shared" si="11"/>
        <v>-3</v>
      </c>
    </row>
    <row r="34" spans="1:15">
      <c r="A34" s="110" t="s">
        <v>2373</v>
      </c>
      <c r="B34" s="420">
        <v>-10</v>
      </c>
      <c r="C34" s="420">
        <v>-10</v>
      </c>
      <c r="D34" s="420">
        <v>-10</v>
      </c>
      <c r="E34" s="420">
        <v>-7</v>
      </c>
      <c r="F34" s="420">
        <v>-7</v>
      </c>
      <c r="G34" s="420">
        <v>-6</v>
      </c>
      <c r="H34" s="420">
        <v>-5</v>
      </c>
      <c r="I34" s="420">
        <v>-5</v>
      </c>
      <c r="J34" s="420">
        <v>-4</v>
      </c>
      <c r="K34" s="420">
        <v>-6</v>
      </c>
      <c r="L34" s="420">
        <v>-5</v>
      </c>
      <c r="M34" s="420">
        <v>-5</v>
      </c>
      <c r="N34" s="115">
        <f t="shared" si="11"/>
        <v>-80</v>
      </c>
    </row>
    <row r="35" spans="1:15">
      <c r="A35" s="110" t="s">
        <v>2374</v>
      </c>
      <c r="B35" s="420">
        <v>-12</v>
      </c>
      <c r="C35" s="420">
        <v>-14</v>
      </c>
      <c r="D35" s="420">
        <v>-13</v>
      </c>
      <c r="E35" s="420">
        <v>-8</v>
      </c>
      <c r="F35" s="420">
        <v>-4</v>
      </c>
      <c r="G35" s="420">
        <v>-4</v>
      </c>
      <c r="H35" s="420">
        <v>-5</v>
      </c>
      <c r="I35" s="420">
        <v>-5</v>
      </c>
      <c r="J35" s="420">
        <v>-5</v>
      </c>
      <c r="K35" s="420">
        <v>-12</v>
      </c>
      <c r="L35" s="420">
        <v>-12</v>
      </c>
      <c r="M35" s="420">
        <v>-10</v>
      </c>
      <c r="N35" s="115">
        <f t="shared" si="11"/>
        <v>-104</v>
      </c>
    </row>
    <row r="36" spans="1:15">
      <c r="A36" s="110" t="s">
        <v>2375</v>
      </c>
      <c r="B36" s="194">
        <f>SUM(B28:B35)</f>
        <v>-163</v>
      </c>
      <c r="C36" s="194">
        <f t="shared" ref="C36:M36" si="12">SUM(C28:C35)</f>
        <v>-176</v>
      </c>
      <c r="D36" s="194">
        <f t="shared" si="12"/>
        <v>-190</v>
      </c>
      <c r="E36" s="194">
        <f t="shared" si="12"/>
        <v>-171</v>
      </c>
      <c r="F36" s="194">
        <f t="shared" si="12"/>
        <v>-120</v>
      </c>
      <c r="G36" s="194">
        <f t="shared" si="12"/>
        <v>-140</v>
      </c>
      <c r="H36" s="194">
        <f t="shared" si="12"/>
        <v>-152</v>
      </c>
      <c r="I36" s="194">
        <f t="shared" si="12"/>
        <v>-147</v>
      </c>
      <c r="J36" s="194">
        <f t="shared" si="12"/>
        <v>-152</v>
      </c>
      <c r="K36" s="194">
        <f t="shared" si="12"/>
        <v>-177</v>
      </c>
      <c r="L36" s="194">
        <f t="shared" si="12"/>
        <v>-171</v>
      </c>
      <c r="M36" s="194">
        <f t="shared" si="12"/>
        <v>-151</v>
      </c>
      <c r="N36" s="118">
        <f t="shared" si="11"/>
        <v>-1910</v>
      </c>
    </row>
    <row r="38" spans="1:15">
      <c r="A38" s="110" t="s">
        <v>258</v>
      </c>
    </row>
    <row r="39" spans="1:15">
      <c r="A39" s="110" t="s">
        <v>2376</v>
      </c>
      <c r="B39" s="420">
        <v>-18</v>
      </c>
      <c r="C39" s="420">
        <v>-25</v>
      </c>
      <c r="D39" s="420">
        <v>-51</v>
      </c>
      <c r="E39" s="420">
        <v>-53</v>
      </c>
      <c r="F39" s="420">
        <v>-50</v>
      </c>
      <c r="G39" s="420">
        <v>-51</v>
      </c>
      <c r="H39" s="420">
        <v>-50</v>
      </c>
      <c r="I39" s="420">
        <v>-52</v>
      </c>
      <c r="J39" s="420">
        <v>-52</v>
      </c>
      <c r="K39" s="420">
        <v>-57</v>
      </c>
      <c r="L39" s="420">
        <v>-57</v>
      </c>
      <c r="M39" s="420">
        <v>-51</v>
      </c>
      <c r="N39" s="110">
        <f t="shared" ref="N39" si="13">SUM(B39:M39)</f>
        <v>-567</v>
      </c>
      <c r="O39" s="121" t="s">
        <v>178</v>
      </c>
    </row>
  </sheetData>
  <phoneticPr fontId="18" type="noConversion"/>
  <pageMargins left="0.61" right="0.25" top="0.69" bottom="0.5" header="0.5" footer="0.5"/>
  <pageSetup scale="66" orientation="landscape" r:id="rId1"/>
  <headerFooter alignWithMargins="0">
    <oddFooter>&amp;C&amp;F /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34"/>
  <sheetViews>
    <sheetView workbookViewId="0">
      <selection sqref="A1:J1"/>
    </sheetView>
  </sheetViews>
  <sheetFormatPr defaultColWidth="13.33203125" defaultRowHeight="12.75"/>
  <cols>
    <col min="1" max="1" width="11" style="168" customWidth="1"/>
    <col min="2" max="2" width="13.6640625" style="168" customWidth="1"/>
    <col min="3" max="3" width="4" style="168" customWidth="1"/>
    <col min="4" max="5" width="17.1640625" style="168" customWidth="1"/>
    <col min="6" max="6" width="17" style="168" customWidth="1"/>
    <col min="7" max="7" width="15.6640625" style="168" customWidth="1"/>
    <col min="8" max="8" width="16.33203125" style="168" customWidth="1"/>
    <col min="9" max="9" width="16.1640625" style="178" customWidth="1"/>
    <col min="10" max="10" width="35" style="168" customWidth="1"/>
    <col min="11" max="11" width="21" style="168" customWidth="1"/>
    <col min="12" max="12" width="12.1640625" style="168" customWidth="1"/>
    <col min="13" max="13" width="14.1640625" style="168" customWidth="1"/>
    <col min="14" max="14" width="14" style="168" customWidth="1"/>
    <col min="15" max="15" width="27.83203125" style="168" customWidth="1"/>
    <col min="16" max="16384" width="13.33203125" style="168"/>
  </cols>
  <sheetData>
    <row r="1" spans="1:10" ht="14.25">
      <c r="A1" s="467" t="s">
        <v>2532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12" customHeight="1">
      <c r="I2" s="168"/>
    </row>
    <row r="3" spans="1:10" ht="18.600000000000001" customHeight="1">
      <c r="A3" s="165" t="s">
        <v>380</v>
      </c>
      <c r="B3" s="165" t="s">
        <v>381</v>
      </c>
      <c r="C3" s="166"/>
      <c r="D3" s="167" t="s">
        <v>244</v>
      </c>
      <c r="E3" s="165" t="s">
        <v>245</v>
      </c>
      <c r="F3" s="165" t="s">
        <v>194</v>
      </c>
      <c r="G3" s="165" t="s">
        <v>195</v>
      </c>
      <c r="H3" s="165" t="s">
        <v>382</v>
      </c>
      <c r="I3" s="165" t="s">
        <v>382</v>
      </c>
      <c r="J3" s="165" t="s">
        <v>246</v>
      </c>
    </row>
    <row r="4" spans="1:10" ht="15.75">
      <c r="A4" s="165" t="s">
        <v>2357</v>
      </c>
      <c r="B4" s="165" t="s">
        <v>383</v>
      </c>
      <c r="C4" s="166"/>
      <c r="D4" s="165" t="s">
        <v>384</v>
      </c>
      <c r="E4" s="165" t="s">
        <v>384</v>
      </c>
      <c r="F4" s="165" t="s">
        <v>385</v>
      </c>
      <c r="G4" s="165" t="s">
        <v>385</v>
      </c>
      <c r="H4" s="165" t="s">
        <v>386</v>
      </c>
      <c r="I4" s="406" t="s">
        <v>2533</v>
      </c>
      <c r="J4" s="165" t="s">
        <v>247</v>
      </c>
    </row>
    <row r="5" spans="1:10" ht="27.6" customHeight="1">
      <c r="B5" s="169"/>
      <c r="C5" s="169"/>
      <c r="D5" s="170" t="s">
        <v>196</v>
      </c>
      <c r="E5" s="170" t="s">
        <v>197</v>
      </c>
      <c r="F5" s="170" t="s">
        <v>198</v>
      </c>
      <c r="G5" s="170" t="s">
        <v>199</v>
      </c>
      <c r="H5" s="169"/>
      <c r="I5" s="169"/>
    </row>
    <row r="6" spans="1:10" ht="12.95" customHeight="1">
      <c r="I6" s="168"/>
    </row>
    <row r="7" spans="1:10" ht="12.95" customHeight="1">
      <c r="A7" s="167" t="s">
        <v>387</v>
      </c>
      <c r="I7" s="168"/>
    </row>
    <row r="8" spans="1:10" ht="12.95" customHeight="1">
      <c r="A8" s="171">
        <v>0.96199999999999997</v>
      </c>
      <c r="B8" s="172" t="s">
        <v>388</v>
      </c>
      <c r="C8" s="173"/>
      <c r="D8" s="171">
        <v>0.44600000000000001</v>
      </c>
      <c r="E8" s="174">
        <v>0.60099999999999998</v>
      </c>
      <c r="F8" s="174">
        <f>G8</f>
        <v>1.22</v>
      </c>
      <c r="G8" s="174">
        <v>1.22</v>
      </c>
      <c r="H8" s="407">
        <v>576</v>
      </c>
      <c r="I8" s="408">
        <v>684</v>
      </c>
      <c r="J8" s="168" t="s">
        <v>248</v>
      </c>
    </row>
    <row r="9" spans="1:10" ht="12.95" customHeight="1">
      <c r="A9" s="175">
        <v>0.94399999999999995</v>
      </c>
      <c r="B9" s="176" t="s">
        <v>389</v>
      </c>
      <c r="C9" s="177"/>
      <c r="D9" s="171">
        <v>0.27900000000000003</v>
      </c>
      <c r="E9" s="174">
        <v>0.35099999999999998</v>
      </c>
      <c r="F9" s="174">
        <f t="shared" ref="F9:F16" si="0">G9</f>
        <v>0.309</v>
      </c>
      <c r="G9" s="174">
        <v>0.309</v>
      </c>
      <c r="H9" s="409">
        <v>359</v>
      </c>
      <c r="I9" s="410">
        <v>384</v>
      </c>
      <c r="J9" s="168" t="s">
        <v>2312</v>
      </c>
    </row>
    <row r="10" spans="1:10" ht="12.95" customHeight="1">
      <c r="A10" s="175">
        <v>0.91400000000000003</v>
      </c>
      <c r="B10" s="176" t="s">
        <v>390</v>
      </c>
      <c r="C10" s="177"/>
      <c r="D10" s="171">
        <v>0.22</v>
      </c>
      <c r="E10" s="174">
        <v>0.46500000000000002</v>
      </c>
      <c r="F10" s="174">
        <f t="shared" si="0"/>
        <v>1.48</v>
      </c>
      <c r="G10" s="174">
        <v>1.48</v>
      </c>
      <c r="H10" s="409">
        <v>1892</v>
      </c>
      <c r="I10" s="410">
        <v>1771</v>
      </c>
      <c r="J10" s="168" t="s">
        <v>2313</v>
      </c>
    </row>
    <row r="11" spans="1:10" ht="12.95" customHeight="1">
      <c r="A11" s="175">
        <v>0.95399999999999996</v>
      </c>
      <c r="B11" s="176" t="s">
        <v>391</v>
      </c>
      <c r="C11" s="177"/>
      <c r="D11" s="411">
        <v>1.0549999999999999</v>
      </c>
      <c r="E11" s="411">
        <v>1.7569999999999999</v>
      </c>
      <c r="F11" s="174">
        <f t="shared" si="0"/>
        <v>1.35</v>
      </c>
      <c r="G11" s="411">
        <v>1.35</v>
      </c>
      <c r="H11" s="409">
        <v>3489</v>
      </c>
      <c r="I11" s="410">
        <v>3262</v>
      </c>
      <c r="J11" s="168" t="s">
        <v>2313</v>
      </c>
    </row>
    <row r="12" spans="1:10" ht="12.95" customHeight="1">
      <c r="A12" s="175">
        <v>0.91700000000000004</v>
      </c>
      <c r="B12" s="176" t="s">
        <v>392</v>
      </c>
      <c r="C12" s="177"/>
      <c r="D12" s="171">
        <v>0.20899999999999999</v>
      </c>
      <c r="E12" s="174">
        <v>0.41799999999999998</v>
      </c>
      <c r="F12" s="174">
        <f t="shared" si="0"/>
        <v>1.1080000000000001</v>
      </c>
      <c r="G12" s="174">
        <v>1.1080000000000001</v>
      </c>
      <c r="H12" s="409">
        <v>1465</v>
      </c>
      <c r="I12" s="410">
        <v>1380</v>
      </c>
      <c r="J12" s="168" t="s">
        <v>2313</v>
      </c>
    </row>
    <row r="13" spans="1:10" ht="12.95" customHeight="1">
      <c r="A13" s="175">
        <v>0.91100000000000003</v>
      </c>
      <c r="B13" s="176" t="s">
        <v>393</v>
      </c>
      <c r="C13" s="177"/>
      <c r="D13" s="411">
        <v>16.806999999999999</v>
      </c>
      <c r="E13" s="411">
        <v>27.5</v>
      </c>
      <c r="F13" s="174">
        <f t="shared" si="0"/>
        <v>42.759</v>
      </c>
      <c r="G13" s="411">
        <v>42.759</v>
      </c>
      <c r="H13" s="409">
        <v>45938</v>
      </c>
      <c r="I13" s="410">
        <v>46172</v>
      </c>
      <c r="J13" s="168" t="s">
        <v>2312</v>
      </c>
    </row>
    <row r="14" spans="1:10" ht="12.95" customHeight="1">
      <c r="A14" s="175">
        <v>0.95</v>
      </c>
      <c r="B14" s="176" t="s">
        <v>2380</v>
      </c>
      <c r="C14" s="177"/>
      <c r="D14" s="411">
        <v>0</v>
      </c>
      <c r="E14" s="411">
        <v>3.4119999999999999</v>
      </c>
      <c r="F14" s="174">
        <f t="shared" si="0"/>
        <v>22.739000000000001</v>
      </c>
      <c r="G14" s="411">
        <v>22.739000000000001</v>
      </c>
      <c r="H14" s="409">
        <v>60948</v>
      </c>
      <c r="I14" s="410">
        <v>55403</v>
      </c>
      <c r="J14" s="168" t="s">
        <v>2312</v>
      </c>
    </row>
    <row r="15" spans="1:10" ht="12.95" customHeight="1">
      <c r="A15" s="175">
        <v>0.88100000000000001</v>
      </c>
      <c r="B15" s="176" t="s">
        <v>2494</v>
      </c>
      <c r="C15" s="177"/>
      <c r="D15" s="411">
        <v>0</v>
      </c>
      <c r="E15" s="411">
        <v>5.1520000000000001</v>
      </c>
      <c r="F15" s="174">
        <f t="shared" si="0"/>
        <v>20.047000000000001</v>
      </c>
      <c r="G15" s="411">
        <v>20.047000000000001</v>
      </c>
      <c r="H15" s="409">
        <v>109435</v>
      </c>
      <c r="I15" s="410">
        <v>96412</v>
      </c>
      <c r="J15" s="168" t="s">
        <v>2313</v>
      </c>
    </row>
    <row r="16" spans="1:10" ht="12.95" customHeight="1">
      <c r="A16" s="175">
        <v>0.95199999999999996</v>
      </c>
      <c r="B16" s="176" t="s">
        <v>2381</v>
      </c>
      <c r="C16" s="177"/>
      <c r="D16" s="411">
        <v>0</v>
      </c>
      <c r="E16" s="411">
        <v>3.6789999999999998</v>
      </c>
      <c r="F16" s="174">
        <f t="shared" si="0"/>
        <v>22.835000000000001</v>
      </c>
      <c r="G16" s="411">
        <v>22.835000000000001</v>
      </c>
      <c r="H16" s="409">
        <v>62392</v>
      </c>
      <c r="I16" s="410">
        <v>56932</v>
      </c>
      <c r="J16" s="168" t="s">
        <v>2313</v>
      </c>
    </row>
    <row r="17" spans="1:10" ht="12.95" customHeight="1">
      <c r="B17" s="169"/>
      <c r="C17" s="179"/>
      <c r="D17" s="180"/>
      <c r="I17" s="168"/>
    </row>
    <row r="18" spans="1:10" ht="12.95" customHeight="1">
      <c r="A18" s="167" t="s">
        <v>394</v>
      </c>
      <c r="B18" s="169"/>
      <c r="C18" s="179"/>
      <c r="D18" s="180"/>
      <c r="I18" s="168"/>
    </row>
    <row r="19" spans="1:10" ht="12.95" customHeight="1">
      <c r="A19" s="180">
        <v>0.97</v>
      </c>
      <c r="B19" s="172" t="s">
        <v>395</v>
      </c>
      <c r="C19" s="173"/>
      <c r="D19" s="171">
        <v>0.45900000000000002</v>
      </c>
      <c r="E19" s="174">
        <v>0.59199999999999997</v>
      </c>
      <c r="F19" s="174">
        <f>G19</f>
        <v>0.998</v>
      </c>
      <c r="G19" s="174">
        <v>0.998</v>
      </c>
      <c r="H19" s="407">
        <v>562</v>
      </c>
      <c r="I19" s="408">
        <v>668</v>
      </c>
      <c r="J19" s="168" t="s">
        <v>248</v>
      </c>
    </row>
    <row r="20" spans="1:10" ht="12.95" customHeight="1">
      <c r="A20" s="175">
        <v>0.95899999999999996</v>
      </c>
      <c r="B20" s="176" t="s">
        <v>396</v>
      </c>
      <c r="C20" s="177"/>
      <c r="D20" s="171">
        <v>0.22</v>
      </c>
      <c r="E20" s="174">
        <v>0.28299999999999997</v>
      </c>
      <c r="F20" s="174">
        <f t="shared" ref="F20:F27" si="1">G20</f>
        <v>0.28000000000000003</v>
      </c>
      <c r="G20" s="174">
        <v>0.28000000000000003</v>
      </c>
      <c r="H20" s="409">
        <v>267</v>
      </c>
      <c r="I20" s="410">
        <v>287</v>
      </c>
      <c r="J20" s="168" t="s">
        <v>2312</v>
      </c>
    </row>
    <row r="21" spans="1:10" ht="12.95" customHeight="1">
      <c r="A21" s="180">
        <v>0.875</v>
      </c>
      <c r="B21" s="176" t="s">
        <v>397</v>
      </c>
      <c r="C21" s="177"/>
      <c r="D21" s="171">
        <v>0.23699999999999999</v>
      </c>
      <c r="E21" s="174">
        <v>0.49</v>
      </c>
      <c r="F21" s="174">
        <f t="shared" si="1"/>
        <v>1.4690000000000001</v>
      </c>
      <c r="G21" s="174">
        <v>1.4690000000000001</v>
      </c>
      <c r="H21" s="409">
        <v>1535</v>
      </c>
      <c r="I21" s="410">
        <v>1500</v>
      </c>
      <c r="J21" s="168" t="s">
        <v>248</v>
      </c>
    </row>
    <row r="22" spans="1:10" ht="12.95" customHeight="1">
      <c r="A22" s="175">
        <v>0.79600000000000004</v>
      </c>
      <c r="B22" s="176" t="s">
        <v>398</v>
      </c>
      <c r="C22" s="177"/>
      <c r="D22" s="171">
        <v>0.52100000000000002</v>
      </c>
      <c r="E22" s="174">
        <v>0.77300000000000002</v>
      </c>
      <c r="F22" s="174">
        <f t="shared" si="1"/>
        <v>1.107</v>
      </c>
      <c r="G22" s="174">
        <v>1.107</v>
      </c>
      <c r="H22" s="409">
        <v>2975</v>
      </c>
      <c r="I22" s="410">
        <v>2926</v>
      </c>
      <c r="J22" s="168" t="s">
        <v>2312</v>
      </c>
    </row>
    <row r="23" spans="1:10">
      <c r="A23" s="175">
        <v>0.89</v>
      </c>
      <c r="B23" s="176" t="s">
        <v>399</v>
      </c>
      <c r="C23" s="177"/>
      <c r="D23" s="171">
        <v>0.222</v>
      </c>
      <c r="E23" s="174">
        <v>0.435</v>
      </c>
      <c r="F23" s="174">
        <f t="shared" si="1"/>
        <v>1.161</v>
      </c>
      <c r="G23" s="174">
        <v>1.161</v>
      </c>
      <c r="H23" s="409">
        <v>1232</v>
      </c>
      <c r="I23" s="410">
        <v>1213</v>
      </c>
      <c r="J23" s="168" t="s">
        <v>248</v>
      </c>
    </row>
    <row r="24" spans="1:10">
      <c r="A24" s="175">
        <v>0.86499999999999999</v>
      </c>
      <c r="B24" s="176" t="s">
        <v>400</v>
      </c>
      <c r="C24" s="177"/>
      <c r="D24" s="171">
        <v>8.4550000000000001</v>
      </c>
      <c r="E24" s="174">
        <v>15.475</v>
      </c>
      <c r="F24" s="174">
        <f t="shared" si="1"/>
        <v>25.890999999999998</v>
      </c>
      <c r="G24" s="174">
        <v>25.890999999999998</v>
      </c>
      <c r="H24" s="409">
        <v>26521</v>
      </c>
      <c r="I24" s="410">
        <v>26529</v>
      </c>
      <c r="J24" s="168" t="s">
        <v>2312</v>
      </c>
    </row>
    <row r="25" spans="1:10">
      <c r="A25" s="175">
        <v>0.86199999999999999</v>
      </c>
      <c r="B25" s="176" t="s">
        <v>2382</v>
      </c>
      <c r="C25" s="177"/>
      <c r="D25" s="171">
        <v>0</v>
      </c>
      <c r="E25" s="174">
        <v>4.2889999999999997</v>
      </c>
      <c r="F25" s="174">
        <f t="shared" si="1"/>
        <v>18.847000000000001</v>
      </c>
      <c r="G25" s="174">
        <v>18.847000000000001</v>
      </c>
      <c r="H25" s="409">
        <v>44874</v>
      </c>
      <c r="I25" s="410">
        <v>41762</v>
      </c>
      <c r="J25" s="168" t="s">
        <v>2312</v>
      </c>
    </row>
    <row r="26" spans="1:10">
      <c r="A26" s="412">
        <v>0.52</v>
      </c>
      <c r="B26" s="413" t="s">
        <v>2383</v>
      </c>
      <c r="C26" s="414"/>
      <c r="D26" s="415">
        <v>0</v>
      </c>
      <c r="E26" s="416">
        <v>6.4939999999999998</v>
      </c>
      <c r="F26" s="416">
        <f t="shared" si="1"/>
        <v>0</v>
      </c>
      <c r="G26" s="416">
        <v>0</v>
      </c>
      <c r="H26" s="417">
        <v>108429</v>
      </c>
      <c r="I26" s="418">
        <v>77709</v>
      </c>
      <c r="J26" s="419" t="s">
        <v>2313</v>
      </c>
    </row>
    <row r="27" spans="1:10">
      <c r="A27" s="175">
        <v>0.84199999999999997</v>
      </c>
      <c r="B27" s="176" t="s">
        <v>2384</v>
      </c>
      <c r="C27" s="177"/>
      <c r="D27" s="171">
        <v>0</v>
      </c>
      <c r="E27" s="174">
        <v>4.3289999999999997</v>
      </c>
      <c r="F27" s="174">
        <f t="shared" si="1"/>
        <v>16.919</v>
      </c>
      <c r="G27" s="174">
        <v>16.919</v>
      </c>
      <c r="H27" s="409">
        <v>48228</v>
      </c>
      <c r="I27" s="410">
        <v>43775</v>
      </c>
      <c r="J27" s="168" t="s">
        <v>2312</v>
      </c>
    </row>
    <row r="28" spans="1:10">
      <c r="I28" s="168"/>
    </row>
    <row r="29" spans="1:10">
      <c r="A29" s="168" t="s">
        <v>401</v>
      </c>
      <c r="I29" s="168"/>
    </row>
    <row r="30" spans="1:10">
      <c r="B30" s="181" t="s">
        <v>402</v>
      </c>
      <c r="G30" s="181" t="s">
        <v>403</v>
      </c>
      <c r="I30" s="181" t="s">
        <v>404</v>
      </c>
    </row>
    <row r="31" spans="1:10">
      <c r="B31" s="168" t="s">
        <v>405</v>
      </c>
      <c r="G31" s="168" t="s">
        <v>406</v>
      </c>
      <c r="I31" s="168" t="s">
        <v>407</v>
      </c>
    </row>
    <row r="32" spans="1:10">
      <c r="B32" s="168" t="s">
        <v>408</v>
      </c>
      <c r="G32" s="168" t="s">
        <v>409</v>
      </c>
      <c r="I32" s="168"/>
    </row>
    <row r="33" spans="7:9">
      <c r="G33" s="168" t="s">
        <v>410</v>
      </c>
      <c r="I33" s="168"/>
    </row>
    <row r="34" spans="7:9">
      <c r="I34" s="168"/>
    </row>
  </sheetData>
  <mergeCells count="1">
    <mergeCell ref="A1:J1"/>
  </mergeCells>
  <printOptions horizontalCentered="1"/>
  <pageMargins left="0.5" right="0.25" top="1.34" bottom="1" header="0.79" footer="0.5"/>
  <pageSetup scale="89" orientation="landscape" r:id="rId1"/>
  <headerFooter alignWithMargins="0">
    <oddFooter>&amp;L&amp;F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L64"/>
  <sheetViews>
    <sheetView workbookViewId="0"/>
  </sheetViews>
  <sheetFormatPr defaultColWidth="10.6640625" defaultRowHeight="12.75"/>
  <cols>
    <col min="1" max="1" width="16" style="46" bestFit="1" customWidth="1"/>
    <col min="2" max="14" width="7.83203125" style="46" customWidth="1"/>
    <col min="15" max="15" width="7.6640625" style="46" customWidth="1"/>
    <col min="16" max="25" width="7.83203125" style="46" customWidth="1"/>
    <col min="26" max="26" width="10.6640625" style="46" customWidth="1"/>
    <col min="27" max="38" width="8.33203125" style="46" customWidth="1"/>
    <col min="39" max="39" width="3.83203125" style="46" customWidth="1"/>
    <col min="40" max="51" width="8.33203125" style="46" customWidth="1"/>
    <col min="52" max="52" width="3.83203125" style="46" customWidth="1"/>
    <col min="53" max="64" width="8.33203125" style="46" customWidth="1"/>
    <col min="65" max="16384" width="10.6640625" style="46"/>
  </cols>
  <sheetData>
    <row r="1" spans="1:64">
      <c r="A1" s="192" t="s">
        <v>2529</v>
      </c>
    </row>
    <row r="2" spans="1:64">
      <c r="A2" s="47" t="s">
        <v>2387</v>
      </c>
    </row>
    <row r="3" spans="1:64">
      <c r="A3" s="47" t="s">
        <v>2495</v>
      </c>
    </row>
    <row r="4" spans="1:64">
      <c r="A4" s="469" t="s">
        <v>2358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1:64">
      <c r="A5" s="47" t="s">
        <v>2359</v>
      </c>
      <c r="K5" s="48"/>
    </row>
    <row r="6" spans="1:64">
      <c r="A6" s="47" t="s">
        <v>159</v>
      </c>
      <c r="AA6" s="60" t="s">
        <v>186</v>
      </c>
      <c r="AN6" s="60" t="s">
        <v>187</v>
      </c>
      <c r="BA6" s="60" t="s">
        <v>188</v>
      </c>
    </row>
    <row r="7" spans="1:64">
      <c r="A7" s="47"/>
      <c r="B7" s="468">
        <v>43466</v>
      </c>
      <c r="C7" s="468"/>
      <c r="D7" s="49">
        <f>EOMONTH(B7,1)</f>
        <v>43524</v>
      </c>
      <c r="E7" s="50"/>
      <c r="F7" s="49">
        <f>EOMONTH(D7,1)</f>
        <v>43555</v>
      </c>
      <c r="G7" s="50"/>
      <c r="H7" s="49">
        <f>EOMONTH(F7,1)</f>
        <v>43585</v>
      </c>
      <c r="I7" s="50"/>
      <c r="J7" s="49">
        <f>EOMONTH(H7,1)</f>
        <v>43616</v>
      </c>
      <c r="K7" s="50"/>
      <c r="L7" s="49">
        <f>EOMONTH(J7,1)</f>
        <v>43646</v>
      </c>
      <c r="M7" s="50"/>
      <c r="N7" s="49">
        <f>EOMONTH(L7,1)</f>
        <v>43677</v>
      </c>
      <c r="O7" s="50"/>
      <c r="P7" s="49">
        <f>EOMONTH(N7,1)</f>
        <v>43708</v>
      </c>
      <c r="Q7" s="50"/>
      <c r="R7" s="49">
        <f>EOMONTH(P7,1)</f>
        <v>43738</v>
      </c>
      <c r="S7" s="50"/>
      <c r="T7" s="49">
        <f>EOMONTH(R7,1)</f>
        <v>43769</v>
      </c>
      <c r="U7" s="50"/>
      <c r="V7" s="49">
        <f>EOMONTH(T7,1)</f>
        <v>43799</v>
      </c>
      <c r="W7" s="50"/>
      <c r="X7" s="49">
        <f>EOMONTH(V7,1)</f>
        <v>43830</v>
      </c>
      <c r="Y7" s="50"/>
      <c r="AA7" s="187">
        <f>B7</f>
        <v>43466</v>
      </c>
      <c r="AB7" s="187">
        <f t="shared" ref="AB7:AL7" si="0">DATE(YEAR(AA7),MONTH(AA7)+1,DAY(AA7))</f>
        <v>43497</v>
      </c>
      <c r="AC7" s="187">
        <f t="shared" si="0"/>
        <v>43525</v>
      </c>
      <c r="AD7" s="187">
        <f t="shared" si="0"/>
        <v>43556</v>
      </c>
      <c r="AE7" s="187">
        <f t="shared" si="0"/>
        <v>43586</v>
      </c>
      <c r="AF7" s="187">
        <f t="shared" si="0"/>
        <v>43617</v>
      </c>
      <c r="AG7" s="187">
        <f t="shared" si="0"/>
        <v>43647</v>
      </c>
      <c r="AH7" s="187">
        <f t="shared" si="0"/>
        <v>43678</v>
      </c>
      <c r="AI7" s="187">
        <f t="shared" si="0"/>
        <v>43709</v>
      </c>
      <c r="AJ7" s="187">
        <f t="shared" si="0"/>
        <v>43739</v>
      </c>
      <c r="AK7" s="187">
        <f t="shared" si="0"/>
        <v>43770</v>
      </c>
      <c r="AL7" s="187">
        <f t="shared" si="0"/>
        <v>43800</v>
      </c>
      <c r="AM7"/>
      <c r="AN7" s="187">
        <f t="shared" ref="AN7:AY7" si="1">AA7</f>
        <v>43466</v>
      </c>
      <c r="AO7" s="187">
        <f t="shared" si="1"/>
        <v>43497</v>
      </c>
      <c r="AP7" s="187">
        <f t="shared" si="1"/>
        <v>43525</v>
      </c>
      <c r="AQ7" s="187">
        <f t="shared" si="1"/>
        <v>43556</v>
      </c>
      <c r="AR7" s="187">
        <f t="shared" si="1"/>
        <v>43586</v>
      </c>
      <c r="AS7" s="187">
        <f t="shared" si="1"/>
        <v>43617</v>
      </c>
      <c r="AT7" s="187">
        <f t="shared" si="1"/>
        <v>43647</v>
      </c>
      <c r="AU7" s="187">
        <f t="shared" si="1"/>
        <v>43678</v>
      </c>
      <c r="AV7" s="187">
        <f t="shared" si="1"/>
        <v>43709</v>
      </c>
      <c r="AW7" s="187">
        <f t="shared" si="1"/>
        <v>43739</v>
      </c>
      <c r="AX7" s="187">
        <f t="shared" si="1"/>
        <v>43770</v>
      </c>
      <c r="AY7" s="187">
        <f t="shared" si="1"/>
        <v>43800</v>
      </c>
      <c r="BA7" s="187">
        <f t="shared" ref="BA7:BL7" si="2">AA7</f>
        <v>43466</v>
      </c>
      <c r="BB7" s="187">
        <f t="shared" si="2"/>
        <v>43497</v>
      </c>
      <c r="BC7" s="187">
        <f t="shared" si="2"/>
        <v>43525</v>
      </c>
      <c r="BD7" s="187">
        <f t="shared" si="2"/>
        <v>43556</v>
      </c>
      <c r="BE7" s="187">
        <f t="shared" si="2"/>
        <v>43586</v>
      </c>
      <c r="BF7" s="187">
        <f t="shared" si="2"/>
        <v>43617</v>
      </c>
      <c r="BG7" s="187">
        <f t="shared" si="2"/>
        <v>43647</v>
      </c>
      <c r="BH7" s="187">
        <f t="shared" si="2"/>
        <v>43678</v>
      </c>
      <c r="BI7" s="187">
        <f t="shared" si="2"/>
        <v>43709</v>
      </c>
      <c r="BJ7" s="187">
        <f t="shared" si="2"/>
        <v>43739</v>
      </c>
      <c r="BK7" s="187">
        <f t="shared" si="2"/>
        <v>43770</v>
      </c>
      <c r="BL7" s="187">
        <f t="shared" si="2"/>
        <v>43800</v>
      </c>
    </row>
    <row r="8" spans="1:64">
      <c r="A8" s="51" t="s">
        <v>160</v>
      </c>
      <c r="B8" s="52" t="s">
        <v>161</v>
      </c>
      <c r="C8" s="52" t="s">
        <v>162</v>
      </c>
      <c r="D8" s="52" t="s">
        <v>161</v>
      </c>
      <c r="E8" s="52" t="s">
        <v>162</v>
      </c>
      <c r="F8" s="52" t="s">
        <v>161</v>
      </c>
      <c r="G8" s="52" t="s">
        <v>162</v>
      </c>
      <c r="H8" s="52" t="s">
        <v>161</v>
      </c>
      <c r="I8" s="52" t="s">
        <v>162</v>
      </c>
      <c r="J8" s="52" t="s">
        <v>161</v>
      </c>
      <c r="K8" s="52" t="s">
        <v>162</v>
      </c>
      <c r="L8" s="52" t="s">
        <v>161</v>
      </c>
      <c r="M8" s="52" t="s">
        <v>162</v>
      </c>
      <c r="N8" s="52" t="s">
        <v>161</v>
      </c>
      <c r="O8" s="52" t="s">
        <v>162</v>
      </c>
      <c r="P8" s="52" t="s">
        <v>161</v>
      </c>
      <c r="Q8" s="52" t="s">
        <v>162</v>
      </c>
      <c r="R8" s="52" t="s">
        <v>161</v>
      </c>
      <c r="S8" s="52" t="s">
        <v>162</v>
      </c>
      <c r="T8" s="52" t="s">
        <v>161</v>
      </c>
      <c r="U8" s="52" t="s">
        <v>162</v>
      </c>
      <c r="V8" s="52" t="s">
        <v>161</v>
      </c>
      <c r="W8" s="52" t="s">
        <v>162</v>
      </c>
      <c r="X8" s="52" t="s">
        <v>161</v>
      </c>
      <c r="Y8" s="52" t="s">
        <v>162</v>
      </c>
    </row>
    <row r="9" spans="1:64">
      <c r="A9" s="47">
        <v>1</v>
      </c>
      <c r="B9" s="184">
        <v>736</v>
      </c>
      <c r="C9" s="184">
        <v>1609</v>
      </c>
      <c r="D9" s="184">
        <v>715</v>
      </c>
      <c r="E9" s="184">
        <v>1651</v>
      </c>
      <c r="F9" s="184">
        <v>629</v>
      </c>
      <c r="G9" s="184">
        <v>1734</v>
      </c>
      <c r="H9" s="254">
        <v>628</v>
      </c>
      <c r="I9" s="254">
        <v>1919</v>
      </c>
      <c r="J9" s="254">
        <v>533</v>
      </c>
      <c r="K9" s="254">
        <v>2000</v>
      </c>
      <c r="L9" s="254">
        <v>456</v>
      </c>
      <c r="M9" s="254">
        <v>2038</v>
      </c>
      <c r="N9" s="254">
        <v>456</v>
      </c>
      <c r="O9" s="254">
        <v>2049</v>
      </c>
      <c r="P9" s="254">
        <v>527</v>
      </c>
      <c r="Q9" s="254">
        <v>2023</v>
      </c>
      <c r="R9" s="254">
        <v>608</v>
      </c>
      <c r="S9" s="254">
        <v>1929</v>
      </c>
      <c r="T9" s="254">
        <v>648</v>
      </c>
      <c r="U9" s="254">
        <v>1829</v>
      </c>
      <c r="V9" s="254">
        <v>732</v>
      </c>
      <c r="W9" s="254">
        <v>1732</v>
      </c>
      <c r="X9" s="184">
        <v>715</v>
      </c>
      <c r="Y9" s="184">
        <v>1600</v>
      </c>
      <c r="AA9" s="57">
        <f t="shared" ref="AA9:AA39" si="3">IF(B9=0,0,TIME(INT(B9/100),RIGHT(B9,2),0))</f>
        <v>0.31666666666666665</v>
      </c>
      <c r="AB9" s="57">
        <f t="shared" ref="AB9:AB39" si="4">IF(D9=0,0,TIME(INT(D9/100),RIGHT(D9,2),0))</f>
        <v>0.30208333333333331</v>
      </c>
      <c r="AC9" s="57">
        <f t="shared" ref="AC9:AC39" si="5">IF(F9=0,0,TIME(INT(F9/100),RIGHT(F9,2),0))</f>
        <v>0.27013888888888887</v>
      </c>
      <c r="AD9" s="57">
        <f t="shared" ref="AD9:AD39" si="6">IF(H9=0,0,TIME(INT(H9/100),RIGHT(H9,2),0))</f>
        <v>0.26944444444444443</v>
      </c>
      <c r="AE9" s="57">
        <f t="shared" ref="AE9:AE39" si="7">IF(J9=0,0,TIME(INT(J9/100),RIGHT(J9,2),0))</f>
        <v>0.23124999999999998</v>
      </c>
      <c r="AF9" s="57">
        <f t="shared" ref="AF9:AF39" si="8">IF(L9=0,0,TIME(INT(L9/100),RIGHT(L9,2),0))</f>
        <v>0.20555555555555557</v>
      </c>
      <c r="AG9" s="57">
        <f t="shared" ref="AG9:AG39" si="9">IF(N9=0,0,TIME(INT(N9/100),RIGHT(N9,2),0))</f>
        <v>0.20555555555555557</v>
      </c>
      <c r="AH9" s="57">
        <f t="shared" ref="AH9:AH39" si="10">IF(P9=0,0,TIME(INT(P9/100),RIGHT(P9,2),0))</f>
        <v>0.22708333333333333</v>
      </c>
      <c r="AI9" s="57">
        <f t="shared" ref="AI9:AI39" si="11">IF(R9=0,0,TIME(INT(R9/100),RIGHT(R9,2),0))</f>
        <v>0.25555555555555559</v>
      </c>
      <c r="AJ9" s="57">
        <f t="shared" ref="AJ9:AJ39" si="12">IF(T9=0,0,TIME(INT(T9/100),RIGHT(T9,2),0))</f>
        <v>0.28333333333333333</v>
      </c>
      <c r="AK9" s="57">
        <f t="shared" ref="AK9:AK39" si="13">IF(V9=0,0,TIME(INT(V9/100),RIGHT(V9,2),0))</f>
        <v>0.31388888888888888</v>
      </c>
      <c r="AL9" s="57">
        <f t="shared" ref="AL9:AL39" si="14">IF(X9=0,0,TIME(INT(X9/100),RIGHT(X9,2),0))</f>
        <v>0.30208333333333331</v>
      </c>
      <c r="AM9" s="57"/>
      <c r="AN9" s="57">
        <f t="shared" ref="AN9:AN39" si="15">IF(C9=0,0,TIME(INT(C9/100),RIGHT(C9,2),0))</f>
        <v>0.67291666666666661</v>
      </c>
      <c r="AO9" s="57">
        <f t="shared" ref="AO9:AO39" si="16">IF(E9=0,0,TIME(INT(E9/100),RIGHT(E9,2),0))</f>
        <v>0.70208333333333339</v>
      </c>
      <c r="AP9" s="57">
        <f t="shared" ref="AP9:AP39" si="17">IF(G9=0,0,TIME(INT(G9/100),RIGHT(G9,2),0))</f>
        <v>0.7319444444444444</v>
      </c>
      <c r="AQ9" s="57">
        <f t="shared" ref="AQ9:AQ39" si="18">IF(I9=0,0,TIME(INT(I9/100),RIGHT(I9,2),0))</f>
        <v>0.80486111111111114</v>
      </c>
      <c r="AR9" s="57">
        <f t="shared" ref="AR9:AR39" si="19">IF(K9=0,0,TIME(INT(K9/100),RIGHT(K9,2),0))</f>
        <v>0.83333333333333337</v>
      </c>
      <c r="AS9" s="57">
        <f t="shared" ref="AS9:AS39" si="20">IF(M9=0,0,TIME(INT(M9/100),RIGHT(M9,2),0))</f>
        <v>0.85972222222222217</v>
      </c>
      <c r="AT9" s="57">
        <f t="shared" ref="AT9:AT39" si="21">IF(O9=0,0,TIME(INT(O9/100),RIGHT(O9,2),0))</f>
        <v>0.86736111111111114</v>
      </c>
      <c r="AU9" s="57">
        <f t="shared" ref="AU9:AU39" si="22">IF(Q9=0,0,TIME(INT(Q9/100),RIGHT(Q9,2),0))</f>
        <v>0.84930555555555554</v>
      </c>
      <c r="AV9" s="57">
        <f t="shared" ref="AV9:AV39" si="23">IF(S9=0,0,TIME(INT(S9/100),RIGHT(S9,2),0))</f>
        <v>0.81180555555555556</v>
      </c>
      <c r="AW9" s="57">
        <f t="shared" ref="AW9:AW39" si="24">IF(U9=0,0,TIME(INT(U9/100),RIGHT(U9,2),0))</f>
        <v>0.77013888888888893</v>
      </c>
      <c r="AX9" s="57">
        <f t="shared" ref="AX9:AX39" si="25">IF(W9=0,0,TIME(INT(W9/100),RIGHT(W9,2),0))</f>
        <v>0.73055555555555562</v>
      </c>
      <c r="AY9" s="57">
        <f t="shared" ref="AY9:AY39" si="26">IF(Y9=0,0,TIME(INT(Y9/100),RIGHT(Y9,2),0))</f>
        <v>0.66666666666666663</v>
      </c>
      <c r="BA9" s="57">
        <f t="shared" ref="BA9:BL30" si="27">AN9-AA9</f>
        <v>0.35624999999999996</v>
      </c>
      <c r="BB9" s="57">
        <f t="shared" si="27"/>
        <v>0.40000000000000008</v>
      </c>
      <c r="BC9" s="57">
        <f t="shared" si="27"/>
        <v>0.46180555555555552</v>
      </c>
      <c r="BD9" s="57">
        <f t="shared" si="27"/>
        <v>0.53541666666666665</v>
      </c>
      <c r="BE9" s="57">
        <f t="shared" si="27"/>
        <v>0.60208333333333341</v>
      </c>
      <c r="BF9" s="57">
        <f t="shared" si="27"/>
        <v>0.65416666666666656</v>
      </c>
      <c r="BG9" s="57">
        <f t="shared" si="27"/>
        <v>0.66180555555555554</v>
      </c>
      <c r="BH9" s="57">
        <f t="shared" si="27"/>
        <v>0.62222222222222223</v>
      </c>
      <c r="BI9" s="57">
        <f t="shared" si="27"/>
        <v>0.55624999999999991</v>
      </c>
      <c r="BJ9" s="57">
        <f t="shared" si="27"/>
        <v>0.4868055555555556</v>
      </c>
      <c r="BK9" s="57">
        <f t="shared" si="27"/>
        <v>0.41666666666666674</v>
      </c>
      <c r="BL9" s="57">
        <f t="shared" si="27"/>
        <v>0.36458333333333331</v>
      </c>
    </row>
    <row r="10" spans="1:64">
      <c r="A10" s="47">
        <v>2</v>
      </c>
      <c r="B10" s="184">
        <v>736</v>
      </c>
      <c r="C10" s="184">
        <v>1610</v>
      </c>
      <c r="D10" s="184">
        <v>714</v>
      </c>
      <c r="E10" s="184">
        <v>1652</v>
      </c>
      <c r="F10" s="184">
        <v>628</v>
      </c>
      <c r="G10" s="184">
        <v>1735</v>
      </c>
      <c r="H10" s="254">
        <v>626</v>
      </c>
      <c r="I10" s="254">
        <v>1920</v>
      </c>
      <c r="J10" s="254">
        <v>531</v>
      </c>
      <c r="K10" s="254">
        <v>2002</v>
      </c>
      <c r="L10" s="254">
        <v>456</v>
      </c>
      <c r="M10" s="254">
        <v>2039</v>
      </c>
      <c r="N10" s="254">
        <v>457</v>
      </c>
      <c r="O10" s="254">
        <v>2049</v>
      </c>
      <c r="P10" s="254">
        <v>528</v>
      </c>
      <c r="Q10" s="254">
        <v>2021</v>
      </c>
      <c r="R10" s="254">
        <v>609</v>
      </c>
      <c r="S10" s="254">
        <v>1927</v>
      </c>
      <c r="T10" s="254">
        <v>649</v>
      </c>
      <c r="U10" s="254">
        <v>1827</v>
      </c>
      <c r="V10" s="254">
        <v>734</v>
      </c>
      <c r="W10" s="254">
        <v>1731</v>
      </c>
      <c r="X10" s="184">
        <v>717</v>
      </c>
      <c r="Y10" s="184">
        <v>1600</v>
      </c>
      <c r="AA10" s="57">
        <f t="shared" si="3"/>
        <v>0.31666666666666665</v>
      </c>
      <c r="AB10" s="57">
        <f t="shared" si="4"/>
        <v>0.30138888888888887</v>
      </c>
      <c r="AC10" s="57">
        <f t="shared" si="5"/>
        <v>0.26944444444444443</v>
      </c>
      <c r="AD10" s="57">
        <f t="shared" si="6"/>
        <v>0.26805555555555555</v>
      </c>
      <c r="AE10" s="57">
        <f t="shared" si="7"/>
        <v>0.2298611111111111</v>
      </c>
      <c r="AF10" s="57">
        <f t="shared" si="8"/>
        <v>0.20555555555555557</v>
      </c>
      <c r="AG10" s="57">
        <f t="shared" si="9"/>
        <v>0.20625000000000002</v>
      </c>
      <c r="AH10" s="57">
        <f t="shared" si="10"/>
        <v>0.22777777777777777</v>
      </c>
      <c r="AI10" s="57">
        <f t="shared" si="11"/>
        <v>0.25625000000000003</v>
      </c>
      <c r="AJ10" s="57">
        <f t="shared" si="12"/>
        <v>0.28402777777777777</v>
      </c>
      <c r="AK10" s="57">
        <f t="shared" si="13"/>
        <v>0.31527777777777777</v>
      </c>
      <c r="AL10" s="57">
        <f t="shared" si="14"/>
        <v>0.3034722222222222</v>
      </c>
      <c r="AM10" s="57"/>
      <c r="AN10" s="57">
        <f t="shared" si="15"/>
        <v>0.67361111111111116</v>
      </c>
      <c r="AO10" s="57">
        <f t="shared" si="16"/>
        <v>0.70277777777777783</v>
      </c>
      <c r="AP10" s="57">
        <f t="shared" si="17"/>
        <v>0.73263888888888884</v>
      </c>
      <c r="AQ10" s="57">
        <f t="shared" si="18"/>
        <v>0.80555555555555547</v>
      </c>
      <c r="AR10" s="57">
        <f t="shared" si="19"/>
        <v>0.83472222222222225</v>
      </c>
      <c r="AS10" s="57">
        <f t="shared" si="20"/>
        <v>0.86041666666666661</v>
      </c>
      <c r="AT10" s="57">
        <f t="shared" si="21"/>
        <v>0.86736111111111114</v>
      </c>
      <c r="AU10" s="57">
        <f t="shared" si="22"/>
        <v>0.84791666666666676</v>
      </c>
      <c r="AV10" s="57">
        <f t="shared" si="23"/>
        <v>0.81041666666666667</v>
      </c>
      <c r="AW10" s="57">
        <f t="shared" si="24"/>
        <v>0.76874999999999993</v>
      </c>
      <c r="AX10" s="57">
        <f t="shared" si="25"/>
        <v>0.72986111111111107</v>
      </c>
      <c r="AY10" s="57">
        <f t="shared" si="26"/>
        <v>0.66666666666666663</v>
      </c>
      <c r="BA10" s="57">
        <f t="shared" si="27"/>
        <v>0.35694444444444451</v>
      </c>
      <c r="BB10" s="57">
        <f t="shared" si="27"/>
        <v>0.40138888888888896</v>
      </c>
      <c r="BC10" s="57">
        <f t="shared" si="27"/>
        <v>0.46319444444444441</v>
      </c>
      <c r="BD10" s="57">
        <f t="shared" si="27"/>
        <v>0.53749999999999987</v>
      </c>
      <c r="BE10" s="57">
        <f t="shared" si="27"/>
        <v>0.60486111111111118</v>
      </c>
      <c r="BF10" s="57">
        <f t="shared" si="27"/>
        <v>0.65486111111111101</v>
      </c>
      <c r="BG10" s="57">
        <f t="shared" si="27"/>
        <v>0.66111111111111109</v>
      </c>
      <c r="BH10" s="57">
        <f t="shared" si="27"/>
        <v>0.62013888888888902</v>
      </c>
      <c r="BI10" s="57">
        <f t="shared" si="27"/>
        <v>0.5541666666666667</v>
      </c>
      <c r="BJ10" s="57">
        <f t="shared" si="27"/>
        <v>0.48472222222222217</v>
      </c>
      <c r="BK10" s="57">
        <f t="shared" si="27"/>
        <v>0.4145833333333333</v>
      </c>
      <c r="BL10" s="57">
        <f t="shared" si="27"/>
        <v>0.36319444444444443</v>
      </c>
    </row>
    <row r="11" spans="1:64">
      <c r="A11" s="47">
        <v>3</v>
      </c>
      <c r="B11" s="184">
        <v>736</v>
      </c>
      <c r="C11" s="184">
        <v>1611</v>
      </c>
      <c r="D11" s="184">
        <v>712</v>
      </c>
      <c r="E11" s="184">
        <v>1654</v>
      </c>
      <c r="F11" s="184">
        <v>626</v>
      </c>
      <c r="G11" s="184">
        <v>1737</v>
      </c>
      <c r="H11" s="254">
        <v>624</v>
      </c>
      <c r="I11" s="254">
        <v>1921</v>
      </c>
      <c r="J11" s="254">
        <v>529</v>
      </c>
      <c r="K11" s="254">
        <v>2003</v>
      </c>
      <c r="L11" s="254">
        <v>455</v>
      </c>
      <c r="M11" s="254">
        <v>2040</v>
      </c>
      <c r="N11" s="254">
        <v>457</v>
      </c>
      <c r="O11" s="254">
        <v>2049</v>
      </c>
      <c r="P11" s="254">
        <v>529</v>
      </c>
      <c r="Q11" s="254">
        <v>2020</v>
      </c>
      <c r="R11" s="254">
        <v>610</v>
      </c>
      <c r="S11" s="254">
        <v>1925</v>
      </c>
      <c r="T11" s="254">
        <v>651</v>
      </c>
      <c r="U11" s="254">
        <v>1825</v>
      </c>
      <c r="V11" s="405">
        <v>635</v>
      </c>
      <c r="W11" s="405">
        <v>1629</v>
      </c>
      <c r="X11" s="184">
        <v>718</v>
      </c>
      <c r="Y11" s="184">
        <v>1600</v>
      </c>
      <c r="AA11" s="57">
        <f t="shared" si="3"/>
        <v>0.31666666666666665</v>
      </c>
      <c r="AB11" s="57">
        <f t="shared" si="4"/>
        <v>0.3</v>
      </c>
      <c r="AC11" s="57">
        <f t="shared" si="5"/>
        <v>0.26805555555555555</v>
      </c>
      <c r="AD11" s="57">
        <f t="shared" si="6"/>
        <v>0.26666666666666666</v>
      </c>
      <c r="AE11" s="57">
        <f t="shared" si="7"/>
        <v>0.22847222222222222</v>
      </c>
      <c r="AF11" s="57">
        <f t="shared" si="8"/>
        <v>0.20486111111111113</v>
      </c>
      <c r="AG11" s="57">
        <f t="shared" si="9"/>
        <v>0.20625000000000002</v>
      </c>
      <c r="AH11" s="57">
        <f t="shared" si="10"/>
        <v>0.22847222222222222</v>
      </c>
      <c r="AI11" s="57">
        <f t="shared" si="11"/>
        <v>0.25694444444444448</v>
      </c>
      <c r="AJ11" s="57">
        <f t="shared" si="12"/>
        <v>0.28541666666666665</v>
      </c>
      <c r="AK11" s="57">
        <f t="shared" si="13"/>
        <v>0.27430555555555552</v>
      </c>
      <c r="AL11" s="57">
        <f t="shared" si="14"/>
        <v>0.30416666666666664</v>
      </c>
      <c r="AM11" s="57"/>
      <c r="AN11" s="57">
        <f t="shared" si="15"/>
        <v>0.6743055555555556</v>
      </c>
      <c r="AO11" s="57">
        <f t="shared" si="16"/>
        <v>0.70416666666666661</v>
      </c>
      <c r="AP11" s="57">
        <f t="shared" si="17"/>
        <v>0.73402777777777783</v>
      </c>
      <c r="AQ11" s="57">
        <f t="shared" si="18"/>
        <v>0.80625000000000002</v>
      </c>
      <c r="AR11" s="57">
        <f t="shared" si="19"/>
        <v>0.8354166666666667</v>
      </c>
      <c r="AS11" s="57">
        <f t="shared" si="20"/>
        <v>0.86111111111111116</v>
      </c>
      <c r="AT11" s="57">
        <f t="shared" si="21"/>
        <v>0.86736111111111114</v>
      </c>
      <c r="AU11" s="57">
        <f t="shared" si="22"/>
        <v>0.84722222222222221</v>
      </c>
      <c r="AV11" s="57">
        <f t="shared" si="23"/>
        <v>0.80902777777777779</v>
      </c>
      <c r="AW11" s="57">
        <f t="shared" si="24"/>
        <v>0.76736111111111116</v>
      </c>
      <c r="AX11" s="57">
        <f t="shared" si="25"/>
        <v>0.68680555555555556</v>
      </c>
      <c r="AY11" s="57">
        <f t="shared" si="26"/>
        <v>0.66666666666666663</v>
      </c>
      <c r="BA11" s="57">
        <f t="shared" si="27"/>
        <v>0.35763888888888895</v>
      </c>
      <c r="BB11" s="57">
        <f t="shared" si="27"/>
        <v>0.40416666666666662</v>
      </c>
      <c r="BC11" s="57">
        <f t="shared" si="27"/>
        <v>0.46597222222222229</v>
      </c>
      <c r="BD11" s="57">
        <f t="shared" si="27"/>
        <v>0.5395833333333333</v>
      </c>
      <c r="BE11" s="57">
        <f t="shared" si="27"/>
        <v>0.60694444444444451</v>
      </c>
      <c r="BF11" s="57">
        <f t="shared" si="27"/>
        <v>0.65625</v>
      </c>
      <c r="BG11" s="57">
        <f t="shared" si="27"/>
        <v>0.66111111111111109</v>
      </c>
      <c r="BH11" s="57">
        <f t="shared" si="27"/>
        <v>0.61875000000000002</v>
      </c>
      <c r="BI11" s="57">
        <f t="shared" si="27"/>
        <v>0.55208333333333326</v>
      </c>
      <c r="BJ11" s="57">
        <f t="shared" si="27"/>
        <v>0.48194444444444451</v>
      </c>
      <c r="BK11" s="57">
        <f t="shared" si="27"/>
        <v>0.41250000000000003</v>
      </c>
      <c r="BL11" s="57">
        <f t="shared" si="27"/>
        <v>0.36249999999999999</v>
      </c>
    </row>
    <row r="12" spans="1:64">
      <c r="A12" s="47">
        <v>4</v>
      </c>
      <c r="B12" s="184">
        <v>736</v>
      </c>
      <c r="C12" s="184">
        <v>1612</v>
      </c>
      <c r="D12" s="184">
        <v>711</v>
      </c>
      <c r="E12" s="184">
        <v>1655</v>
      </c>
      <c r="F12" s="184">
        <v>624</v>
      </c>
      <c r="G12" s="184">
        <v>1738</v>
      </c>
      <c r="H12" s="254">
        <v>622</v>
      </c>
      <c r="I12" s="254">
        <v>1923</v>
      </c>
      <c r="J12" s="254">
        <v>528</v>
      </c>
      <c r="K12" s="254">
        <v>2005</v>
      </c>
      <c r="L12" s="254">
        <v>455</v>
      </c>
      <c r="M12" s="254">
        <v>2041</v>
      </c>
      <c r="N12" s="254">
        <v>458</v>
      </c>
      <c r="O12" s="254">
        <v>2048</v>
      </c>
      <c r="P12" s="254">
        <v>531</v>
      </c>
      <c r="Q12" s="254">
        <v>2019</v>
      </c>
      <c r="R12" s="254">
        <v>612</v>
      </c>
      <c r="S12" s="254">
        <v>1923</v>
      </c>
      <c r="T12" s="254">
        <v>652</v>
      </c>
      <c r="U12" s="254">
        <v>1823</v>
      </c>
      <c r="V12" s="184">
        <v>637</v>
      </c>
      <c r="W12" s="184">
        <v>1628</v>
      </c>
      <c r="X12" s="184">
        <v>719</v>
      </c>
      <c r="Y12" s="184">
        <v>1559</v>
      </c>
      <c r="AA12" s="57">
        <f t="shared" si="3"/>
        <v>0.31666666666666665</v>
      </c>
      <c r="AB12" s="57">
        <f t="shared" si="4"/>
        <v>0.29930555555555555</v>
      </c>
      <c r="AC12" s="57">
        <f t="shared" si="5"/>
        <v>0.26666666666666666</v>
      </c>
      <c r="AD12" s="57">
        <f t="shared" si="6"/>
        <v>0.26527777777777778</v>
      </c>
      <c r="AE12" s="57">
        <f t="shared" si="7"/>
        <v>0.22777777777777777</v>
      </c>
      <c r="AF12" s="57">
        <f t="shared" si="8"/>
        <v>0.20486111111111113</v>
      </c>
      <c r="AG12" s="57">
        <f t="shared" si="9"/>
        <v>0.20694444444444446</v>
      </c>
      <c r="AH12" s="57">
        <f t="shared" si="10"/>
        <v>0.2298611111111111</v>
      </c>
      <c r="AI12" s="57">
        <f t="shared" si="11"/>
        <v>0.25833333333333336</v>
      </c>
      <c r="AJ12" s="57">
        <f t="shared" si="12"/>
        <v>0.28611111111111115</v>
      </c>
      <c r="AK12" s="57">
        <f t="shared" si="13"/>
        <v>0.27569444444444446</v>
      </c>
      <c r="AL12" s="57">
        <f t="shared" si="14"/>
        <v>0.30486111111111108</v>
      </c>
      <c r="AM12" s="57"/>
      <c r="AN12" s="57">
        <f t="shared" si="15"/>
        <v>0.67499999999999993</v>
      </c>
      <c r="AO12" s="57">
        <f t="shared" si="16"/>
        <v>0.70486111111111116</v>
      </c>
      <c r="AP12" s="57">
        <f t="shared" si="17"/>
        <v>0.73472222222222217</v>
      </c>
      <c r="AQ12" s="57">
        <f t="shared" si="18"/>
        <v>0.80763888888888891</v>
      </c>
      <c r="AR12" s="57">
        <f t="shared" si="19"/>
        <v>0.83680555555555547</v>
      </c>
      <c r="AS12" s="57">
        <f t="shared" si="20"/>
        <v>0.8618055555555556</v>
      </c>
      <c r="AT12" s="57">
        <f t="shared" si="21"/>
        <v>0.8666666666666667</v>
      </c>
      <c r="AU12" s="57">
        <f t="shared" si="22"/>
        <v>0.84652777777777777</v>
      </c>
      <c r="AV12" s="57">
        <f t="shared" si="23"/>
        <v>0.80763888888888891</v>
      </c>
      <c r="AW12" s="57">
        <f t="shared" si="24"/>
        <v>0.76597222222222217</v>
      </c>
      <c r="AX12" s="57">
        <f t="shared" si="25"/>
        <v>0.68611111111111101</v>
      </c>
      <c r="AY12" s="57">
        <f t="shared" si="26"/>
        <v>0.66597222222222219</v>
      </c>
      <c r="BA12" s="57">
        <f t="shared" si="27"/>
        <v>0.35833333333333328</v>
      </c>
      <c r="BB12" s="57">
        <f t="shared" si="27"/>
        <v>0.40555555555555561</v>
      </c>
      <c r="BC12" s="57">
        <f t="shared" si="27"/>
        <v>0.4680555555555555</v>
      </c>
      <c r="BD12" s="57">
        <f t="shared" si="27"/>
        <v>0.54236111111111107</v>
      </c>
      <c r="BE12" s="57">
        <f t="shared" si="27"/>
        <v>0.60902777777777772</v>
      </c>
      <c r="BF12" s="57">
        <f t="shared" si="27"/>
        <v>0.65694444444444444</v>
      </c>
      <c r="BG12" s="57">
        <f t="shared" si="27"/>
        <v>0.65972222222222221</v>
      </c>
      <c r="BH12" s="57">
        <f t="shared" si="27"/>
        <v>0.6166666666666667</v>
      </c>
      <c r="BI12" s="57">
        <f t="shared" si="27"/>
        <v>0.54930555555555549</v>
      </c>
      <c r="BJ12" s="57">
        <f t="shared" si="27"/>
        <v>0.47986111111111102</v>
      </c>
      <c r="BK12" s="57">
        <f t="shared" si="27"/>
        <v>0.41041666666666654</v>
      </c>
      <c r="BL12" s="57">
        <f t="shared" si="27"/>
        <v>0.3611111111111111</v>
      </c>
    </row>
    <row r="13" spans="1:64">
      <c r="A13" s="47">
        <v>5</v>
      </c>
      <c r="B13" s="184">
        <v>736</v>
      </c>
      <c r="C13" s="184">
        <v>1613</v>
      </c>
      <c r="D13" s="184">
        <v>710</v>
      </c>
      <c r="E13" s="184">
        <v>1657</v>
      </c>
      <c r="F13" s="184">
        <v>622</v>
      </c>
      <c r="G13" s="184">
        <v>1740</v>
      </c>
      <c r="H13" s="254">
        <v>620</v>
      </c>
      <c r="I13" s="254">
        <v>1924</v>
      </c>
      <c r="J13" s="254">
        <v>526</v>
      </c>
      <c r="K13" s="254">
        <v>2006</v>
      </c>
      <c r="L13" s="254">
        <v>454</v>
      </c>
      <c r="M13" s="254">
        <v>2041</v>
      </c>
      <c r="N13" s="254">
        <v>459</v>
      </c>
      <c r="O13" s="254">
        <v>2048</v>
      </c>
      <c r="P13" s="254">
        <v>532</v>
      </c>
      <c r="Q13" s="254">
        <v>2017</v>
      </c>
      <c r="R13" s="254">
        <v>613</v>
      </c>
      <c r="S13" s="254">
        <v>1921</v>
      </c>
      <c r="T13" s="254">
        <v>653</v>
      </c>
      <c r="U13" s="254">
        <v>1821</v>
      </c>
      <c r="V13" s="184">
        <v>638</v>
      </c>
      <c r="W13" s="184">
        <v>1626</v>
      </c>
      <c r="X13" s="184">
        <v>720</v>
      </c>
      <c r="Y13" s="184">
        <v>1559</v>
      </c>
      <c r="AA13" s="57">
        <f t="shared" si="3"/>
        <v>0.31666666666666665</v>
      </c>
      <c r="AB13" s="57">
        <f t="shared" si="4"/>
        <v>0.2986111111111111</v>
      </c>
      <c r="AC13" s="57">
        <f t="shared" si="5"/>
        <v>0.26527777777777778</v>
      </c>
      <c r="AD13" s="57">
        <f t="shared" si="6"/>
        <v>0.2638888888888889</v>
      </c>
      <c r="AE13" s="57">
        <f t="shared" si="7"/>
        <v>0.22638888888888889</v>
      </c>
      <c r="AF13" s="57">
        <f t="shared" si="8"/>
        <v>0.20416666666666669</v>
      </c>
      <c r="AG13" s="57">
        <f t="shared" si="9"/>
        <v>0.2076388888888889</v>
      </c>
      <c r="AH13" s="57">
        <f t="shared" si="10"/>
        <v>0.23055555555555554</v>
      </c>
      <c r="AI13" s="57">
        <f t="shared" si="11"/>
        <v>0.2590277777777778</v>
      </c>
      <c r="AJ13" s="57">
        <f t="shared" si="12"/>
        <v>0.28680555555555554</v>
      </c>
      <c r="AK13" s="57">
        <f t="shared" si="13"/>
        <v>0.27638888888888885</v>
      </c>
      <c r="AL13" s="57">
        <f t="shared" si="14"/>
        <v>0.30555555555555552</v>
      </c>
      <c r="AM13" s="57"/>
      <c r="AN13" s="57">
        <f t="shared" si="15"/>
        <v>0.67569444444444438</v>
      </c>
      <c r="AO13" s="57">
        <f t="shared" si="16"/>
        <v>0.70624999999999993</v>
      </c>
      <c r="AP13" s="57">
        <f t="shared" si="17"/>
        <v>0.73611111111111116</v>
      </c>
      <c r="AQ13" s="57">
        <f t="shared" si="18"/>
        <v>0.80833333333333324</v>
      </c>
      <c r="AR13" s="57">
        <f t="shared" si="19"/>
        <v>0.83750000000000002</v>
      </c>
      <c r="AS13" s="57">
        <f t="shared" si="20"/>
        <v>0.8618055555555556</v>
      </c>
      <c r="AT13" s="57">
        <f t="shared" si="21"/>
        <v>0.8666666666666667</v>
      </c>
      <c r="AU13" s="57">
        <f t="shared" si="22"/>
        <v>0.84513888888888899</v>
      </c>
      <c r="AV13" s="57">
        <f t="shared" si="23"/>
        <v>0.80625000000000002</v>
      </c>
      <c r="AW13" s="57">
        <f t="shared" si="24"/>
        <v>0.76458333333333339</v>
      </c>
      <c r="AX13" s="57">
        <f t="shared" si="25"/>
        <v>0.68472222222222223</v>
      </c>
      <c r="AY13" s="57">
        <f t="shared" si="26"/>
        <v>0.66597222222222219</v>
      </c>
      <c r="BA13" s="57">
        <f t="shared" si="27"/>
        <v>0.35902777777777772</v>
      </c>
      <c r="BB13" s="57">
        <f t="shared" si="27"/>
        <v>0.40763888888888883</v>
      </c>
      <c r="BC13" s="57">
        <f t="shared" si="27"/>
        <v>0.47083333333333338</v>
      </c>
      <c r="BD13" s="57">
        <f t="shared" si="27"/>
        <v>0.54444444444444429</v>
      </c>
      <c r="BE13" s="57">
        <f t="shared" si="27"/>
        <v>0.61111111111111116</v>
      </c>
      <c r="BF13" s="57">
        <f t="shared" si="27"/>
        <v>0.65763888888888888</v>
      </c>
      <c r="BG13" s="57">
        <f t="shared" si="27"/>
        <v>0.65902777777777777</v>
      </c>
      <c r="BH13" s="57">
        <f t="shared" si="27"/>
        <v>0.61458333333333348</v>
      </c>
      <c r="BI13" s="57">
        <f t="shared" si="27"/>
        <v>0.54722222222222228</v>
      </c>
      <c r="BJ13" s="57">
        <f t="shared" si="27"/>
        <v>0.47777777777777786</v>
      </c>
      <c r="BK13" s="57">
        <f t="shared" si="27"/>
        <v>0.40833333333333338</v>
      </c>
      <c r="BL13" s="57">
        <f t="shared" si="27"/>
        <v>0.36041666666666666</v>
      </c>
    </row>
    <row r="14" spans="1:64">
      <c r="A14" s="47">
        <v>6</v>
      </c>
      <c r="B14" s="184">
        <v>736</v>
      </c>
      <c r="C14" s="184">
        <v>1614</v>
      </c>
      <c r="D14" s="184">
        <v>708</v>
      </c>
      <c r="E14" s="184">
        <v>1658</v>
      </c>
      <c r="F14" s="184">
        <v>620</v>
      </c>
      <c r="G14" s="184">
        <v>1741</v>
      </c>
      <c r="H14" s="254">
        <v>618</v>
      </c>
      <c r="I14" s="254">
        <v>1926</v>
      </c>
      <c r="J14" s="254">
        <v>525</v>
      </c>
      <c r="K14" s="254">
        <v>2007</v>
      </c>
      <c r="L14" s="254">
        <v>454</v>
      </c>
      <c r="M14" s="254">
        <v>2042</v>
      </c>
      <c r="N14" s="254">
        <v>500</v>
      </c>
      <c r="O14" s="254">
        <v>2048</v>
      </c>
      <c r="P14" s="254">
        <v>533</v>
      </c>
      <c r="Q14" s="254">
        <v>2016</v>
      </c>
      <c r="R14" s="254">
        <v>614</v>
      </c>
      <c r="S14" s="254">
        <v>1919</v>
      </c>
      <c r="T14" s="254">
        <v>655</v>
      </c>
      <c r="U14" s="254">
        <v>1819</v>
      </c>
      <c r="V14" s="184">
        <v>640</v>
      </c>
      <c r="W14" s="184">
        <v>1625</v>
      </c>
      <c r="X14" s="184">
        <v>721</v>
      </c>
      <c r="Y14" s="184">
        <v>1559</v>
      </c>
      <c r="AA14" s="57">
        <f t="shared" si="3"/>
        <v>0.31666666666666665</v>
      </c>
      <c r="AB14" s="57">
        <f t="shared" si="4"/>
        <v>0.29722222222222222</v>
      </c>
      <c r="AC14" s="57">
        <f t="shared" si="5"/>
        <v>0.2638888888888889</v>
      </c>
      <c r="AD14" s="57">
        <f t="shared" si="6"/>
        <v>0.26250000000000001</v>
      </c>
      <c r="AE14" s="57">
        <f t="shared" si="7"/>
        <v>0.22569444444444445</v>
      </c>
      <c r="AF14" s="57">
        <f t="shared" si="8"/>
        <v>0.20416666666666669</v>
      </c>
      <c r="AG14" s="57">
        <f t="shared" si="9"/>
        <v>0.20833333333333334</v>
      </c>
      <c r="AH14" s="57">
        <f t="shared" si="10"/>
        <v>0.23124999999999998</v>
      </c>
      <c r="AI14" s="57">
        <f t="shared" si="11"/>
        <v>0.25972222222222224</v>
      </c>
      <c r="AJ14" s="57">
        <f t="shared" si="12"/>
        <v>0.28819444444444448</v>
      </c>
      <c r="AK14" s="57">
        <f t="shared" si="13"/>
        <v>0.27777777777777779</v>
      </c>
      <c r="AL14" s="57">
        <f t="shared" si="14"/>
        <v>0.30624999999999997</v>
      </c>
      <c r="AM14" s="57"/>
      <c r="AN14" s="57">
        <f t="shared" si="15"/>
        <v>0.67638888888888893</v>
      </c>
      <c r="AO14" s="57">
        <f t="shared" si="16"/>
        <v>0.70694444444444438</v>
      </c>
      <c r="AP14" s="57">
        <f t="shared" si="17"/>
        <v>0.7368055555555556</v>
      </c>
      <c r="AQ14" s="57">
        <f t="shared" si="18"/>
        <v>0.80972222222222223</v>
      </c>
      <c r="AR14" s="57">
        <f t="shared" si="19"/>
        <v>0.83819444444444446</v>
      </c>
      <c r="AS14" s="57">
        <f t="shared" si="20"/>
        <v>0.86249999999999993</v>
      </c>
      <c r="AT14" s="57">
        <f t="shared" si="21"/>
        <v>0.8666666666666667</v>
      </c>
      <c r="AU14" s="57">
        <f t="shared" si="22"/>
        <v>0.84444444444444444</v>
      </c>
      <c r="AV14" s="57">
        <f t="shared" si="23"/>
        <v>0.80486111111111114</v>
      </c>
      <c r="AW14" s="57">
        <f t="shared" si="24"/>
        <v>0.7631944444444444</v>
      </c>
      <c r="AX14" s="57">
        <f t="shared" si="25"/>
        <v>0.68402777777777779</v>
      </c>
      <c r="AY14" s="57">
        <f t="shared" si="26"/>
        <v>0.66597222222222219</v>
      </c>
      <c r="BA14" s="57">
        <f t="shared" si="27"/>
        <v>0.35972222222222228</v>
      </c>
      <c r="BB14" s="57">
        <f t="shared" si="27"/>
        <v>0.40972222222222215</v>
      </c>
      <c r="BC14" s="57">
        <f t="shared" si="27"/>
        <v>0.47291666666666671</v>
      </c>
      <c r="BD14" s="57">
        <f t="shared" si="27"/>
        <v>0.54722222222222228</v>
      </c>
      <c r="BE14" s="57">
        <f t="shared" si="27"/>
        <v>0.61250000000000004</v>
      </c>
      <c r="BF14" s="57">
        <f t="shared" si="27"/>
        <v>0.65833333333333321</v>
      </c>
      <c r="BG14" s="57">
        <f t="shared" si="27"/>
        <v>0.65833333333333333</v>
      </c>
      <c r="BH14" s="57">
        <f t="shared" si="27"/>
        <v>0.61319444444444449</v>
      </c>
      <c r="BI14" s="57">
        <f t="shared" si="27"/>
        <v>0.54513888888888884</v>
      </c>
      <c r="BJ14" s="57">
        <f t="shared" si="27"/>
        <v>0.47499999999999992</v>
      </c>
      <c r="BK14" s="57">
        <f t="shared" si="27"/>
        <v>0.40625</v>
      </c>
      <c r="BL14" s="57">
        <f t="shared" si="27"/>
        <v>0.35972222222222222</v>
      </c>
    </row>
    <row r="15" spans="1:64">
      <c r="A15" s="47">
        <v>7</v>
      </c>
      <c r="B15" s="184">
        <v>736</v>
      </c>
      <c r="C15" s="184">
        <v>1615</v>
      </c>
      <c r="D15" s="184">
        <v>707</v>
      </c>
      <c r="E15" s="184">
        <v>1700</v>
      </c>
      <c r="F15" s="184">
        <v>618</v>
      </c>
      <c r="G15" s="184">
        <v>1743</v>
      </c>
      <c r="H15" s="254">
        <v>616</v>
      </c>
      <c r="I15" s="254">
        <v>1927</v>
      </c>
      <c r="J15" s="254">
        <v>523</v>
      </c>
      <c r="K15" s="254">
        <v>2009</v>
      </c>
      <c r="L15" s="254">
        <v>453</v>
      </c>
      <c r="M15" s="254">
        <v>2043</v>
      </c>
      <c r="N15" s="254">
        <v>500</v>
      </c>
      <c r="O15" s="254">
        <v>2047</v>
      </c>
      <c r="P15" s="254">
        <v>535</v>
      </c>
      <c r="Q15" s="254">
        <v>2014</v>
      </c>
      <c r="R15" s="254">
        <v>616</v>
      </c>
      <c r="S15" s="254">
        <v>1917</v>
      </c>
      <c r="T15" s="254">
        <v>656</v>
      </c>
      <c r="U15" s="254">
        <v>1817</v>
      </c>
      <c r="V15" s="184">
        <v>641</v>
      </c>
      <c r="W15" s="184">
        <v>1623</v>
      </c>
      <c r="X15" s="184">
        <v>722</v>
      </c>
      <c r="Y15" s="184">
        <v>1559</v>
      </c>
      <c r="AA15" s="57">
        <f t="shared" si="3"/>
        <v>0.31666666666666665</v>
      </c>
      <c r="AB15" s="57">
        <f t="shared" si="4"/>
        <v>0.29652777777777778</v>
      </c>
      <c r="AC15" s="57">
        <f t="shared" si="5"/>
        <v>0.26250000000000001</v>
      </c>
      <c r="AD15" s="57">
        <f t="shared" si="6"/>
        <v>0.26111111111111113</v>
      </c>
      <c r="AE15" s="57">
        <f t="shared" si="7"/>
        <v>0.22430555555555556</v>
      </c>
      <c r="AF15" s="57">
        <f t="shared" si="8"/>
        <v>0.20347222222222219</v>
      </c>
      <c r="AG15" s="57">
        <f t="shared" si="9"/>
        <v>0.20833333333333334</v>
      </c>
      <c r="AH15" s="57">
        <f t="shared" si="10"/>
        <v>0.23263888888888887</v>
      </c>
      <c r="AI15" s="57">
        <f t="shared" si="11"/>
        <v>0.26111111111111113</v>
      </c>
      <c r="AJ15" s="57">
        <f t="shared" si="12"/>
        <v>0.28888888888888892</v>
      </c>
      <c r="AK15" s="57">
        <f t="shared" si="13"/>
        <v>0.27847222222222223</v>
      </c>
      <c r="AL15" s="57">
        <f t="shared" si="14"/>
        <v>0.30694444444444441</v>
      </c>
      <c r="AM15" s="57"/>
      <c r="AN15" s="57">
        <f t="shared" si="15"/>
        <v>0.67708333333333337</v>
      </c>
      <c r="AO15" s="57">
        <f t="shared" si="16"/>
        <v>0.70833333333333337</v>
      </c>
      <c r="AP15" s="57">
        <f>IF(G15=0,0,TIME(INT(G15/100),RIGHT(G15,2),0))</f>
        <v>0.73819444444444438</v>
      </c>
      <c r="AQ15" s="57">
        <f t="shared" si="18"/>
        <v>0.81041666666666667</v>
      </c>
      <c r="AR15" s="57">
        <f t="shared" si="19"/>
        <v>0.83958333333333324</v>
      </c>
      <c r="AS15" s="57">
        <f t="shared" si="20"/>
        <v>0.86319444444444438</v>
      </c>
      <c r="AT15" s="57">
        <f t="shared" si="21"/>
        <v>0.86597222222222225</v>
      </c>
      <c r="AU15" s="57">
        <f t="shared" si="22"/>
        <v>0.84305555555555556</v>
      </c>
      <c r="AV15" s="57">
        <f t="shared" si="23"/>
        <v>0.80347222222222225</v>
      </c>
      <c r="AW15" s="57">
        <f t="shared" si="24"/>
        <v>0.76180555555555562</v>
      </c>
      <c r="AX15" s="57">
        <f t="shared" si="25"/>
        <v>0.68263888888888891</v>
      </c>
      <c r="AY15" s="57">
        <f t="shared" si="26"/>
        <v>0.66597222222222219</v>
      </c>
      <c r="BA15" s="57">
        <f t="shared" si="27"/>
        <v>0.36041666666666672</v>
      </c>
      <c r="BB15" s="57">
        <f t="shared" si="27"/>
        <v>0.41180555555555559</v>
      </c>
      <c r="BC15" s="57">
        <f t="shared" si="27"/>
        <v>0.47569444444444436</v>
      </c>
      <c r="BD15" s="57">
        <f t="shared" si="27"/>
        <v>0.54930555555555549</v>
      </c>
      <c r="BE15" s="57">
        <f t="shared" si="27"/>
        <v>0.6152777777777777</v>
      </c>
      <c r="BF15" s="57">
        <f t="shared" si="27"/>
        <v>0.65972222222222221</v>
      </c>
      <c r="BG15" s="57">
        <f t="shared" si="27"/>
        <v>0.65763888888888888</v>
      </c>
      <c r="BH15" s="57">
        <f t="shared" si="27"/>
        <v>0.61041666666666672</v>
      </c>
      <c r="BI15" s="57">
        <f t="shared" si="27"/>
        <v>0.54236111111111107</v>
      </c>
      <c r="BJ15" s="57">
        <f t="shared" si="27"/>
        <v>0.47291666666666671</v>
      </c>
      <c r="BK15" s="57">
        <f t="shared" si="27"/>
        <v>0.40416666666666667</v>
      </c>
      <c r="BL15" s="57">
        <f t="shared" si="27"/>
        <v>0.35902777777777778</v>
      </c>
    </row>
    <row r="16" spans="1:64">
      <c r="A16" s="47">
        <v>8</v>
      </c>
      <c r="B16" s="184">
        <v>735</v>
      </c>
      <c r="C16" s="184">
        <v>1616</v>
      </c>
      <c r="D16" s="184">
        <v>705</v>
      </c>
      <c r="E16" s="184">
        <v>1702</v>
      </c>
      <c r="F16" s="184">
        <v>616</v>
      </c>
      <c r="G16" s="184">
        <v>1744</v>
      </c>
      <c r="H16" s="254">
        <v>614</v>
      </c>
      <c r="I16" s="254">
        <v>1928</v>
      </c>
      <c r="J16" s="254">
        <v>522</v>
      </c>
      <c r="K16" s="254">
        <v>2010</v>
      </c>
      <c r="L16" s="254">
        <v>453</v>
      </c>
      <c r="M16" s="254">
        <v>2044</v>
      </c>
      <c r="N16" s="254">
        <v>501</v>
      </c>
      <c r="O16" s="254">
        <v>2047</v>
      </c>
      <c r="P16" s="254">
        <v>536</v>
      </c>
      <c r="Q16" s="254">
        <v>2012</v>
      </c>
      <c r="R16" s="254">
        <v>617</v>
      </c>
      <c r="S16" s="254">
        <v>1915</v>
      </c>
      <c r="T16" s="254">
        <v>657</v>
      </c>
      <c r="U16" s="254">
        <v>1815</v>
      </c>
      <c r="V16" s="184">
        <v>643</v>
      </c>
      <c r="W16" s="184">
        <v>1622</v>
      </c>
      <c r="X16" s="184">
        <v>723</v>
      </c>
      <c r="Y16" s="184">
        <v>1558</v>
      </c>
      <c r="AA16" s="57">
        <f t="shared" si="3"/>
        <v>0.31597222222222221</v>
      </c>
      <c r="AB16" s="57">
        <f t="shared" si="4"/>
        <v>0.2951388888888889</v>
      </c>
      <c r="AC16" s="57">
        <f>IF(F16=0,0,TIME(INT(F16/100),RIGHT(F16,2),0))</f>
        <v>0.26111111111111113</v>
      </c>
      <c r="AD16" s="57">
        <f t="shared" si="6"/>
        <v>0.25972222222222224</v>
      </c>
      <c r="AE16" s="57">
        <f t="shared" si="7"/>
        <v>0.22361111111111109</v>
      </c>
      <c r="AF16" s="57">
        <f t="shared" si="8"/>
        <v>0.20347222222222219</v>
      </c>
      <c r="AG16" s="57">
        <f t="shared" si="9"/>
        <v>0.20902777777777778</v>
      </c>
      <c r="AH16" s="57">
        <f t="shared" si="10"/>
        <v>0.23333333333333331</v>
      </c>
      <c r="AI16" s="57">
        <f t="shared" si="11"/>
        <v>0.26180555555555557</v>
      </c>
      <c r="AJ16" s="57">
        <f t="shared" si="12"/>
        <v>0.28958333333333336</v>
      </c>
      <c r="AK16" s="57">
        <f t="shared" si="13"/>
        <v>0.27986111111111112</v>
      </c>
      <c r="AL16" s="57">
        <f t="shared" si="14"/>
        <v>0.30763888888888891</v>
      </c>
      <c r="AM16" s="57"/>
      <c r="AN16" s="57">
        <f t="shared" si="15"/>
        <v>0.6777777777777777</v>
      </c>
      <c r="AO16" s="57">
        <f t="shared" si="16"/>
        <v>0.70972222222222225</v>
      </c>
      <c r="AP16" s="57">
        <f t="shared" si="17"/>
        <v>0.73888888888888893</v>
      </c>
      <c r="AQ16" s="57">
        <f t="shared" si="18"/>
        <v>0.81111111111111101</v>
      </c>
      <c r="AR16" s="57">
        <f t="shared" si="19"/>
        <v>0.84027777777777779</v>
      </c>
      <c r="AS16" s="57">
        <f t="shared" si="20"/>
        <v>0.86388888888888893</v>
      </c>
      <c r="AT16" s="57">
        <f t="shared" si="21"/>
        <v>0.86597222222222225</v>
      </c>
      <c r="AU16" s="57">
        <f t="shared" si="22"/>
        <v>0.84166666666666667</v>
      </c>
      <c r="AV16" s="57">
        <f t="shared" si="23"/>
        <v>0.80208333333333337</v>
      </c>
      <c r="AW16" s="57">
        <f t="shared" si="24"/>
        <v>0.76041666666666663</v>
      </c>
      <c r="AX16" s="57">
        <f t="shared" si="25"/>
        <v>0.68194444444444446</v>
      </c>
      <c r="AY16" s="57">
        <f t="shared" si="26"/>
        <v>0.66527777777777775</v>
      </c>
      <c r="BA16" s="57">
        <f t="shared" si="27"/>
        <v>0.36180555555555549</v>
      </c>
      <c r="BB16" s="57">
        <f t="shared" si="27"/>
        <v>0.41458333333333336</v>
      </c>
      <c r="BC16" s="57">
        <f t="shared" si="27"/>
        <v>0.4777777777777778</v>
      </c>
      <c r="BD16" s="57">
        <f t="shared" si="27"/>
        <v>0.55138888888888871</v>
      </c>
      <c r="BE16" s="57">
        <f t="shared" si="27"/>
        <v>0.6166666666666667</v>
      </c>
      <c r="BF16" s="57">
        <f t="shared" si="27"/>
        <v>0.66041666666666676</v>
      </c>
      <c r="BG16" s="57">
        <f t="shared" si="27"/>
        <v>0.65694444444444444</v>
      </c>
      <c r="BH16" s="57">
        <f t="shared" si="27"/>
        <v>0.60833333333333339</v>
      </c>
      <c r="BI16" s="57">
        <f t="shared" si="27"/>
        <v>0.54027777777777786</v>
      </c>
      <c r="BJ16" s="57">
        <f t="shared" si="27"/>
        <v>0.47083333333333327</v>
      </c>
      <c r="BK16" s="57">
        <f t="shared" si="27"/>
        <v>0.40208333333333335</v>
      </c>
      <c r="BL16" s="57">
        <f t="shared" si="27"/>
        <v>0.35763888888888884</v>
      </c>
    </row>
    <row r="17" spans="1:64">
      <c r="A17" s="47">
        <v>9</v>
      </c>
      <c r="B17" s="184">
        <v>735</v>
      </c>
      <c r="C17" s="184">
        <v>1618</v>
      </c>
      <c r="D17" s="184">
        <v>704</v>
      </c>
      <c r="E17" s="184">
        <v>1703</v>
      </c>
      <c r="F17" s="184">
        <v>614</v>
      </c>
      <c r="G17" s="184">
        <v>1746</v>
      </c>
      <c r="H17" s="254">
        <v>612</v>
      </c>
      <c r="I17" s="254">
        <v>1930</v>
      </c>
      <c r="J17" s="254">
        <v>520</v>
      </c>
      <c r="K17" s="254">
        <v>2011</v>
      </c>
      <c r="L17" s="254">
        <v>453</v>
      </c>
      <c r="M17" s="254">
        <v>2044</v>
      </c>
      <c r="N17" s="254">
        <v>502</v>
      </c>
      <c r="O17" s="254">
        <v>2046</v>
      </c>
      <c r="P17" s="254">
        <v>537</v>
      </c>
      <c r="Q17" s="254">
        <v>2011</v>
      </c>
      <c r="R17" s="254">
        <v>618</v>
      </c>
      <c r="S17" s="254">
        <v>1913</v>
      </c>
      <c r="T17" s="254">
        <v>659</v>
      </c>
      <c r="U17" s="254">
        <v>1813</v>
      </c>
      <c r="V17" s="184">
        <v>644</v>
      </c>
      <c r="W17" s="184">
        <v>1621</v>
      </c>
      <c r="X17" s="184">
        <v>724</v>
      </c>
      <c r="Y17" s="184">
        <v>1558</v>
      </c>
      <c r="AA17" s="57">
        <f t="shared" si="3"/>
        <v>0.31597222222222221</v>
      </c>
      <c r="AB17" s="57">
        <f t="shared" si="4"/>
        <v>0.29444444444444445</v>
      </c>
      <c r="AC17" s="57">
        <f t="shared" si="5"/>
        <v>0.25972222222222224</v>
      </c>
      <c r="AD17" s="57">
        <f t="shared" si="6"/>
        <v>0.25833333333333336</v>
      </c>
      <c r="AE17" s="57">
        <f t="shared" si="7"/>
        <v>0.22222222222222221</v>
      </c>
      <c r="AF17" s="57">
        <f t="shared" si="8"/>
        <v>0.20347222222222219</v>
      </c>
      <c r="AG17" s="57">
        <f t="shared" si="9"/>
        <v>0.20972222222222223</v>
      </c>
      <c r="AH17" s="57">
        <f t="shared" si="10"/>
        <v>0.23402777777777781</v>
      </c>
      <c r="AI17" s="57">
        <f t="shared" si="11"/>
        <v>0.26250000000000001</v>
      </c>
      <c r="AJ17" s="57">
        <f t="shared" si="12"/>
        <v>0.29097222222222224</v>
      </c>
      <c r="AK17" s="57">
        <f t="shared" si="13"/>
        <v>0.28055555555555556</v>
      </c>
      <c r="AL17" s="57">
        <f t="shared" si="14"/>
        <v>0.30833333333333335</v>
      </c>
      <c r="AM17" s="57"/>
      <c r="AN17" s="57">
        <f t="shared" si="15"/>
        <v>0.6791666666666667</v>
      </c>
      <c r="AO17" s="57">
        <f t="shared" si="16"/>
        <v>0.7104166666666667</v>
      </c>
      <c r="AP17" s="57">
        <f t="shared" si="17"/>
        <v>0.7402777777777777</v>
      </c>
      <c r="AQ17" s="57">
        <f t="shared" si="18"/>
        <v>0.8125</v>
      </c>
      <c r="AR17" s="57">
        <f t="shared" si="19"/>
        <v>0.84097222222222223</v>
      </c>
      <c r="AS17" s="57">
        <f t="shared" si="20"/>
        <v>0.86388888888888893</v>
      </c>
      <c r="AT17" s="57">
        <f t="shared" si="21"/>
        <v>0.8652777777777777</v>
      </c>
      <c r="AU17" s="57">
        <f t="shared" si="22"/>
        <v>0.84097222222222223</v>
      </c>
      <c r="AV17" s="57">
        <f t="shared" si="23"/>
        <v>0.80069444444444438</v>
      </c>
      <c r="AW17" s="57">
        <f t="shared" si="24"/>
        <v>0.75902777777777775</v>
      </c>
      <c r="AX17" s="57">
        <f t="shared" si="25"/>
        <v>0.68125000000000002</v>
      </c>
      <c r="AY17" s="57">
        <f t="shared" si="26"/>
        <v>0.66527777777777775</v>
      </c>
      <c r="BA17" s="57">
        <f t="shared" si="27"/>
        <v>0.36319444444444449</v>
      </c>
      <c r="BB17" s="57">
        <f t="shared" si="27"/>
        <v>0.41597222222222224</v>
      </c>
      <c r="BC17" s="57">
        <f t="shared" si="27"/>
        <v>0.48055555555555546</v>
      </c>
      <c r="BD17" s="57">
        <f t="shared" si="27"/>
        <v>0.5541666666666667</v>
      </c>
      <c r="BE17" s="57">
        <f t="shared" si="27"/>
        <v>0.61875000000000002</v>
      </c>
      <c r="BF17" s="57">
        <f t="shared" si="27"/>
        <v>0.66041666666666676</v>
      </c>
      <c r="BG17" s="57">
        <f t="shared" si="27"/>
        <v>0.65555555555555545</v>
      </c>
      <c r="BH17" s="57">
        <f t="shared" si="27"/>
        <v>0.6069444444444444</v>
      </c>
      <c r="BI17" s="57">
        <f t="shared" si="27"/>
        <v>0.53819444444444442</v>
      </c>
      <c r="BJ17" s="57">
        <f t="shared" si="27"/>
        <v>0.4680555555555555</v>
      </c>
      <c r="BK17" s="57">
        <f t="shared" si="27"/>
        <v>0.40069444444444446</v>
      </c>
      <c r="BL17" s="57">
        <f t="shared" si="27"/>
        <v>0.3569444444444444</v>
      </c>
    </row>
    <row r="18" spans="1:64">
      <c r="A18" s="47">
        <v>10</v>
      </c>
      <c r="B18" s="184">
        <v>734</v>
      </c>
      <c r="C18" s="184">
        <v>1619</v>
      </c>
      <c r="D18" s="184">
        <v>702</v>
      </c>
      <c r="E18" s="184">
        <v>1705</v>
      </c>
      <c r="F18" s="254">
        <v>712</v>
      </c>
      <c r="G18" s="254">
        <v>1847</v>
      </c>
      <c r="H18" s="254">
        <v>610</v>
      </c>
      <c r="I18" s="254">
        <v>1931</v>
      </c>
      <c r="J18" s="254">
        <v>519</v>
      </c>
      <c r="K18" s="254">
        <v>2013</v>
      </c>
      <c r="L18" s="254">
        <v>452</v>
      </c>
      <c r="M18" s="254">
        <v>2045</v>
      </c>
      <c r="N18" s="254">
        <v>503</v>
      </c>
      <c r="O18" s="254">
        <v>2045</v>
      </c>
      <c r="P18" s="254">
        <v>539</v>
      </c>
      <c r="Q18" s="254">
        <v>2019</v>
      </c>
      <c r="R18" s="254">
        <v>620</v>
      </c>
      <c r="S18" s="254">
        <v>1911</v>
      </c>
      <c r="T18" s="254">
        <v>700</v>
      </c>
      <c r="U18" s="254">
        <v>1811</v>
      </c>
      <c r="V18" s="184">
        <v>646</v>
      </c>
      <c r="W18" s="184">
        <v>1619</v>
      </c>
      <c r="X18" s="184">
        <v>725</v>
      </c>
      <c r="Y18" s="184">
        <v>1558</v>
      </c>
      <c r="AA18" s="57">
        <f t="shared" si="3"/>
        <v>0.31527777777777777</v>
      </c>
      <c r="AB18" s="57">
        <f t="shared" si="4"/>
        <v>0.29305555555555557</v>
      </c>
      <c r="AC18" s="57">
        <f t="shared" si="5"/>
        <v>0.3</v>
      </c>
      <c r="AD18" s="57">
        <f t="shared" si="6"/>
        <v>0.25694444444444448</v>
      </c>
      <c r="AE18" s="57">
        <f t="shared" si="7"/>
        <v>0.22152777777777777</v>
      </c>
      <c r="AF18" s="57">
        <f t="shared" si="8"/>
        <v>0.20277777777777781</v>
      </c>
      <c r="AG18" s="57">
        <f t="shared" si="9"/>
        <v>0.21041666666666667</v>
      </c>
      <c r="AH18" s="57">
        <f t="shared" si="10"/>
        <v>0.23541666666666669</v>
      </c>
      <c r="AI18" s="57">
        <f t="shared" si="11"/>
        <v>0.2638888888888889</v>
      </c>
      <c r="AJ18" s="57">
        <f t="shared" si="12"/>
        <v>0.29166666666666669</v>
      </c>
      <c r="AK18" s="57">
        <f t="shared" si="13"/>
        <v>0.28194444444444444</v>
      </c>
      <c r="AL18" s="57">
        <f t="shared" si="14"/>
        <v>0.30902777777777779</v>
      </c>
      <c r="AM18" s="57"/>
      <c r="AN18" s="57">
        <f t="shared" si="15"/>
        <v>0.67986111111111114</v>
      </c>
      <c r="AO18" s="57">
        <f t="shared" si="16"/>
        <v>0.71180555555555547</v>
      </c>
      <c r="AP18" s="57">
        <f t="shared" si="17"/>
        <v>0.78263888888888899</v>
      </c>
      <c r="AQ18" s="57">
        <f t="shared" si="18"/>
        <v>0.81319444444444444</v>
      </c>
      <c r="AR18" s="57">
        <f t="shared" si="19"/>
        <v>0.84236111111111101</v>
      </c>
      <c r="AS18" s="57">
        <f t="shared" si="20"/>
        <v>0.86458333333333337</v>
      </c>
      <c r="AT18" s="57">
        <f t="shared" si="21"/>
        <v>0.86458333333333337</v>
      </c>
      <c r="AU18" s="57">
        <f t="shared" si="22"/>
        <v>0.84652777777777777</v>
      </c>
      <c r="AV18" s="57">
        <f t="shared" si="23"/>
        <v>0.7993055555555556</v>
      </c>
      <c r="AW18" s="57">
        <f t="shared" si="24"/>
        <v>0.75763888888888886</v>
      </c>
      <c r="AX18" s="57">
        <f t="shared" si="25"/>
        <v>0.67986111111111114</v>
      </c>
      <c r="AY18" s="57">
        <f t="shared" si="26"/>
        <v>0.66527777777777775</v>
      </c>
      <c r="BA18" s="57">
        <f t="shared" si="27"/>
        <v>0.36458333333333337</v>
      </c>
      <c r="BB18" s="57">
        <f t="shared" si="27"/>
        <v>0.4187499999999999</v>
      </c>
      <c r="BC18" s="57">
        <f t="shared" si="27"/>
        <v>0.48263888888888901</v>
      </c>
      <c r="BD18" s="57">
        <f t="shared" si="27"/>
        <v>0.55624999999999991</v>
      </c>
      <c r="BE18" s="57">
        <f t="shared" si="27"/>
        <v>0.62083333333333324</v>
      </c>
      <c r="BF18" s="57">
        <f t="shared" si="27"/>
        <v>0.66180555555555554</v>
      </c>
      <c r="BG18" s="57">
        <f t="shared" si="27"/>
        <v>0.65416666666666667</v>
      </c>
      <c r="BH18" s="57">
        <f t="shared" si="27"/>
        <v>0.61111111111111105</v>
      </c>
      <c r="BI18" s="57">
        <f t="shared" si="27"/>
        <v>0.53541666666666665</v>
      </c>
      <c r="BJ18" s="57">
        <f t="shared" si="27"/>
        <v>0.46597222222222218</v>
      </c>
      <c r="BK18" s="57">
        <f t="shared" si="27"/>
        <v>0.3979166666666667</v>
      </c>
      <c r="BL18" s="57">
        <f t="shared" si="27"/>
        <v>0.35624999999999996</v>
      </c>
    </row>
    <row r="19" spans="1:64">
      <c r="A19" s="47">
        <v>11</v>
      </c>
      <c r="B19" s="184">
        <v>734</v>
      </c>
      <c r="C19" s="184">
        <v>1620</v>
      </c>
      <c r="D19" s="184">
        <v>701</v>
      </c>
      <c r="E19" s="184">
        <v>1706</v>
      </c>
      <c r="F19" s="254">
        <v>710</v>
      </c>
      <c r="G19" s="254">
        <v>1849</v>
      </c>
      <c r="H19" s="254">
        <v>608</v>
      </c>
      <c r="I19" s="254">
        <v>1933</v>
      </c>
      <c r="J19" s="254">
        <v>518</v>
      </c>
      <c r="K19" s="254">
        <v>2014</v>
      </c>
      <c r="L19" s="254">
        <v>452</v>
      </c>
      <c r="M19" s="254">
        <v>2046</v>
      </c>
      <c r="N19" s="254">
        <v>504</v>
      </c>
      <c r="O19" s="254">
        <v>2045</v>
      </c>
      <c r="P19" s="254">
        <v>540</v>
      </c>
      <c r="Q19" s="254">
        <v>2008</v>
      </c>
      <c r="R19" s="254">
        <v>621</v>
      </c>
      <c r="S19" s="254">
        <v>1909</v>
      </c>
      <c r="T19" s="254">
        <v>702</v>
      </c>
      <c r="U19" s="254">
        <v>1809</v>
      </c>
      <c r="V19" s="184">
        <v>647</v>
      </c>
      <c r="W19" s="184">
        <v>1618</v>
      </c>
      <c r="X19" s="184">
        <v>726</v>
      </c>
      <c r="Y19" s="184">
        <v>1558</v>
      </c>
      <c r="AA19" s="57">
        <f t="shared" si="3"/>
        <v>0.31527777777777777</v>
      </c>
      <c r="AB19" s="57">
        <f t="shared" si="4"/>
        <v>0.29236111111111113</v>
      </c>
      <c r="AC19" s="57">
        <f t="shared" si="5"/>
        <v>0.2986111111111111</v>
      </c>
      <c r="AD19" s="57">
        <f t="shared" si="6"/>
        <v>0.25555555555555559</v>
      </c>
      <c r="AE19" s="57">
        <f t="shared" si="7"/>
        <v>0.22083333333333333</v>
      </c>
      <c r="AF19" s="57">
        <f t="shared" si="8"/>
        <v>0.20277777777777781</v>
      </c>
      <c r="AG19" s="57">
        <f t="shared" si="9"/>
        <v>0.21111111111111111</v>
      </c>
      <c r="AH19" s="57">
        <f t="shared" si="10"/>
        <v>0.23611111111111113</v>
      </c>
      <c r="AI19" s="57">
        <f t="shared" si="11"/>
        <v>0.26458333333333334</v>
      </c>
      <c r="AJ19" s="57">
        <f t="shared" si="12"/>
        <v>0.29305555555555557</v>
      </c>
      <c r="AK19" s="57">
        <f t="shared" si="13"/>
        <v>0.28263888888888888</v>
      </c>
      <c r="AL19" s="57">
        <f t="shared" si="14"/>
        <v>0.30972222222222223</v>
      </c>
      <c r="AM19" s="57"/>
      <c r="AN19" s="57">
        <f t="shared" si="15"/>
        <v>0.68055555555555547</v>
      </c>
      <c r="AO19" s="57">
        <f t="shared" si="16"/>
        <v>0.71250000000000002</v>
      </c>
      <c r="AP19" s="57">
        <f t="shared" si="17"/>
        <v>0.78402777777777777</v>
      </c>
      <c r="AQ19" s="57">
        <f t="shared" si="18"/>
        <v>0.81458333333333333</v>
      </c>
      <c r="AR19" s="57">
        <f t="shared" si="19"/>
        <v>0.84305555555555556</v>
      </c>
      <c r="AS19" s="57">
        <f t="shared" si="20"/>
        <v>0.8652777777777777</v>
      </c>
      <c r="AT19" s="57">
        <f t="shared" si="21"/>
        <v>0.86458333333333337</v>
      </c>
      <c r="AU19" s="57">
        <f t="shared" si="22"/>
        <v>0.83888888888888891</v>
      </c>
      <c r="AV19" s="57">
        <f t="shared" si="23"/>
        <v>0.79791666666666661</v>
      </c>
      <c r="AW19" s="57">
        <f t="shared" si="24"/>
        <v>0.75624999999999998</v>
      </c>
      <c r="AX19" s="57">
        <f t="shared" si="25"/>
        <v>0.6791666666666667</v>
      </c>
      <c r="AY19" s="57">
        <f t="shared" si="26"/>
        <v>0.66527777777777775</v>
      </c>
      <c r="BA19" s="57">
        <f t="shared" si="27"/>
        <v>0.3652777777777777</v>
      </c>
      <c r="BB19" s="57">
        <f t="shared" si="27"/>
        <v>0.4201388888888889</v>
      </c>
      <c r="BC19" s="57">
        <f t="shared" si="27"/>
        <v>0.48541666666666666</v>
      </c>
      <c r="BD19" s="57">
        <f t="shared" si="27"/>
        <v>0.55902777777777768</v>
      </c>
      <c r="BE19" s="57">
        <f t="shared" si="27"/>
        <v>0.62222222222222223</v>
      </c>
      <c r="BF19" s="57">
        <f t="shared" si="27"/>
        <v>0.66249999999999987</v>
      </c>
      <c r="BG19" s="57">
        <f t="shared" si="27"/>
        <v>0.65347222222222223</v>
      </c>
      <c r="BH19" s="57">
        <f t="shared" si="27"/>
        <v>0.60277777777777775</v>
      </c>
      <c r="BI19" s="57">
        <f t="shared" si="27"/>
        <v>0.53333333333333321</v>
      </c>
      <c r="BJ19" s="57">
        <f t="shared" si="27"/>
        <v>0.46319444444444441</v>
      </c>
      <c r="BK19" s="57">
        <f t="shared" si="27"/>
        <v>0.39652777777777781</v>
      </c>
      <c r="BL19" s="57">
        <f t="shared" si="27"/>
        <v>0.35555555555555551</v>
      </c>
    </row>
    <row r="20" spans="1:64">
      <c r="A20" s="47">
        <v>12</v>
      </c>
      <c r="B20" s="184">
        <v>734</v>
      </c>
      <c r="C20" s="184">
        <v>1621</v>
      </c>
      <c r="D20" s="184">
        <v>659</v>
      </c>
      <c r="E20" s="184">
        <v>1708</v>
      </c>
      <c r="F20" s="254">
        <v>708</v>
      </c>
      <c r="G20" s="254">
        <v>1850</v>
      </c>
      <c r="H20" s="254">
        <v>606</v>
      </c>
      <c r="I20" s="254">
        <v>1934</v>
      </c>
      <c r="J20" s="254">
        <v>516</v>
      </c>
      <c r="K20" s="254">
        <v>2015</v>
      </c>
      <c r="L20" s="254">
        <v>452</v>
      </c>
      <c r="M20" s="254">
        <v>2046</v>
      </c>
      <c r="N20" s="254">
        <v>505</v>
      </c>
      <c r="O20" s="254">
        <v>2044</v>
      </c>
      <c r="P20" s="254">
        <v>541</v>
      </c>
      <c r="Q20" s="254">
        <v>2006</v>
      </c>
      <c r="R20" s="254">
        <v>622</v>
      </c>
      <c r="S20" s="254">
        <v>1907</v>
      </c>
      <c r="T20" s="254">
        <v>703</v>
      </c>
      <c r="U20" s="254">
        <v>1807</v>
      </c>
      <c r="V20" s="184">
        <v>649</v>
      </c>
      <c r="W20" s="184">
        <v>1617</v>
      </c>
      <c r="X20" s="184">
        <v>727</v>
      </c>
      <c r="Y20" s="184">
        <v>1558</v>
      </c>
      <c r="AA20" s="57">
        <f t="shared" si="3"/>
        <v>0.31527777777777777</v>
      </c>
      <c r="AB20" s="57">
        <f t="shared" si="4"/>
        <v>0.29097222222222224</v>
      </c>
      <c r="AC20" s="57">
        <f t="shared" si="5"/>
        <v>0.29722222222222222</v>
      </c>
      <c r="AD20" s="57">
        <f t="shared" si="6"/>
        <v>0.25416666666666665</v>
      </c>
      <c r="AE20" s="57">
        <f t="shared" si="7"/>
        <v>0.21944444444444444</v>
      </c>
      <c r="AF20" s="57">
        <f t="shared" si="8"/>
        <v>0.20277777777777781</v>
      </c>
      <c r="AG20" s="57">
        <f t="shared" si="9"/>
        <v>0.21180555555555555</v>
      </c>
      <c r="AH20" s="57">
        <f t="shared" si="10"/>
        <v>0.23680555555555557</v>
      </c>
      <c r="AI20" s="57">
        <f t="shared" si="11"/>
        <v>0.26527777777777778</v>
      </c>
      <c r="AJ20" s="57">
        <f t="shared" si="12"/>
        <v>0.29375000000000001</v>
      </c>
      <c r="AK20" s="57">
        <f t="shared" si="13"/>
        <v>0.28402777777777777</v>
      </c>
      <c r="AL20" s="57">
        <f t="shared" si="14"/>
        <v>0.31041666666666667</v>
      </c>
      <c r="AM20" s="57"/>
      <c r="AN20" s="57">
        <f t="shared" si="15"/>
        <v>0.68125000000000002</v>
      </c>
      <c r="AO20" s="57">
        <f t="shared" si="16"/>
        <v>0.71388888888888891</v>
      </c>
      <c r="AP20" s="57">
        <f t="shared" si="17"/>
        <v>0.78472222222222221</v>
      </c>
      <c r="AQ20" s="57">
        <f t="shared" si="18"/>
        <v>0.81527777777777777</v>
      </c>
      <c r="AR20" s="57">
        <f t="shared" si="19"/>
        <v>0.84375</v>
      </c>
      <c r="AS20" s="57">
        <f t="shared" si="20"/>
        <v>0.8652777777777777</v>
      </c>
      <c r="AT20" s="57">
        <f t="shared" si="21"/>
        <v>0.86388888888888893</v>
      </c>
      <c r="AU20" s="57">
        <f t="shared" si="22"/>
        <v>0.83750000000000002</v>
      </c>
      <c r="AV20" s="57">
        <f t="shared" si="23"/>
        <v>0.79652777777777783</v>
      </c>
      <c r="AW20" s="57">
        <f t="shared" si="24"/>
        <v>0.75486111111111109</v>
      </c>
      <c r="AX20" s="57">
        <f t="shared" si="25"/>
        <v>0.67847222222222225</v>
      </c>
      <c r="AY20" s="57">
        <f t="shared" si="26"/>
        <v>0.66527777777777775</v>
      </c>
      <c r="BA20" s="57">
        <f t="shared" si="27"/>
        <v>0.36597222222222225</v>
      </c>
      <c r="BB20" s="57">
        <f t="shared" si="27"/>
        <v>0.42291666666666666</v>
      </c>
      <c r="BC20" s="57">
        <f t="shared" si="27"/>
        <v>0.48749999999999999</v>
      </c>
      <c r="BD20" s="57">
        <f t="shared" si="27"/>
        <v>0.56111111111111112</v>
      </c>
      <c r="BE20" s="57">
        <f t="shared" si="27"/>
        <v>0.62430555555555556</v>
      </c>
      <c r="BF20" s="57">
        <f t="shared" si="27"/>
        <v>0.66249999999999987</v>
      </c>
      <c r="BG20" s="57">
        <f t="shared" si="27"/>
        <v>0.65208333333333335</v>
      </c>
      <c r="BH20" s="57">
        <f t="shared" si="27"/>
        <v>0.60069444444444442</v>
      </c>
      <c r="BI20" s="57">
        <f t="shared" si="27"/>
        <v>0.53125</v>
      </c>
      <c r="BJ20" s="57">
        <f t="shared" si="27"/>
        <v>0.46111111111111108</v>
      </c>
      <c r="BK20" s="57">
        <f t="shared" si="27"/>
        <v>0.39444444444444449</v>
      </c>
      <c r="BL20" s="57">
        <f t="shared" si="27"/>
        <v>0.35486111111111107</v>
      </c>
    </row>
    <row r="21" spans="1:64">
      <c r="A21" s="47">
        <v>13</v>
      </c>
      <c r="B21" s="184">
        <v>733</v>
      </c>
      <c r="C21" s="184">
        <v>1623</v>
      </c>
      <c r="D21" s="184">
        <v>658</v>
      </c>
      <c r="E21" s="184">
        <v>1709</v>
      </c>
      <c r="F21" s="254">
        <v>706</v>
      </c>
      <c r="G21" s="254">
        <v>1852</v>
      </c>
      <c r="H21" s="254">
        <v>605</v>
      </c>
      <c r="I21" s="254">
        <v>1935</v>
      </c>
      <c r="J21" s="254">
        <v>515</v>
      </c>
      <c r="K21" s="254">
        <v>2016</v>
      </c>
      <c r="L21" s="254">
        <v>452</v>
      </c>
      <c r="M21" s="254">
        <v>2047</v>
      </c>
      <c r="N21" s="254">
        <v>506</v>
      </c>
      <c r="O21" s="254">
        <v>2043</v>
      </c>
      <c r="P21" s="254">
        <v>542</v>
      </c>
      <c r="Q21" s="254">
        <v>2004</v>
      </c>
      <c r="R21" s="254">
        <v>624</v>
      </c>
      <c r="S21" s="254">
        <v>1905</v>
      </c>
      <c r="T21" s="254">
        <v>705</v>
      </c>
      <c r="U21" s="254">
        <v>1805</v>
      </c>
      <c r="V21" s="184">
        <v>650</v>
      </c>
      <c r="W21" s="184">
        <v>1616</v>
      </c>
      <c r="X21" s="184">
        <v>728</v>
      </c>
      <c r="Y21" s="184">
        <v>1558</v>
      </c>
      <c r="AA21" s="57">
        <f t="shared" si="3"/>
        <v>0.31458333333333333</v>
      </c>
      <c r="AB21" s="57">
        <f t="shared" si="4"/>
        <v>0.2902777777777778</v>
      </c>
      <c r="AC21" s="57">
        <f t="shared" si="5"/>
        <v>0.29583333333333334</v>
      </c>
      <c r="AD21" s="57">
        <f t="shared" si="6"/>
        <v>0.25347222222222221</v>
      </c>
      <c r="AE21" s="57">
        <f t="shared" si="7"/>
        <v>0.21875</v>
      </c>
      <c r="AF21" s="57">
        <f t="shared" si="8"/>
        <v>0.20277777777777781</v>
      </c>
      <c r="AG21" s="57">
        <f t="shared" si="9"/>
        <v>0.21249999999999999</v>
      </c>
      <c r="AH21" s="57">
        <f t="shared" si="10"/>
        <v>0.23750000000000002</v>
      </c>
      <c r="AI21" s="57">
        <f t="shared" si="11"/>
        <v>0.26666666666666666</v>
      </c>
      <c r="AJ21" s="57">
        <f t="shared" si="12"/>
        <v>0.2951388888888889</v>
      </c>
      <c r="AK21" s="57">
        <f t="shared" si="13"/>
        <v>0.28472222222222221</v>
      </c>
      <c r="AL21" s="57">
        <f t="shared" si="14"/>
        <v>0.31111111111111112</v>
      </c>
      <c r="AM21" s="57"/>
      <c r="AN21" s="57">
        <f t="shared" si="15"/>
        <v>0.68263888888888891</v>
      </c>
      <c r="AO21" s="57">
        <f t="shared" si="16"/>
        <v>0.71458333333333324</v>
      </c>
      <c r="AP21" s="57">
        <f t="shared" si="17"/>
        <v>0.78611111111111109</v>
      </c>
      <c r="AQ21" s="57">
        <f t="shared" si="18"/>
        <v>0.81597222222222221</v>
      </c>
      <c r="AR21" s="57">
        <f t="shared" si="19"/>
        <v>0.84444444444444444</v>
      </c>
      <c r="AS21" s="57">
        <f t="shared" si="20"/>
        <v>0.86597222222222225</v>
      </c>
      <c r="AT21" s="57">
        <f t="shared" si="21"/>
        <v>0.86319444444444438</v>
      </c>
      <c r="AU21" s="57">
        <f t="shared" si="22"/>
        <v>0.83611111111111114</v>
      </c>
      <c r="AV21" s="57">
        <f t="shared" si="23"/>
        <v>0.79513888888888884</v>
      </c>
      <c r="AW21" s="57">
        <f t="shared" si="24"/>
        <v>0.75347222222222221</v>
      </c>
      <c r="AX21" s="57">
        <f t="shared" si="25"/>
        <v>0.6777777777777777</v>
      </c>
      <c r="AY21" s="57">
        <f t="shared" si="26"/>
        <v>0.66527777777777775</v>
      </c>
      <c r="BA21" s="57">
        <f t="shared" si="27"/>
        <v>0.36805555555555558</v>
      </c>
      <c r="BB21" s="57">
        <f t="shared" si="27"/>
        <v>0.42430555555555544</v>
      </c>
      <c r="BC21" s="57">
        <f t="shared" si="27"/>
        <v>0.49027777777777776</v>
      </c>
      <c r="BD21" s="57">
        <f t="shared" si="27"/>
        <v>0.5625</v>
      </c>
      <c r="BE21" s="57">
        <f t="shared" si="27"/>
        <v>0.62569444444444444</v>
      </c>
      <c r="BF21" s="57">
        <f t="shared" si="27"/>
        <v>0.66319444444444442</v>
      </c>
      <c r="BG21" s="57">
        <f t="shared" si="27"/>
        <v>0.65069444444444435</v>
      </c>
      <c r="BH21" s="57">
        <f t="shared" si="27"/>
        <v>0.59861111111111109</v>
      </c>
      <c r="BI21" s="57">
        <f t="shared" si="27"/>
        <v>0.52847222222222223</v>
      </c>
      <c r="BJ21" s="57">
        <f t="shared" si="27"/>
        <v>0.45833333333333331</v>
      </c>
      <c r="BK21" s="57">
        <f t="shared" si="27"/>
        <v>0.39305555555555549</v>
      </c>
      <c r="BL21" s="57">
        <f t="shared" si="27"/>
        <v>0.35416666666666663</v>
      </c>
    </row>
    <row r="22" spans="1:64">
      <c r="A22" s="47">
        <v>14</v>
      </c>
      <c r="B22" s="184">
        <v>732</v>
      </c>
      <c r="C22" s="184">
        <v>1624</v>
      </c>
      <c r="D22" s="184">
        <v>656</v>
      </c>
      <c r="E22" s="184">
        <v>1711</v>
      </c>
      <c r="F22" s="254">
        <v>704</v>
      </c>
      <c r="G22" s="254">
        <v>1853</v>
      </c>
      <c r="H22" s="254">
        <v>603</v>
      </c>
      <c r="I22" s="254">
        <v>1937</v>
      </c>
      <c r="J22" s="254">
        <v>514</v>
      </c>
      <c r="K22" s="254">
        <v>2018</v>
      </c>
      <c r="L22" s="254">
        <v>452</v>
      </c>
      <c r="M22" s="254">
        <v>2047</v>
      </c>
      <c r="N22" s="254">
        <v>507</v>
      </c>
      <c r="O22" s="254">
        <v>2043</v>
      </c>
      <c r="P22" s="254">
        <v>544</v>
      </c>
      <c r="Q22" s="254">
        <v>2003</v>
      </c>
      <c r="R22" s="254">
        <v>625</v>
      </c>
      <c r="S22" s="254">
        <v>1903</v>
      </c>
      <c r="T22" s="254">
        <v>706</v>
      </c>
      <c r="U22" s="254">
        <v>1803</v>
      </c>
      <c r="V22" s="184">
        <v>652</v>
      </c>
      <c r="W22" s="184">
        <v>1614</v>
      </c>
      <c r="X22" s="184">
        <v>729</v>
      </c>
      <c r="Y22" s="184">
        <v>1558</v>
      </c>
      <c r="AA22" s="57">
        <f t="shared" si="3"/>
        <v>0.31388888888888888</v>
      </c>
      <c r="AB22" s="57">
        <f t="shared" si="4"/>
        <v>0.28888888888888892</v>
      </c>
      <c r="AC22" s="57">
        <f t="shared" si="5"/>
        <v>0.29444444444444445</v>
      </c>
      <c r="AD22" s="57">
        <f t="shared" si="6"/>
        <v>0.25208333333333333</v>
      </c>
      <c r="AE22" s="57">
        <f t="shared" si="7"/>
        <v>0.21805555555555556</v>
      </c>
      <c r="AF22" s="57">
        <f t="shared" si="8"/>
        <v>0.20277777777777781</v>
      </c>
      <c r="AG22" s="57">
        <f t="shared" si="9"/>
        <v>0.21319444444444444</v>
      </c>
      <c r="AH22" s="57">
        <f t="shared" si="10"/>
        <v>0.2388888888888889</v>
      </c>
      <c r="AI22" s="57">
        <f t="shared" si="11"/>
        <v>0.2673611111111111</v>
      </c>
      <c r="AJ22" s="57">
        <f t="shared" si="12"/>
        <v>0.29583333333333334</v>
      </c>
      <c r="AK22" s="57">
        <f t="shared" si="13"/>
        <v>0.28611111111111115</v>
      </c>
      <c r="AL22" s="57">
        <f t="shared" si="14"/>
        <v>0.31180555555555556</v>
      </c>
      <c r="AM22" s="57"/>
      <c r="AN22" s="57">
        <f t="shared" si="15"/>
        <v>0.68333333333333324</v>
      </c>
      <c r="AO22" s="57">
        <f t="shared" si="16"/>
        <v>0.71597222222222223</v>
      </c>
      <c r="AP22" s="57">
        <f t="shared" si="17"/>
        <v>0.78680555555555554</v>
      </c>
      <c r="AQ22" s="57">
        <f t="shared" si="18"/>
        <v>0.81736111111111109</v>
      </c>
      <c r="AR22" s="57">
        <f t="shared" si="19"/>
        <v>0.84583333333333333</v>
      </c>
      <c r="AS22" s="57">
        <f t="shared" si="20"/>
        <v>0.86597222222222225</v>
      </c>
      <c r="AT22" s="57">
        <f t="shared" si="21"/>
        <v>0.86319444444444438</v>
      </c>
      <c r="AU22" s="57">
        <f t="shared" si="22"/>
        <v>0.8354166666666667</v>
      </c>
      <c r="AV22" s="57">
        <f t="shared" si="23"/>
        <v>0.79375000000000007</v>
      </c>
      <c r="AW22" s="57">
        <f t="shared" si="24"/>
        <v>0.75208333333333333</v>
      </c>
      <c r="AX22" s="57">
        <f t="shared" si="25"/>
        <v>0.67638888888888893</v>
      </c>
      <c r="AY22" s="57">
        <f t="shared" si="26"/>
        <v>0.66527777777777775</v>
      </c>
      <c r="BA22" s="57">
        <f t="shared" si="27"/>
        <v>0.36944444444444435</v>
      </c>
      <c r="BB22" s="57">
        <f t="shared" si="27"/>
        <v>0.42708333333333331</v>
      </c>
      <c r="BC22" s="57">
        <f t="shared" si="27"/>
        <v>0.49236111111111108</v>
      </c>
      <c r="BD22" s="57">
        <f t="shared" si="27"/>
        <v>0.56527777777777777</v>
      </c>
      <c r="BE22" s="57">
        <f t="shared" si="27"/>
        <v>0.62777777777777777</v>
      </c>
      <c r="BF22" s="57">
        <f t="shared" si="27"/>
        <v>0.66319444444444442</v>
      </c>
      <c r="BG22" s="57">
        <f t="shared" si="27"/>
        <v>0.64999999999999991</v>
      </c>
      <c r="BH22" s="57">
        <f t="shared" si="27"/>
        <v>0.59652777777777777</v>
      </c>
      <c r="BI22" s="57">
        <f t="shared" si="27"/>
        <v>0.52638888888888902</v>
      </c>
      <c r="BJ22" s="57">
        <f t="shared" si="27"/>
        <v>0.45624999999999999</v>
      </c>
      <c r="BK22" s="57">
        <f t="shared" si="27"/>
        <v>0.39027777777777778</v>
      </c>
      <c r="BL22" s="57">
        <f t="shared" si="27"/>
        <v>0.35347222222222219</v>
      </c>
    </row>
    <row r="23" spans="1:64">
      <c r="A23" s="47">
        <v>15</v>
      </c>
      <c r="B23" s="184">
        <v>732</v>
      </c>
      <c r="C23" s="184">
        <v>1625</v>
      </c>
      <c r="D23" s="184">
        <v>654</v>
      </c>
      <c r="E23" s="184">
        <v>1713</v>
      </c>
      <c r="F23" s="254">
        <v>702</v>
      </c>
      <c r="G23" s="254">
        <v>1854</v>
      </c>
      <c r="H23" s="254">
        <v>601</v>
      </c>
      <c r="I23" s="254">
        <v>1938</v>
      </c>
      <c r="J23" s="254">
        <v>512</v>
      </c>
      <c r="K23" s="254">
        <v>2019</v>
      </c>
      <c r="L23" s="254">
        <v>452</v>
      </c>
      <c r="M23" s="254">
        <v>2048</v>
      </c>
      <c r="N23" s="254">
        <v>507</v>
      </c>
      <c r="O23" s="254">
        <v>2042</v>
      </c>
      <c r="P23" s="254">
        <v>545</v>
      </c>
      <c r="Q23" s="254">
        <v>2001</v>
      </c>
      <c r="R23" s="254">
        <v>626</v>
      </c>
      <c r="S23" s="254">
        <v>1901</v>
      </c>
      <c r="T23" s="254">
        <v>707</v>
      </c>
      <c r="U23" s="254">
        <v>1801</v>
      </c>
      <c r="V23" s="184">
        <v>653</v>
      </c>
      <c r="W23" s="184">
        <v>1613</v>
      </c>
      <c r="X23" s="184">
        <v>730</v>
      </c>
      <c r="Y23" s="184">
        <v>1559</v>
      </c>
      <c r="AA23" s="57">
        <f t="shared" si="3"/>
        <v>0.31388888888888888</v>
      </c>
      <c r="AB23" s="57">
        <f t="shared" si="4"/>
        <v>0.28750000000000003</v>
      </c>
      <c r="AC23" s="57">
        <f t="shared" si="5"/>
        <v>0.29305555555555557</v>
      </c>
      <c r="AD23" s="57">
        <f t="shared" si="6"/>
        <v>0.25069444444444444</v>
      </c>
      <c r="AE23" s="57">
        <f t="shared" si="7"/>
        <v>0.21666666666666667</v>
      </c>
      <c r="AF23" s="57">
        <f t="shared" si="8"/>
        <v>0.20277777777777781</v>
      </c>
      <c r="AG23" s="57">
        <f t="shared" si="9"/>
        <v>0.21319444444444444</v>
      </c>
      <c r="AH23" s="57">
        <f t="shared" si="10"/>
        <v>0.23958333333333334</v>
      </c>
      <c r="AI23" s="57">
        <f t="shared" si="11"/>
        <v>0.26805555555555555</v>
      </c>
      <c r="AJ23" s="57">
        <f t="shared" si="12"/>
        <v>0.29652777777777778</v>
      </c>
      <c r="AK23" s="57">
        <f t="shared" si="13"/>
        <v>0.28680555555555554</v>
      </c>
      <c r="AL23" s="57">
        <f t="shared" si="14"/>
        <v>0.3125</v>
      </c>
      <c r="AM23" s="57"/>
      <c r="AN23" s="57">
        <f t="shared" si="15"/>
        <v>0.68402777777777779</v>
      </c>
      <c r="AO23" s="57">
        <f t="shared" si="16"/>
        <v>0.71736111111111101</v>
      </c>
      <c r="AP23" s="57">
        <f t="shared" si="17"/>
        <v>0.78749999999999998</v>
      </c>
      <c r="AQ23" s="57">
        <f t="shared" si="18"/>
        <v>0.81805555555555554</v>
      </c>
      <c r="AR23" s="57">
        <f t="shared" si="19"/>
        <v>0.84652777777777777</v>
      </c>
      <c r="AS23" s="57">
        <f t="shared" si="20"/>
        <v>0.8666666666666667</v>
      </c>
      <c r="AT23" s="57">
        <f t="shared" si="21"/>
        <v>0.86249999999999993</v>
      </c>
      <c r="AU23" s="57">
        <f t="shared" si="22"/>
        <v>0.8340277777777777</v>
      </c>
      <c r="AV23" s="57">
        <f t="shared" si="23"/>
        <v>0.79236111111111107</v>
      </c>
      <c r="AW23" s="57">
        <f t="shared" si="24"/>
        <v>0.75069444444444444</v>
      </c>
      <c r="AX23" s="57">
        <f t="shared" si="25"/>
        <v>0.67569444444444438</v>
      </c>
      <c r="AY23" s="57">
        <f t="shared" si="26"/>
        <v>0.66597222222222219</v>
      </c>
      <c r="BA23" s="57">
        <f t="shared" si="27"/>
        <v>0.37013888888888891</v>
      </c>
      <c r="BB23" s="57">
        <f t="shared" si="27"/>
        <v>0.42986111111111097</v>
      </c>
      <c r="BC23" s="57">
        <f t="shared" si="27"/>
        <v>0.49444444444444441</v>
      </c>
      <c r="BD23" s="57">
        <f t="shared" si="27"/>
        <v>0.56736111111111109</v>
      </c>
      <c r="BE23" s="57">
        <f t="shared" si="27"/>
        <v>0.62986111111111109</v>
      </c>
      <c r="BF23" s="57">
        <f t="shared" si="27"/>
        <v>0.66388888888888886</v>
      </c>
      <c r="BG23" s="57">
        <f t="shared" si="27"/>
        <v>0.64930555555555547</v>
      </c>
      <c r="BH23" s="57">
        <f t="shared" si="27"/>
        <v>0.59444444444444433</v>
      </c>
      <c r="BI23" s="57">
        <f t="shared" si="27"/>
        <v>0.52430555555555558</v>
      </c>
      <c r="BJ23" s="57">
        <f t="shared" si="27"/>
        <v>0.45416666666666666</v>
      </c>
      <c r="BK23" s="57">
        <f t="shared" si="27"/>
        <v>0.38888888888888884</v>
      </c>
      <c r="BL23" s="57">
        <f t="shared" si="27"/>
        <v>0.35347222222222219</v>
      </c>
    </row>
    <row r="24" spans="1:64">
      <c r="A24" s="47">
        <v>16</v>
      </c>
      <c r="B24" s="184">
        <v>731</v>
      </c>
      <c r="C24" s="184">
        <v>1627</v>
      </c>
      <c r="D24" s="184">
        <v>653</v>
      </c>
      <c r="E24" s="184">
        <v>1714</v>
      </c>
      <c r="F24" s="254">
        <v>700</v>
      </c>
      <c r="G24" s="254">
        <v>1856</v>
      </c>
      <c r="H24" s="254">
        <v>559</v>
      </c>
      <c r="I24" s="254">
        <v>1940</v>
      </c>
      <c r="J24" s="254">
        <v>511</v>
      </c>
      <c r="K24" s="254">
        <v>2020</v>
      </c>
      <c r="L24" s="254">
        <v>452</v>
      </c>
      <c r="M24" s="254">
        <v>2048</v>
      </c>
      <c r="N24" s="254">
        <v>508</v>
      </c>
      <c r="O24" s="254">
        <v>2041</v>
      </c>
      <c r="P24" s="254">
        <v>546</v>
      </c>
      <c r="Q24" s="254">
        <v>1959</v>
      </c>
      <c r="R24" s="254">
        <v>628</v>
      </c>
      <c r="S24" s="254">
        <v>1859</v>
      </c>
      <c r="T24" s="254">
        <v>709</v>
      </c>
      <c r="U24" s="254">
        <v>1749</v>
      </c>
      <c r="V24" s="184">
        <v>655</v>
      </c>
      <c r="W24" s="184">
        <v>1612</v>
      </c>
      <c r="X24" s="184">
        <v>730</v>
      </c>
      <c r="Y24" s="184">
        <v>1559</v>
      </c>
      <c r="AA24" s="57">
        <f t="shared" si="3"/>
        <v>0.31319444444444444</v>
      </c>
      <c r="AB24" s="57">
        <f t="shared" si="4"/>
        <v>0.28680555555555554</v>
      </c>
      <c r="AC24" s="57">
        <f t="shared" si="5"/>
        <v>0.29166666666666669</v>
      </c>
      <c r="AD24" s="57">
        <f t="shared" si="6"/>
        <v>0.24930555555555556</v>
      </c>
      <c r="AE24" s="57">
        <f t="shared" si="7"/>
        <v>0.21597222222222223</v>
      </c>
      <c r="AF24" s="57">
        <f t="shared" si="8"/>
        <v>0.20277777777777781</v>
      </c>
      <c r="AG24" s="57">
        <f t="shared" si="9"/>
        <v>0.21388888888888891</v>
      </c>
      <c r="AH24" s="57">
        <f t="shared" si="10"/>
        <v>0.24027777777777778</v>
      </c>
      <c r="AI24" s="57">
        <f t="shared" si="11"/>
        <v>0.26944444444444443</v>
      </c>
      <c r="AJ24" s="57">
        <f t="shared" si="12"/>
        <v>0.29791666666666666</v>
      </c>
      <c r="AK24" s="57">
        <f t="shared" si="13"/>
        <v>0.28819444444444448</v>
      </c>
      <c r="AL24" s="57">
        <f t="shared" si="14"/>
        <v>0.3125</v>
      </c>
      <c r="AM24" s="57"/>
      <c r="AN24" s="57">
        <f t="shared" si="15"/>
        <v>0.68541666666666667</v>
      </c>
      <c r="AO24" s="57">
        <f t="shared" si="16"/>
        <v>0.71805555555555556</v>
      </c>
      <c r="AP24" s="57">
        <f t="shared" si="17"/>
        <v>0.78888888888888886</v>
      </c>
      <c r="AQ24" s="57">
        <f t="shared" si="18"/>
        <v>0.81944444444444453</v>
      </c>
      <c r="AR24" s="57">
        <f t="shared" si="19"/>
        <v>0.84722222222222221</v>
      </c>
      <c r="AS24" s="57">
        <f t="shared" si="20"/>
        <v>0.8666666666666667</v>
      </c>
      <c r="AT24" s="57">
        <f t="shared" si="21"/>
        <v>0.8618055555555556</v>
      </c>
      <c r="AU24" s="57">
        <f t="shared" si="22"/>
        <v>0.83263888888888893</v>
      </c>
      <c r="AV24" s="57">
        <f t="shared" si="23"/>
        <v>0.7909722222222223</v>
      </c>
      <c r="AW24" s="57">
        <f t="shared" si="24"/>
        <v>0.74236111111111114</v>
      </c>
      <c r="AX24" s="57">
        <f t="shared" si="25"/>
        <v>0.67499999999999993</v>
      </c>
      <c r="AY24" s="57">
        <f t="shared" si="26"/>
        <v>0.66597222222222219</v>
      </c>
      <c r="BA24" s="57">
        <f t="shared" si="27"/>
        <v>0.37222222222222223</v>
      </c>
      <c r="BB24" s="57">
        <f t="shared" si="27"/>
        <v>0.43125000000000002</v>
      </c>
      <c r="BC24" s="57">
        <f t="shared" si="27"/>
        <v>0.49722222222222218</v>
      </c>
      <c r="BD24" s="57">
        <f t="shared" si="27"/>
        <v>0.57013888888888897</v>
      </c>
      <c r="BE24" s="57">
        <f t="shared" si="27"/>
        <v>0.63124999999999998</v>
      </c>
      <c r="BF24" s="57">
        <f t="shared" si="27"/>
        <v>0.66388888888888886</v>
      </c>
      <c r="BG24" s="57">
        <f t="shared" si="27"/>
        <v>0.6479166666666667</v>
      </c>
      <c r="BH24" s="57">
        <f t="shared" si="27"/>
        <v>0.59236111111111112</v>
      </c>
      <c r="BI24" s="57">
        <f t="shared" si="27"/>
        <v>0.52152777777777781</v>
      </c>
      <c r="BJ24" s="57">
        <f t="shared" si="27"/>
        <v>0.44444444444444448</v>
      </c>
      <c r="BK24" s="57">
        <f t="shared" si="27"/>
        <v>0.38680555555555546</v>
      </c>
      <c r="BL24" s="57">
        <f t="shared" si="27"/>
        <v>0.35347222222222219</v>
      </c>
    </row>
    <row r="25" spans="1:64">
      <c r="A25" s="47">
        <v>17</v>
      </c>
      <c r="B25" s="184">
        <v>730</v>
      </c>
      <c r="C25" s="184">
        <v>1628</v>
      </c>
      <c r="D25" s="184">
        <v>651</v>
      </c>
      <c r="E25" s="184">
        <v>1716</v>
      </c>
      <c r="F25" s="254">
        <v>658</v>
      </c>
      <c r="G25" s="254">
        <v>1857</v>
      </c>
      <c r="H25" s="254">
        <v>557</v>
      </c>
      <c r="I25" s="254">
        <v>1941</v>
      </c>
      <c r="J25" s="254">
        <v>510</v>
      </c>
      <c r="K25" s="254">
        <v>2022</v>
      </c>
      <c r="L25" s="254">
        <v>452</v>
      </c>
      <c r="M25" s="254">
        <v>2048</v>
      </c>
      <c r="N25" s="254">
        <v>510</v>
      </c>
      <c r="O25" s="254">
        <v>2040</v>
      </c>
      <c r="P25" s="254">
        <v>548</v>
      </c>
      <c r="Q25" s="254">
        <v>1957</v>
      </c>
      <c r="R25" s="254">
        <v>629</v>
      </c>
      <c r="S25" s="254">
        <v>1857</v>
      </c>
      <c r="T25" s="254">
        <v>710</v>
      </c>
      <c r="U25" s="254">
        <v>1758</v>
      </c>
      <c r="V25" s="184">
        <v>656</v>
      </c>
      <c r="W25" s="184">
        <v>1611</v>
      </c>
      <c r="X25" s="184">
        <v>731</v>
      </c>
      <c r="Y25" s="184">
        <v>1559</v>
      </c>
      <c r="AA25" s="57">
        <f t="shared" si="3"/>
        <v>0.3125</v>
      </c>
      <c r="AB25" s="57">
        <f t="shared" si="4"/>
        <v>0.28541666666666665</v>
      </c>
      <c r="AC25" s="57">
        <f t="shared" si="5"/>
        <v>0.2902777777777778</v>
      </c>
      <c r="AD25" s="57">
        <f t="shared" si="6"/>
        <v>0.24791666666666667</v>
      </c>
      <c r="AE25" s="57">
        <f t="shared" si="7"/>
        <v>0.21527777777777779</v>
      </c>
      <c r="AF25" s="57">
        <f t="shared" si="8"/>
        <v>0.20277777777777781</v>
      </c>
      <c r="AG25" s="57">
        <f t="shared" si="9"/>
        <v>0.21527777777777779</v>
      </c>
      <c r="AH25" s="57">
        <f t="shared" si="10"/>
        <v>0.24166666666666667</v>
      </c>
      <c r="AI25" s="57">
        <f t="shared" si="11"/>
        <v>0.27013888888888887</v>
      </c>
      <c r="AJ25" s="57">
        <f t="shared" si="12"/>
        <v>0.2986111111111111</v>
      </c>
      <c r="AK25" s="57">
        <f t="shared" si="13"/>
        <v>0.28888888888888892</v>
      </c>
      <c r="AL25" s="57">
        <f t="shared" si="14"/>
        <v>0.31319444444444444</v>
      </c>
      <c r="AM25" s="57"/>
      <c r="AN25" s="57">
        <f t="shared" si="15"/>
        <v>0.68611111111111101</v>
      </c>
      <c r="AO25" s="57">
        <f t="shared" si="16"/>
        <v>0.71944444444444444</v>
      </c>
      <c r="AP25" s="57">
        <f t="shared" si="17"/>
        <v>0.7895833333333333</v>
      </c>
      <c r="AQ25" s="57">
        <f t="shared" si="18"/>
        <v>0.82013888888888886</v>
      </c>
      <c r="AR25" s="57">
        <f t="shared" si="19"/>
        <v>0.84861111111111109</v>
      </c>
      <c r="AS25" s="57">
        <f t="shared" si="20"/>
        <v>0.8666666666666667</v>
      </c>
      <c r="AT25" s="57">
        <f t="shared" si="21"/>
        <v>0.86111111111111116</v>
      </c>
      <c r="AU25" s="57">
        <f t="shared" si="22"/>
        <v>0.83124999999999993</v>
      </c>
      <c r="AV25" s="57">
        <f t="shared" si="23"/>
        <v>0.7895833333333333</v>
      </c>
      <c r="AW25" s="57">
        <f t="shared" si="24"/>
        <v>0.74861111111111101</v>
      </c>
      <c r="AX25" s="57">
        <f t="shared" si="25"/>
        <v>0.6743055555555556</v>
      </c>
      <c r="AY25" s="57">
        <f t="shared" si="26"/>
        <v>0.66597222222222219</v>
      </c>
      <c r="BA25" s="57">
        <f t="shared" si="27"/>
        <v>0.37361111111111101</v>
      </c>
      <c r="BB25" s="57">
        <f t="shared" si="27"/>
        <v>0.43402777777777779</v>
      </c>
      <c r="BC25" s="57">
        <f t="shared" si="27"/>
        <v>0.4993055555555555</v>
      </c>
      <c r="BD25" s="57">
        <f t="shared" si="27"/>
        <v>0.57222222222222219</v>
      </c>
      <c r="BE25" s="57">
        <f t="shared" si="27"/>
        <v>0.6333333333333333</v>
      </c>
      <c r="BF25" s="57">
        <f t="shared" si="27"/>
        <v>0.66388888888888886</v>
      </c>
      <c r="BG25" s="57">
        <f t="shared" si="27"/>
        <v>0.64583333333333337</v>
      </c>
      <c r="BH25" s="57">
        <f t="shared" si="27"/>
        <v>0.58958333333333324</v>
      </c>
      <c r="BI25" s="57">
        <f t="shared" si="27"/>
        <v>0.51944444444444438</v>
      </c>
      <c r="BJ25" s="57">
        <f t="shared" si="27"/>
        <v>0.4499999999999999</v>
      </c>
      <c r="BK25" s="57">
        <f t="shared" si="27"/>
        <v>0.38541666666666669</v>
      </c>
      <c r="BL25" s="57">
        <f t="shared" si="27"/>
        <v>0.35277777777777775</v>
      </c>
    </row>
    <row r="26" spans="1:64">
      <c r="A26" s="47">
        <v>18</v>
      </c>
      <c r="B26" s="184">
        <v>730</v>
      </c>
      <c r="C26" s="184">
        <v>1630</v>
      </c>
      <c r="D26" s="184">
        <v>649</v>
      </c>
      <c r="E26" s="184">
        <v>1717</v>
      </c>
      <c r="F26" s="254">
        <v>656</v>
      </c>
      <c r="G26" s="254">
        <v>1859</v>
      </c>
      <c r="H26" s="254">
        <v>555</v>
      </c>
      <c r="I26" s="254">
        <v>1942</v>
      </c>
      <c r="J26" s="254">
        <v>509</v>
      </c>
      <c r="K26" s="254">
        <v>2023</v>
      </c>
      <c r="L26" s="254">
        <v>452</v>
      </c>
      <c r="M26" s="254">
        <v>2049</v>
      </c>
      <c r="N26" s="254">
        <v>511</v>
      </c>
      <c r="O26" s="254">
        <v>2039</v>
      </c>
      <c r="P26" s="254">
        <v>549</v>
      </c>
      <c r="Q26" s="254">
        <v>1956</v>
      </c>
      <c r="R26" s="254">
        <v>630</v>
      </c>
      <c r="S26" s="254">
        <v>1855</v>
      </c>
      <c r="T26" s="254">
        <v>712</v>
      </c>
      <c r="U26" s="254">
        <v>1756</v>
      </c>
      <c r="V26" s="184">
        <v>658</v>
      </c>
      <c r="W26" s="184">
        <v>1610</v>
      </c>
      <c r="X26" s="184">
        <v>732</v>
      </c>
      <c r="Y26" s="184">
        <v>1559</v>
      </c>
      <c r="AA26" s="57">
        <f t="shared" si="3"/>
        <v>0.3125</v>
      </c>
      <c r="AB26" s="57">
        <f t="shared" si="4"/>
        <v>0.28402777777777777</v>
      </c>
      <c r="AC26" s="57">
        <f t="shared" si="5"/>
        <v>0.28888888888888892</v>
      </c>
      <c r="AD26" s="57">
        <f t="shared" si="6"/>
        <v>0.24652777777777779</v>
      </c>
      <c r="AE26" s="57">
        <f t="shared" si="7"/>
        <v>0.21458333333333335</v>
      </c>
      <c r="AF26" s="57">
        <f t="shared" si="8"/>
        <v>0.20277777777777781</v>
      </c>
      <c r="AG26" s="57">
        <f t="shared" si="9"/>
        <v>0.21597222222222223</v>
      </c>
      <c r="AH26" s="57">
        <f t="shared" si="10"/>
        <v>0.24236111111111111</v>
      </c>
      <c r="AI26" s="57">
        <f t="shared" si="11"/>
        <v>0.27083333333333331</v>
      </c>
      <c r="AJ26" s="57">
        <f t="shared" si="12"/>
        <v>0.3</v>
      </c>
      <c r="AK26" s="57">
        <f t="shared" si="13"/>
        <v>0.2902777777777778</v>
      </c>
      <c r="AL26" s="57">
        <f t="shared" si="14"/>
        <v>0.31388888888888888</v>
      </c>
      <c r="AM26" s="57"/>
      <c r="AN26" s="57">
        <f t="shared" si="15"/>
        <v>0.6875</v>
      </c>
      <c r="AO26" s="57">
        <f t="shared" si="16"/>
        <v>0.72013888888888899</v>
      </c>
      <c r="AP26" s="57">
        <f t="shared" si="17"/>
        <v>0.7909722222222223</v>
      </c>
      <c r="AQ26" s="57">
        <f t="shared" si="18"/>
        <v>0.8208333333333333</v>
      </c>
      <c r="AR26" s="57">
        <f t="shared" si="19"/>
        <v>0.84930555555555554</v>
      </c>
      <c r="AS26" s="57">
        <f t="shared" si="20"/>
        <v>0.86736111111111114</v>
      </c>
      <c r="AT26" s="57">
        <f t="shared" si="21"/>
        <v>0.86041666666666661</v>
      </c>
      <c r="AU26" s="57">
        <f t="shared" si="22"/>
        <v>0.8305555555555556</v>
      </c>
      <c r="AV26" s="57">
        <f t="shared" si="23"/>
        <v>0.78819444444444453</v>
      </c>
      <c r="AW26" s="57">
        <f t="shared" si="24"/>
        <v>0.74722222222222223</v>
      </c>
      <c r="AX26" s="57">
        <f t="shared" si="25"/>
        <v>0.67361111111111116</v>
      </c>
      <c r="AY26" s="57">
        <f t="shared" si="26"/>
        <v>0.66597222222222219</v>
      </c>
      <c r="BA26" s="57">
        <f t="shared" si="27"/>
        <v>0.375</v>
      </c>
      <c r="BB26" s="57">
        <f t="shared" si="27"/>
        <v>0.43611111111111123</v>
      </c>
      <c r="BC26" s="57">
        <f t="shared" si="27"/>
        <v>0.50208333333333344</v>
      </c>
      <c r="BD26" s="57">
        <f t="shared" si="27"/>
        <v>0.57430555555555551</v>
      </c>
      <c r="BE26" s="57">
        <f t="shared" si="27"/>
        <v>0.63472222222222219</v>
      </c>
      <c r="BF26" s="57">
        <f t="shared" si="27"/>
        <v>0.6645833333333333</v>
      </c>
      <c r="BG26" s="57">
        <f t="shared" si="27"/>
        <v>0.64444444444444438</v>
      </c>
      <c r="BH26" s="57">
        <f t="shared" si="27"/>
        <v>0.58819444444444446</v>
      </c>
      <c r="BI26" s="57">
        <f t="shared" si="27"/>
        <v>0.51736111111111116</v>
      </c>
      <c r="BJ26" s="57">
        <f t="shared" si="27"/>
        <v>0.44722222222222224</v>
      </c>
      <c r="BK26" s="57">
        <f t="shared" si="27"/>
        <v>0.38333333333333336</v>
      </c>
      <c r="BL26" s="57">
        <f t="shared" si="27"/>
        <v>0.3520833333333333</v>
      </c>
    </row>
    <row r="27" spans="1:64">
      <c r="A27" s="47">
        <v>19</v>
      </c>
      <c r="B27" s="184">
        <v>729</v>
      </c>
      <c r="C27" s="184">
        <v>1631</v>
      </c>
      <c r="D27" s="184">
        <v>648</v>
      </c>
      <c r="E27" s="184">
        <v>1719</v>
      </c>
      <c r="F27" s="254">
        <v>654</v>
      </c>
      <c r="G27" s="254">
        <v>1900</v>
      </c>
      <c r="H27" s="254">
        <v>553</v>
      </c>
      <c r="I27" s="254">
        <v>1944</v>
      </c>
      <c r="J27" s="254">
        <v>508</v>
      </c>
      <c r="K27" s="254">
        <v>2024</v>
      </c>
      <c r="L27" s="254">
        <v>452</v>
      </c>
      <c r="M27" s="254">
        <v>2049</v>
      </c>
      <c r="N27" s="254">
        <v>512</v>
      </c>
      <c r="O27" s="254">
        <v>2038</v>
      </c>
      <c r="P27" s="254">
        <v>550</v>
      </c>
      <c r="Q27" s="254">
        <v>1954</v>
      </c>
      <c r="R27" s="254">
        <v>632</v>
      </c>
      <c r="S27" s="254">
        <v>1853</v>
      </c>
      <c r="T27" s="254">
        <v>713</v>
      </c>
      <c r="U27" s="254">
        <v>1754</v>
      </c>
      <c r="V27" s="184">
        <v>659</v>
      </c>
      <c r="W27" s="184">
        <v>1609</v>
      </c>
      <c r="X27" s="184">
        <v>732</v>
      </c>
      <c r="Y27" s="184">
        <v>1600</v>
      </c>
      <c r="AA27" s="57">
        <f t="shared" si="3"/>
        <v>0.31180555555555556</v>
      </c>
      <c r="AB27" s="57">
        <f t="shared" si="4"/>
        <v>0.28333333333333333</v>
      </c>
      <c r="AC27" s="57">
        <f t="shared" si="5"/>
        <v>0.28750000000000003</v>
      </c>
      <c r="AD27" s="57">
        <f t="shared" si="6"/>
        <v>0.24513888888888888</v>
      </c>
      <c r="AE27" s="57">
        <f t="shared" si="7"/>
        <v>0.21388888888888891</v>
      </c>
      <c r="AF27" s="57">
        <f t="shared" si="8"/>
        <v>0.20277777777777781</v>
      </c>
      <c r="AG27" s="57">
        <f t="shared" si="9"/>
        <v>0.21666666666666667</v>
      </c>
      <c r="AH27" s="57">
        <f t="shared" si="10"/>
        <v>0.24305555555555555</v>
      </c>
      <c r="AI27" s="57">
        <f t="shared" si="11"/>
        <v>0.2722222222222222</v>
      </c>
      <c r="AJ27" s="57">
        <f t="shared" si="12"/>
        <v>0.30069444444444443</v>
      </c>
      <c r="AK27" s="57">
        <f t="shared" si="13"/>
        <v>0.29097222222222224</v>
      </c>
      <c r="AL27" s="57">
        <f t="shared" si="14"/>
        <v>0.31388888888888888</v>
      </c>
      <c r="AM27" s="57"/>
      <c r="AN27" s="57">
        <f t="shared" si="15"/>
        <v>0.68819444444444444</v>
      </c>
      <c r="AO27" s="57">
        <f t="shared" si="16"/>
        <v>0.72152777777777777</v>
      </c>
      <c r="AP27" s="57">
        <f t="shared" si="17"/>
        <v>0.79166666666666663</v>
      </c>
      <c r="AQ27" s="57">
        <f t="shared" si="18"/>
        <v>0.8222222222222223</v>
      </c>
      <c r="AR27" s="57">
        <f t="shared" si="19"/>
        <v>0.85</v>
      </c>
      <c r="AS27" s="57">
        <f t="shared" si="20"/>
        <v>0.86736111111111114</v>
      </c>
      <c r="AT27" s="57">
        <f t="shared" si="21"/>
        <v>0.85972222222222217</v>
      </c>
      <c r="AU27" s="57">
        <f t="shared" si="22"/>
        <v>0.82916666666666661</v>
      </c>
      <c r="AV27" s="57">
        <f t="shared" si="23"/>
        <v>0.78680555555555554</v>
      </c>
      <c r="AW27" s="57">
        <f t="shared" si="24"/>
        <v>0.74583333333333324</v>
      </c>
      <c r="AX27" s="57">
        <f t="shared" si="25"/>
        <v>0.67291666666666661</v>
      </c>
      <c r="AY27" s="57">
        <f t="shared" si="26"/>
        <v>0.66666666666666663</v>
      </c>
      <c r="BA27" s="57">
        <f t="shared" si="27"/>
        <v>0.37638888888888888</v>
      </c>
      <c r="BB27" s="57">
        <f t="shared" si="27"/>
        <v>0.43819444444444444</v>
      </c>
      <c r="BC27" s="57">
        <f t="shared" si="27"/>
        <v>0.50416666666666665</v>
      </c>
      <c r="BD27" s="57">
        <f t="shared" si="27"/>
        <v>0.57708333333333339</v>
      </c>
      <c r="BE27" s="57">
        <f t="shared" si="27"/>
        <v>0.63611111111111107</v>
      </c>
      <c r="BF27" s="57">
        <f t="shared" si="27"/>
        <v>0.6645833333333333</v>
      </c>
      <c r="BG27" s="57">
        <f t="shared" si="27"/>
        <v>0.64305555555555549</v>
      </c>
      <c r="BH27" s="57">
        <f t="shared" si="27"/>
        <v>0.58611111111111103</v>
      </c>
      <c r="BI27" s="57">
        <f t="shared" si="27"/>
        <v>0.51458333333333339</v>
      </c>
      <c r="BJ27" s="57">
        <f t="shared" si="27"/>
        <v>0.44513888888888881</v>
      </c>
      <c r="BK27" s="57">
        <f t="shared" si="27"/>
        <v>0.38194444444444436</v>
      </c>
      <c r="BL27" s="57">
        <f t="shared" si="27"/>
        <v>0.35277777777777775</v>
      </c>
    </row>
    <row r="28" spans="1:64">
      <c r="A28" s="47">
        <v>20</v>
      </c>
      <c r="B28" s="184">
        <v>728</v>
      </c>
      <c r="C28" s="184">
        <v>1632</v>
      </c>
      <c r="D28" s="184">
        <v>646</v>
      </c>
      <c r="E28" s="184">
        <v>1720</v>
      </c>
      <c r="F28" s="254">
        <v>652</v>
      </c>
      <c r="G28" s="254">
        <v>1902</v>
      </c>
      <c r="H28" s="254">
        <v>552</v>
      </c>
      <c r="I28" s="254">
        <v>1945</v>
      </c>
      <c r="J28" s="254">
        <v>507</v>
      </c>
      <c r="K28" s="254">
        <v>2025</v>
      </c>
      <c r="L28" s="254">
        <v>452</v>
      </c>
      <c r="M28" s="254">
        <v>2049</v>
      </c>
      <c r="N28" s="254">
        <v>513</v>
      </c>
      <c r="O28" s="254">
        <v>2037</v>
      </c>
      <c r="P28" s="254">
        <v>552</v>
      </c>
      <c r="Q28" s="254">
        <v>1952</v>
      </c>
      <c r="R28" s="254">
        <v>633</v>
      </c>
      <c r="S28" s="254">
        <v>1851</v>
      </c>
      <c r="T28" s="254">
        <v>715</v>
      </c>
      <c r="U28" s="254">
        <v>1752</v>
      </c>
      <c r="V28" s="184">
        <v>701</v>
      </c>
      <c r="W28" s="184">
        <v>1608</v>
      </c>
      <c r="X28" s="184">
        <v>733</v>
      </c>
      <c r="Y28" s="184">
        <v>1600</v>
      </c>
      <c r="AA28" s="57">
        <f t="shared" si="3"/>
        <v>0.31111111111111112</v>
      </c>
      <c r="AB28" s="57">
        <f t="shared" si="4"/>
        <v>0.28194444444444444</v>
      </c>
      <c r="AC28" s="57">
        <f t="shared" si="5"/>
        <v>0.28611111111111115</v>
      </c>
      <c r="AD28" s="57">
        <f t="shared" si="6"/>
        <v>0.24444444444444446</v>
      </c>
      <c r="AE28" s="57">
        <f t="shared" si="7"/>
        <v>0.21319444444444444</v>
      </c>
      <c r="AF28" s="57">
        <f t="shared" si="8"/>
        <v>0.20277777777777781</v>
      </c>
      <c r="AG28" s="57">
        <f t="shared" si="9"/>
        <v>0.21736111111111112</v>
      </c>
      <c r="AH28" s="57">
        <f t="shared" si="10"/>
        <v>0.24444444444444446</v>
      </c>
      <c r="AI28" s="57">
        <f t="shared" si="11"/>
        <v>0.27291666666666664</v>
      </c>
      <c r="AJ28" s="57">
        <f t="shared" si="12"/>
        <v>0.30208333333333331</v>
      </c>
      <c r="AK28" s="57">
        <f t="shared" si="13"/>
        <v>0.29236111111111113</v>
      </c>
      <c r="AL28" s="57">
        <f t="shared" si="14"/>
        <v>0.31458333333333333</v>
      </c>
      <c r="AM28" s="57"/>
      <c r="AN28" s="57">
        <f t="shared" si="15"/>
        <v>0.68888888888888899</v>
      </c>
      <c r="AO28" s="57">
        <f t="shared" si="16"/>
        <v>0.72222222222222221</v>
      </c>
      <c r="AP28" s="57">
        <f t="shared" si="17"/>
        <v>0.79305555555555562</v>
      </c>
      <c r="AQ28" s="57">
        <f t="shared" si="18"/>
        <v>0.82291666666666663</v>
      </c>
      <c r="AR28" s="57">
        <f t="shared" si="19"/>
        <v>0.85069444444444453</v>
      </c>
      <c r="AS28" s="57">
        <f t="shared" si="20"/>
        <v>0.86736111111111114</v>
      </c>
      <c r="AT28" s="57">
        <f t="shared" si="21"/>
        <v>0.85902777777777783</v>
      </c>
      <c r="AU28" s="57">
        <f t="shared" si="22"/>
        <v>0.82777777777777783</v>
      </c>
      <c r="AV28" s="57">
        <f t="shared" si="23"/>
        <v>0.78541666666666676</v>
      </c>
      <c r="AW28" s="57">
        <f t="shared" si="24"/>
        <v>0.74444444444444446</v>
      </c>
      <c r="AX28" s="57">
        <f t="shared" si="25"/>
        <v>0.67222222222222217</v>
      </c>
      <c r="AY28" s="57">
        <f t="shared" si="26"/>
        <v>0.66666666666666663</v>
      </c>
      <c r="BA28" s="57">
        <f t="shared" si="27"/>
        <v>0.37777777777777788</v>
      </c>
      <c r="BB28" s="57">
        <f t="shared" si="27"/>
        <v>0.44027777777777777</v>
      </c>
      <c r="BC28" s="57">
        <f t="shared" si="27"/>
        <v>0.50694444444444442</v>
      </c>
      <c r="BD28" s="57">
        <f t="shared" si="27"/>
        <v>0.57847222222222217</v>
      </c>
      <c r="BE28" s="57">
        <f t="shared" si="27"/>
        <v>0.63750000000000007</v>
      </c>
      <c r="BF28" s="57">
        <f t="shared" si="27"/>
        <v>0.6645833333333333</v>
      </c>
      <c r="BG28" s="57">
        <f t="shared" si="27"/>
        <v>0.64166666666666672</v>
      </c>
      <c r="BH28" s="57">
        <f t="shared" si="27"/>
        <v>0.58333333333333337</v>
      </c>
      <c r="BI28" s="57">
        <f t="shared" si="27"/>
        <v>0.51250000000000018</v>
      </c>
      <c r="BJ28" s="57">
        <f t="shared" si="27"/>
        <v>0.44236111111111115</v>
      </c>
      <c r="BK28" s="57">
        <f t="shared" si="27"/>
        <v>0.37986111111111104</v>
      </c>
      <c r="BL28" s="57">
        <f t="shared" si="27"/>
        <v>0.3520833333333333</v>
      </c>
    </row>
    <row r="29" spans="1:64">
      <c r="A29" s="47">
        <v>21</v>
      </c>
      <c r="B29" s="184">
        <v>727</v>
      </c>
      <c r="C29" s="184">
        <v>1634</v>
      </c>
      <c r="D29" s="184">
        <v>644</v>
      </c>
      <c r="E29" s="184">
        <v>1722</v>
      </c>
      <c r="F29" s="254">
        <v>650</v>
      </c>
      <c r="G29" s="254">
        <v>1903</v>
      </c>
      <c r="H29" s="254">
        <v>550</v>
      </c>
      <c r="I29" s="254">
        <v>1947</v>
      </c>
      <c r="J29" s="254">
        <v>506</v>
      </c>
      <c r="K29" s="254">
        <v>2026</v>
      </c>
      <c r="L29" s="254">
        <v>452</v>
      </c>
      <c r="M29" s="254">
        <v>2049</v>
      </c>
      <c r="N29" s="254">
        <v>514</v>
      </c>
      <c r="O29" s="254">
        <v>2036</v>
      </c>
      <c r="P29" s="254">
        <v>553</v>
      </c>
      <c r="Q29" s="254">
        <v>1950</v>
      </c>
      <c r="R29" s="254">
        <v>634</v>
      </c>
      <c r="S29" s="254">
        <v>1849</v>
      </c>
      <c r="T29" s="254">
        <v>716</v>
      </c>
      <c r="U29" s="254">
        <v>1750</v>
      </c>
      <c r="V29" s="184">
        <v>702</v>
      </c>
      <c r="W29" s="184">
        <v>1607</v>
      </c>
      <c r="X29" s="184">
        <v>733</v>
      </c>
      <c r="Y29" s="184">
        <v>1601</v>
      </c>
      <c r="AA29" s="57">
        <f t="shared" si="3"/>
        <v>0.31041666666666667</v>
      </c>
      <c r="AB29" s="57">
        <f t="shared" si="4"/>
        <v>0.28055555555555556</v>
      </c>
      <c r="AC29" s="57">
        <f t="shared" si="5"/>
        <v>0.28472222222222221</v>
      </c>
      <c r="AD29" s="57">
        <f t="shared" si="6"/>
        <v>0.24305555555555555</v>
      </c>
      <c r="AE29" s="57">
        <f t="shared" si="7"/>
        <v>0.21249999999999999</v>
      </c>
      <c r="AF29" s="57">
        <f t="shared" si="8"/>
        <v>0.20277777777777781</v>
      </c>
      <c r="AG29" s="57">
        <f t="shared" si="9"/>
        <v>0.21805555555555556</v>
      </c>
      <c r="AH29" s="57">
        <f t="shared" si="10"/>
        <v>0.24513888888888888</v>
      </c>
      <c r="AI29" s="57">
        <f t="shared" si="11"/>
        <v>0.27361111111111108</v>
      </c>
      <c r="AJ29" s="57">
        <f t="shared" si="12"/>
        <v>0.30277777777777776</v>
      </c>
      <c r="AK29" s="57">
        <f t="shared" si="13"/>
        <v>0.29305555555555557</v>
      </c>
      <c r="AL29" s="57">
        <f t="shared" si="14"/>
        <v>0.31458333333333333</v>
      </c>
      <c r="AM29" s="57"/>
      <c r="AN29" s="57">
        <f t="shared" si="15"/>
        <v>0.69027777777777777</v>
      </c>
      <c r="AO29" s="57">
        <f t="shared" si="16"/>
        <v>0.72361111111111109</v>
      </c>
      <c r="AP29" s="57">
        <f t="shared" si="17"/>
        <v>0.79375000000000007</v>
      </c>
      <c r="AQ29" s="57">
        <f t="shared" si="18"/>
        <v>0.82430555555555562</v>
      </c>
      <c r="AR29" s="57">
        <f t="shared" si="19"/>
        <v>0.85138888888888886</v>
      </c>
      <c r="AS29" s="57">
        <f t="shared" si="20"/>
        <v>0.86736111111111114</v>
      </c>
      <c r="AT29" s="57">
        <f t="shared" si="21"/>
        <v>0.85833333333333339</v>
      </c>
      <c r="AU29" s="57">
        <f t="shared" si="22"/>
        <v>0.82638888888888884</v>
      </c>
      <c r="AV29" s="57">
        <f t="shared" si="23"/>
        <v>0.78402777777777777</v>
      </c>
      <c r="AW29" s="57">
        <f t="shared" si="24"/>
        <v>0.74305555555555547</v>
      </c>
      <c r="AX29" s="57">
        <f t="shared" si="25"/>
        <v>0.67152777777777783</v>
      </c>
      <c r="AY29" s="57">
        <f t="shared" si="26"/>
        <v>0.66736111111111107</v>
      </c>
      <c r="BA29" s="57">
        <f t="shared" si="27"/>
        <v>0.37986111111111109</v>
      </c>
      <c r="BB29" s="57">
        <f t="shared" si="27"/>
        <v>0.44305555555555554</v>
      </c>
      <c r="BC29" s="57">
        <f t="shared" si="27"/>
        <v>0.50902777777777786</v>
      </c>
      <c r="BD29" s="57">
        <f t="shared" si="27"/>
        <v>0.58125000000000004</v>
      </c>
      <c r="BE29" s="57">
        <f t="shared" si="27"/>
        <v>0.63888888888888884</v>
      </c>
      <c r="BF29" s="57">
        <f t="shared" si="27"/>
        <v>0.6645833333333333</v>
      </c>
      <c r="BG29" s="57">
        <f t="shared" si="27"/>
        <v>0.64027777777777783</v>
      </c>
      <c r="BH29" s="57">
        <f t="shared" si="27"/>
        <v>0.58124999999999993</v>
      </c>
      <c r="BI29" s="57">
        <f t="shared" si="27"/>
        <v>0.51041666666666674</v>
      </c>
      <c r="BJ29" s="57">
        <f t="shared" si="27"/>
        <v>0.44027777777777771</v>
      </c>
      <c r="BK29" s="57">
        <f t="shared" si="27"/>
        <v>0.37847222222222227</v>
      </c>
      <c r="BL29" s="57">
        <f t="shared" si="27"/>
        <v>0.35277777777777775</v>
      </c>
    </row>
    <row r="30" spans="1:64">
      <c r="A30" s="47">
        <v>22</v>
      </c>
      <c r="B30" s="184">
        <v>726</v>
      </c>
      <c r="C30" s="184">
        <v>1635</v>
      </c>
      <c r="D30" s="184">
        <v>642</v>
      </c>
      <c r="E30" s="184">
        <v>1723</v>
      </c>
      <c r="F30" s="254">
        <v>648</v>
      </c>
      <c r="G30" s="254">
        <v>1904</v>
      </c>
      <c r="H30" s="254">
        <v>548</v>
      </c>
      <c r="I30" s="254">
        <v>1948</v>
      </c>
      <c r="J30" s="254">
        <v>505</v>
      </c>
      <c r="K30" s="254">
        <v>2027</v>
      </c>
      <c r="L30" s="254">
        <v>452</v>
      </c>
      <c r="M30" s="254">
        <v>2050</v>
      </c>
      <c r="N30" s="254">
        <v>515</v>
      </c>
      <c r="O30" s="254">
        <v>2035</v>
      </c>
      <c r="P30" s="254">
        <v>554</v>
      </c>
      <c r="Q30" s="254">
        <v>1948</v>
      </c>
      <c r="R30" s="254">
        <v>636</v>
      </c>
      <c r="S30" s="254">
        <v>1847</v>
      </c>
      <c r="T30" s="254">
        <v>717</v>
      </c>
      <c r="U30" s="254">
        <v>1749</v>
      </c>
      <c r="V30" s="184">
        <v>703</v>
      </c>
      <c r="W30" s="184">
        <v>1606</v>
      </c>
      <c r="X30" s="184">
        <v>734</v>
      </c>
      <c r="Y30" s="184">
        <v>1601</v>
      </c>
      <c r="AA30" s="57">
        <f t="shared" si="3"/>
        <v>0.30972222222222223</v>
      </c>
      <c r="AB30" s="57">
        <f t="shared" si="4"/>
        <v>0.27916666666666667</v>
      </c>
      <c r="AC30" s="57">
        <f t="shared" si="5"/>
        <v>0.28333333333333333</v>
      </c>
      <c r="AD30" s="57">
        <f t="shared" si="6"/>
        <v>0.24166666666666667</v>
      </c>
      <c r="AE30" s="57">
        <f t="shared" si="7"/>
        <v>0.21180555555555555</v>
      </c>
      <c r="AF30" s="57">
        <f t="shared" si="8"/>
        <v>0.20277777777777781</v>
      </c>
      <c r="AG30" s="57">
        <f t="shared" si="9"/>
        <v>0.21875</v>
      </c>
      <c r="AH30" s="57">
        <f t="shared" si="10"/>
        <v>0.24583333333333335</v>
      </c>
      <c r="AI30" s="57">
        <f t="shared" si="11"/>
        <v>0.27499999999999997</v>
      </c>
      <c r="AJ30" s="57">
        <f t="shared" si="12"/>
        <v>0.3034722222222222</v>
      </c>
      <c r="AK30" s="57">
        <f t="shared" si="13"/>
        <v>0.29375000000000001</v>
      </c>
      <c r="AL30" s="57">
        <f t="shared" si="14"/>
        <v>0.31527777777777777</v>
      </c>
      <c r="AM30" s="57"/>
      <c r="AN30" s="57">
        <f t="shared" si="15"/>
        <v>0.69097222222222221</v>
      </c>
      <c r="AO30" s="57">
        <f t="shared" si="16"/>
        <v>0.72430555555555554</v>
      </c>
      <c r="AP30" s="57">
        <f t="shared" si="17"/>
        <v>0.7944444444444444</v>
      </c>
      <c r="AQ30" s="57">
        <f t="shared" si="18"/>
        <v>0.82500000000000007</v>
      </c>
      <c r="AR30" s="57">
        <f t="shared" si="19"/>
        <v>0.8520833333333333</v>
      </c>
      <c r="AS30" s="57">
        <f t="shared" si="20"/>
        <v>0.86805555555555547</v>
      </c>
      <c r="AT30" s="57">
        <f t="shared" si="21"/>
        <v>0.85763888888888884</v>
      </c>
      <c r="AU30" s="57">
        <f t="shared" si="22"/>
        <v>0.82500000000000007</v>
      </c>
      <c r="AV30" s="57">
        <f t="shared" si="23"/>
        <v>0.78263888888888899</v>
      </c>
      <c r="AW30" s="57">
        <f t="shared" si="24"/>
        <v>0.74236111111111114</v>
      </c>
      <c r="AX30" s="57">
        <f t="shared" si="25"/>
        <v>0.67083333333333339</v>
      </c>
      <c r="AY30" s="57">
        <f t="shared" si="26"/>
        <v>0.66736111111111107</v>
      </c>
      <c r="BA30" s="57">
        <f t="shared" si="27"/>
        <v>0.38124999999999998</v>
      </c>
      <c r="BB30" s="57">
        <f t="shared" si="27"/>
        <v>0.44513888888888886</v>
      </c>
      <c r="BC30" s="57">
        <f t="shared" si="27"/>
        <v>0.51111111111111107</v>
      </c>
      <c r="BD30" s="57">
        <f t="shared" ref="BD30:BL39" si="28">AQ30-AD30</f>
        <v>0.58333333333333337</v>
      </c>
      <c r="BE30" s="57">
        <f t="shared" si="28"/>
        <v>0.64027777777777772</v>
      </c>
      <c r="BF30" s="57">
        <f t="shared" si="28"/>
        <v>0.66527777777777763</v>
      </c>
      <c r="BG30" s="57">
        <f t="shared" si="28"/>
        <v>0.63888888888888884</v>
      </c>
      <c r="BH30" s="57">
        <f t="shared" si="28"/>
        <v>0.57916666666666672</v>
      </c>
      <c r="BI30" s="57">
        <f t="shared" si="28"/>
        <v>0.50763888888888897</v>
      </c>
      <c r="BJ30" s="57">
        <f t="shared" si="28"/>
        <v>0.43888888888888894</v>
      </c>
      <c r="BK30" s="57">
        <f t="shared" si="28"/>
        <v>0.37708333333333338</v>
      </c>
      <c r="BL30" s="57">
        <f t="shared" si="28"/>
        <v>0.3520833333333333</v>
      </c>
    </row>
    <row r="31" spans="1:64">
      <c r="A31" s="47">
        <v>23</v>
      </c>
      <c r="B31" s="184">
        <v>725</v>
      </c>
      <c r="C31" s="184">
        <v>1637</v>
      </c>
      <c r="D31" s="184">
        <v>641</v>
      </c>
      <c r="E31" s="184">
        <v>1725</v>
      </c>
      <c r="F31" s="254">
        <v>646</v>
      </c>
      <c r="G31" s="254">
        <v>1906</v>
      </c>
      <c r="H31" s="254">
        <v>546</v>
      </c>
      <c r="I31" s="254">
        <v>1949</v>
      </c>
      <c r="J31" s="254">
        <v>504</v>
      </c>
      <c r="K31" s="254">
        <v>2029</v>
      </c>
      <c r="L31" s="254">
        <v>453</v>
      </c>
      <c r="M31" s="254">
        <v>2050</v>
      </c>
      <c r="N31" s="254">
        <v>516</v>
      </c>
      <c r="O31" s="254">
        <v>2034</v>
      </c>
      <c r="P31" s="254">
        <v>556</v>
      </c>
      <c r="Q31" s="254">
        <v>1947</v>
      </c>
      <c r="R31" s="254">
        <v>637</v>
      </c>
      <c r="S31" s="254">
        <v>1845</v>
      </c>
      <c r="T31" s="254">
        <v>719</v>
      </c>
      <c r="U31" s="254">
        <v>1747</v>
      </c>
      <c r="V31" s="184">
        <v>705</v>
      </c>
      <c r="W31" s="184">
        <v>1606</v>
      </c>
      <c r="X31" s="184">
        <v>734</v>
      </c>
      <c r="Y31" s="184">
        <v>1602</v>
      </c>
      <c r="AA31" s="57">
        <f t="shared" si="3"/>
        <v>0.30902777777777779</v>
      </c>
      <c r="AB31" s="57">
        <f t="shared" si="4"/>
        <v>0.27847222222222223</v>
      </c>
      <c r="AC31" s="57">
        <f t="shared" si="5"/>
        <v>0.28194444444444444</v>
      </c>
      <c r="AD31" s="57">
        <f t="shared" si="6"/>
        <v>0.24027777777777778</v>
      </c>
      <c r="AE31" s="57">
        <f t="shared" si="7"/>
        <v>0.21111111111111111</v>
      </c>
      <c r="AF31" s="57">
        <f t="shared" si="8"/>
        <v>0.20347222222222219</v>
      </c>
      <c r="AG31" s="57">
        <f t="shared" si="9"/>
        <v>0.21944444444444444</v>
      </c>
      <c r="AH31" s="57">
        <f t="shared" si="10"/>
        <v>0.24722222222222223</v>
      </c>
      <c r="AI31" s="57">
        <f t="shared" si="11"/>
        <v>0.27569444444444446</v>
      </c>
      <c r="AJ31" s="57">
        <f t="shared" si="12"/>
        <v>0.30486111111111108</v>
      </c>
      <c r="AK31" s="57">
        <f t="shared" si="13"/>
        <v>0.2951388888888889</v>
      </c>
      <c r="AL31" s="57">
        <f t="shared" si="14"/>
        <v>0.31527777777777777</v>
      </c>
      <c r="AM31" s="57"/>
      <c r="AN31" s="57">
        <f t="shared" si="15"/>
        <v>0.69236111111111109</v>
      </c>
      <c r="AO31" s="57">
        <f t="shared" si="16"/>
        <v>0.72569444444444453</v>
      </c>
      <c r="AP31" s="57">
        <f t="shared" si="17"/>
        <v>0.79583333333333339</v>
      </c>
      <c r="AQ31" s="57">
        <f t="shared" si="18"/>
        <v>0.8256944444444444</v>
      </c>
      <c r="AR31" s="57">
        <f t="shared" si="19"/>
        <v>0.8534722222222223</v>
      </c>
      <c r="AS31" s="57">
        <f t="shared" si="20"/>
        <v>0.86805555555555547</v>
      </c>
      <c r="AT31" s="57">
        <f t="shared" si="21"/>
        <v>0.8569444444444444</v>
      </c>
      <c r="AU31" s="57">
        <f t="shared" si="22"/>
        <v>0.82430555555555562</v>
      </c>
      <c r="AV31" s="57">
        <f t="shared" si="23"/>
        <v>0.78125</v>
      </c>
      <c r="AW31" s="57">
        <f t="shared" si="24"/>
        <v>0.74097222222222225</v>
      </c>
      <c r="AX31" s="57">
        <f t="shared" si="25"/>
        <v>0.67083333333333339</v>
      </c>
      <c r="AY31" s="57">
        <f t="shared" si="26"/>
        <v>0.66805555555555562</v>
      </c>
      <c r="BA31" s="57">
        <f t="shared" ref="BA31:BC39" si="29">AN31-AA31</f>
        <v>0.3833333333333333</v>
      </c>
      <c r="BB31" s="57">
        <f t="shared" si="29"/>
        <v>0.4472222222222223</v>
      </c>
      <c r="BC31" s="57">
        <f t="shared" si="29"/>
        <v>0.51388888888888895</v>
      </c>
      <c r="BD31" s="57">
        <f t="shared" si="28"/>
        <v>0.58541666666666659</v>
      </c>
      <c r="BE31" s="57">
        <f t="shared" si="28"/>
        <v>0.64236111111111116</v>
      </c>
      <c r="BF31" s="57">
        <f t="shared" si="28"/>
        <v>0.6645833333333333</v>
      </c>
      <c r="BG31" s="57">
        <f t="shared" si="28"/>
        <v>0.63749999999999996</v>
      </c>
      <c r="BH31" s="57">
        <f t="shared" si="28"/>
        <v>0.57708333333333339</v>
      </c>
      <c r="BI31" s="57">
        <f t="shared" si="28"/>
        <v>0.50555555555555554</v>
      </c>
      <c r="BJ31" s="57">
        <f t="shared" si="28"/>
        <v>0.43611111111111117</v>
      </c>
      <c r="BK31" s="57">
        <f t="shared" si="28"/>
        <v>0.3756944444444445</v>
      </c>
      <c r="BL31" s="57">
        <f t="shared" si="28"/>
        <v>0.35277777777777786</v>
      </c>
    </row>
    <row r="32" spans="1:64">
      <c r="A32" s="47">
        <v>24</v>
      </c>
      <c r="B32" s="184">
        <v>724</v>
      </c>
      <c r="C32" s="184">
        <v>1638</v>
      </c>
      <c r="D32" s="184">
        <v>639</v>
      </c>
      <c r="E32" s="184">
        <v>1726</v>
      </c>
      <c r="F32" s="254">
        <v>644</v>
      </c>
      <c r="G32" s="254">
        <v>1907</v>
      </c>
      <c r="H32" s="254">
        <v>544</v>
      </c>
      <c r="I32" s="254">
        <v>1951</v>
      </c>
      <c r="J32" s="254">
        <v>503</v>
      </c>
      <c r="K32" s="254">
        <v>2030</v>
      </c>
      <c r="L32" s="254">
        <v>453</v>
      </c>
      <c r="M32" s="254">
        <v>2050</v>
      </c>
      <c r="N32" s="254">
        <v>517</v>
      </c>
      <c r="O32" s="254">
        <v>2033</v>
      </c>
      <c r="P32" s="254">
        <v>557</v>
      </c>
      <c r="Q32" s="254">
        <v>1945</v>
      </c>
      <c r="R32" s="254">
        <v>638</v>
      </c>
      <c r="S32" s="254">
        <v>1843</v>
      </c>
      <c r="T32" s="254">
        <v>720</v>
      </c>
      <c r="U32" s="254">
        <v>1745</v>
      </c>
      <c r="V32" s="184">
        <v>706</v>
      </c>
      <c r="W32" s="184">
        <v>1605</v>
      </c>
      <c r="X32" s="184">
        <v>735</v>
      </c>
      <c r="Y32" s="184">
        <v>1602</v>
      </c>
      <c r="AA32" s="57">
        <f t="shared" si="3"/>
        <v>0.30833333333333335</v>
      </c>
      <c r="AB32" s="57">
        <f t="shared" si="4"/>
        <v>0.27708333333333335</v>
      </c>
      <c r="AC32" s="57">
        <f t="shared" si="5"/>
        <v>0.28055555555555556</v>
      </c>
      <c r="AD32" s="57">
        <f t="shared" si="6"/>
        <v>0.2388888888888889</v>
      </c>
      <c r="AE32" s="57">
        <f t="shared" si="7"/>
        <v>0.21041666666666667</v>
      </c>
      <c r="AF32" s="57">
        <f t="shared" si="8"/>
        <v>0.20347222222222219</v>
      </c>
      <c r="AG32" s="57">
        <f t="shared" si="9"/>
        <v>0.22013888888888888</v>
      </c>
      <c r="AH32" s="57">
        <f t="shared" si="10"/>
        <v>0.24791666666666667</v>
      </c>
      <c r="AI32" s="57">
        <f t="shared" si="11"/>
        <v>0.27638888888888885</v>
      </c>
      <c r="AJ32" s="57">
        <f t="shared" si="12"/>
        <v>0.30555555555555552</v>
      </c>
      <c r="AK32" s="57">
        <f t="shared" si="13"/>
        <v>0.29583333333333334</v>
      </c>
      <c r="AL32" s="57">
        <f t="shared" si="14"/>
        <v>0.31597222222222221</v>
      </c>
      <c r="AM32" s="57"/>
      <c r="AN32" s="57">
        <f t="shared" si="15"/>
        <v>0.69305555555555554</v>
      </c>
      <c r="AO32" s="57">
        <f t="shared" si="16"/>
        <v>0.72638888888888886</v>
      </c>
      <c r="AP32" s="57">
        <f t="shared" si="17"/>
        <v>0.79652777777777783</v>
      </c>
      <c r="AQ32" s="57">
        <f t="shared" si="18"/>
        <v>0.82708333333333339</v>
      </c>
      <c r="AR32" s="57">
        <f t="shared" si="19"/>
        <v>0.85416666666666663</v>
      </c>
      <c r="AS32" s="57">
        <f t="shared" si="20"/>
        <v>0.86805555555555547</v>
      </c>
      <c r="AT32" s="57">
        <f t="shared" si="21"/>
        <v>0.85625000000000007</v>
      </c>
      <c r="AU32" s="57">
        <f t="shared" si="22"/>
        <v>0.82291666666666663</v>
      </c>
      <c r="AV32" s="57">
        <f t="shared" si="23"/>
        <v>0.77986111111111101</v>
      </c>
      <c r="AW32" s="57">
        <f t="shared" si="24"/>
        <v>0.73958333333333337</v>
      </c>
      <c r="AX32" s="57">
        <f t="shared" si="25"/>
        <v>0.67013888888888884</v>
      </c>
      <c r="AY32" s="57">
        <f t="shared" si="26"/>
        <v>0.66805555555555562</v>
      </c>
      <c r="BA32" s="57">
        <f t="shared" si="29"/>
        <v>0.38472222222222219</v>
      </c>
      <c r="BB32" s="57">
        <f t="shared" si="29"/>
        <v>0.44930555555555551</v>
      </c>
      <c r="BC32" s="57">
        <f t="shared" si="29"/>
        <v>0.51597222222222228</v>
      </c>
      <c r="BD32" s="57">
        <f t="shared" si="28"/>
        <v>0.58819444444444446</v>
      </c>
      <c r="BE32" s="57">
        <f t="shared" si="28"/>
        <v>0.64374999999999993</v>
      </c>
      <c r="BF32" s="57">
        <f t="shared" si="28"/>
        <v>0.6645833333333333</v>
      </c>
      <c r="BG32" s="57">
        <f t="shared" si="28"/>
        <v>0.63611111111111118</v>
      </c>
      <c r="BH32" s="57">
        <f t="shared" si="28"/>
        <v>0.57499999999999996</v>
      </c>
      <c r="BI32" s="57">
        <f t="shared" si="28"/>
        <v>0.5034722222222221</v>
      </c>
      <c r="BJ32" s="57">
        <f t="shared" si="28"/>
        <v>0.43402777777777785</v>
      </c>
      <c r="BK32" s="57">
        <f t="shared" si="28"/>
        <v>0.3743055555555555</v>
      </c>
      <c r="BL32" s="57">
        <f t="shared" si="28"/>
        <v>0.35208333333333341</v>
      </c>
    </row>
    <row r="33" spans="1:64">
      <c r="A33" s="47">
        <v>25</v>
      </c>
      <c r="B33" s="184">
        <v>723</v>
      </c>
      <c r="C33" s="184">
        <v>1640</v>
      </c>
      <c r="D33" s="184">
        <v>637</v>
      </c>
      <c r="E33" s="184">
        <v>1728</v>
      </c>
      <c r="F33" s="254">
        <v>642</v>
      </c>
      <c r="G33" s="254">
        <v>1909</v>
      </c>
      <c r="H33" s="254">
        <v>543</v>
      </c>
      <c r="I33" s="254">
        <v>1952</v>
      </c>
      <c r="J33" s="254">
        <v>502</v>
      </c>
      <c r="K33" s="254">
        <v>2031</v>
      </c>
      <c r="L33" s="254">
        <v>453</v>
      </c>
      <c r="M33" s="254">
        <v>2050</v>
      </c>
      <c r="N33" s="254">
        <v>518</v>
      </c>
      <c r="O33" s="254">
        <v>2032</v>
      </c>
      <c r="P33" s="254">
        <v>558</v>
      </c>
      <c r="Q33" s="254">
        <v>1943</v>
      </c>
      <c r="R33" s="254">
        <v>640</v>
      </c>
      <c r="S33" s="254">
        <v>1841</v>
      </c>
      <c r="T33" s="254">
        <v>722</v>
      </c>
      <c r="U33" s="254">
        <v>1743</v>
      </c>
      <c r="V33" s="184">
        <v>708</v>
      </c>
      <c r="W33" s="184">
        <v>1604</v>
      </c>
      <c r="X33" s="184">
        <v>735</v>
      </c>
      <c r="Y33" s="184">
        <v>1603</v>
      </c>
      <c r="AA33" s="57">
        <f t="shared" si="3"/>
        <v>0.30763888888888891</v>
      </c>
      <c r="AB33" s="57">
        <f t="shared" si="4"/>
        <v>0.27569444444444446</v>
      </c>
      <c r="AC33" s="57">
        <f t="shared" si="5"/>
        <v>0.27916666666666667</v>
      </c>
      <c r="AD33" s="57">
        <f t="shared" si="6"/>
        <v>0.23819444444444446</v>
      </c>
      <c r="AE33" s="57">
        <f t="shared" si="7"/>
        <v>0.20972222222222223</v>
      </c>
      <c r="AF33" s="57">
        <f t="shared" si="8"/>
        <v>0.20347222222222219</v>
      </c>
      <c r="AG33" s="57">
        <f t="shared" si="9"/>
        <v>0.22083333333333333</v>
      </c>
      <c r="AH33" s="57">
        <f t="shared" si="10"/>
        <v>0.24861111111111112</v>
      </c>
      <c r="AI33" s="57">
        <f t="shared" si="11"/>
        <v>0.27777777777777779</v>
      </c>
      <c r="AJ33" s="57">
        <f t="shared" si="12"/>
        <v>0.30694444444444441</v>
      </c>
      <c r="AK33" s="57">
        <f t="shared" si="13"/>
        <v>0.29722222222222222</v>
      </c>
      <c r="AL33" s="57">
        <f t="shared" si="14"/>
        <v>0.31597222222222221</v>
      </c>
      <c r="AM33" s="57"/>
      <c r="AN33" s="57">
        <f t="shared" si="15"/>
        <v>0.69444444444444453</v>
      </c>
      <c r="AO33" s="57">
        <f t="shared" si="16"/>
        <v>0.72777777777777775</v>
      </c>
      <c r="AP33" s="57">
        <f t="shared" si="17"/>
        <v>0.79791666666666661</v>
      </c>
      <c r="AQ33" s="57">
        <f t="shared" si="18"/>
        <v>0.82777777777777783</v>
      </c>
      <c r="AR33" s="57">
        <f t="shared" si="19"/>
        <v>0.85486111111111107</v>
      </c>
      <c r="AS33" s="57">
        <f t="shared" si="20"/>
        <v>0.86805555555555547</v>
      </c>
      <c r="AT33" s="57">
        <f t="shared" si="21"/>
        <v>0.85555555555555562</v>
      </c>
      <c r="AU33" s="57">
        <f t="shared" si="22"/>
        <v>0.82152777777777775</v>
      </c>
      <c r="AV33" s="57">
        <f t="shared" si="23"/>
        <v>0.77847222222222223</v>
      </c>
      <c r="AW33" s="57">
        <f t="shared" si="24"/>
        <v>0.73819444444444438</v>
      </c>
      <c r="AX33" s="57">
        <f t="shared" si="25"/>
        <v>0.6694444444444444</v>
      </c>
      <c r="AY33" s="57">
        <f t="shared" si="26"/>
        <v>0.66875000000000007</v>
      </c>
      <c r="BA33" s="57">
        <f t="shared" si="29"/>
        <v>0.38680555555555562</v>
      </c>
      <c r="BB33" s="57">
        <f t="shared" si="29"/>
        <v>0.45208333333333328</v>
      </c>
      <c r="BC33" s="57">
        <f t="shared" si="29"/>
        <v>0.51874999999999993</v>
      </c>
      <c r="BD33" s="57">
        <f t="shared" si="28"/>
        <v>0.58958333333333335</v>
      </c>
      <c r="BE33" s="57">
        <f t="shared" si="28"/>
        <v>0.64513888888888882</v>
      </c>
      <c r="BF33" s="57">
        <f t="shared" si="28"/>
        <v>0.6645833333333333</v>
      </c>
      <c r="BG33" s="57">
        <f t="shared" si="28"/>
        <v>0.6347222222222223</v>
      </c>
      <c r="BH33" s="57">
        <f t="shared" si="28"/>
        <v>0.57291666666666663</v>
      </c>
      <c r="BI33" s="57">
        <f t="shared" si="28"/>
        <v>0.50069444444444444</v>
      </c>
      <c r="BJ33" s="57">
        <f t="shared" si="28"/>
        <v>0.43124999999999997</v>
      </c>
      <c r="BK33" s="57">
        <f t="shared" si="28"/>
        <v>0.37222222222222218</v>
      </c>
      <c r="BL33" s="57">
        <f t="shared" si="28"/>
        <v>0.35277777777777786</v>
      </c>
    </row>
    <row r="34" spans="1:64">
      <c r="A34" s="47">
        <v>26</v>
      </c>
      <c r="B34" s="184">
        <v>722</v>
      </c>
      <c r="C34" s="184">
        <v>1641</v>
      </c>
      <c r="D34" s="184">
        <v>635</v>
      </c>
      <c r="E34" s="184">
        <v>1729</v>
      </c>
      <c r="F34" s="254">
        <v>640</v>
      </c>
      <c r="G34" s="254">
        <v>1910</v>
      </c>
      <c r="H34" s="254">
        <v>541</v>
      </c>
      <c r="I34" s="254">
        <v>1954</v>
      </c>
      <c r="J34" s="254">
        <v>501</v>
      </c>
      <c r="K34" s="254">
        <v>2032</v>
      </c>
      <c r="L34" s="254">
        <v>454</v>
      </c>
      <c r="M34" s="254">
        <v>2050</v>
      </c>
      <c r="N34" s="254">
        <v>520</v>
      </c>
      <c r="O34" s="254">
        <v>2031</v>
      </c>
      <c r="P34" s="254">
        <v>600</v>
      </c>
      <c r="Q34" s="254">
        <v>1941</v>
      </c>
      <c r="R34" s="254">
        <v>641</v>
      </c>
      <c r="S34" s="254">
        <v>1839</v>
      </c>
      <c r="T34" s="254">
        <v>723</v>
      </c>
      <c r="U34" s="254">
        <v>1742</v>
      </c>
      <c r="V34" s="184">
        <v>709</v>
      </c>
      <c r="W34" s="184">
        <v>1603</v>
      </c>
      <c r="X34" s="184">
        <v>735</v>
      </c>
      <c r="Y34" s="184">
        <v>1604</v>
      </c>
      <c r="AA34" s="57">
        <f t="shared" si="3"/>
        <v>0.30694444444444441</v>
      </c>
      <c r="AB34" s="57">
        <f t="shared" si="4"/>
        <v>0.27430555555555552</v>
      </c>
      <c r="AC34" s="57">
        <f t="shared" si="5"/>
        <v>0.27777777777777779</v>
      </c>
      <c r="AD34" s="57">
        <f t="shared" si="6"/>
        <v>0.23680555555555557</v>
      </c>
      <c r="AE34" s="57">
        <f t="shared" si="7"/>
        <v>0.20902777777777778</v>
      </c>
      <c r="AF34" s="57">
        <f t="shared" si="8"/>
        <v>0.20416666666666669</v>
      </c>
      <c r="AG34" s="57">
        <f t="shared" si="9"/>
        <v>0.22222222222222221</v>
      </c>
      <c r="AH34" s="57">
        <f t="shared" si="10"/>
        <v>0.25</v>
      </c>
      <c r="AI34" s="57">
        <f t="shared" si="11"/>
        <v>0.27847222222222223</v>
      </c>
      <c r="AJ34" s="57">
        <f t="shared" si="12"/>
        <v>0.30763888888888891</v>
      </c>
      <c r="AK34" s="57">
        <f t="shared" si="13"/>
        <v>0.29791666666666666</v>
      </c>
      <c r="AL34" s="57">
        <f t="shared" si="14"/>
        <v>0.31597222222222221</v>
      </c>
      <c r="AM34" s="57"/>
      <c r="AN34" s="57">
        <f t="shared" si="15"/>
        <v>0.69513888888888886</v>
      </c>
      <c r="AO34" s="57">
        <f t="shared" si="16"/>
        <v>0.7284722222222223</v>
      </c>
      <c r="AP34" s="57">
        <f t="shared" si="17"/>
        <v>0.79861111111111116</v>
      </c>
      <c r="AQ34" s="57">
        <f t="shared" si="18"/>
        <v>0.82916666666666661</v>
      </c>
      <c r="AR34" s="57">
        <f t="shared" si="19"/>
        <v>0.85555555555555562</v>
      </c>
      <c r="AS34" s="57">
        <f t="shared" si="20"/>
        <v>0.86805555555555547</v>
      </c>
      <c r="AT34" s="57">
        <f t="shared" si="21"/>
        <v>0.85486111111111107</v>
      </c>
      <c r="AU34" s="57">
        <f t="shared" si="22"/>
        <v>0.82013888888888886</v>
      </c>
      <c r="AV34" s="57">
        <f t="shared" si="23"/>
        <v>0.77708333333333324</v>
      </c>
      <c r="AW34" s="57">
        <f t="shared" si="24"/>
        <v>0.73749999999999993</v>
      </c>
      <c r="AX34" s="57">
        <f t="shared" si="25"/>
        <v>0.66875000000000007</v>
      </c>
      <c r="AY34" s="57">
        <f t="shared" si="26"/>
        <v>0.6694444444444444</v>
      </c>
      <c r="BA34" s="57">
        <f t="shared" si="29"/>
        <v>0.38819444444444445</v>
      </c>
      <c r="BB34" s="57">
        <f t="shared" si="29"/>
        <v>0.45416666666666677</v>
      </c>
      <c r="BC34" s="57">
        <f t="shared" si="29"/>
        <v>0.52083333333333337</v>
      </c>
      <c r="BD34" s="57">
        <f t="shared" si="28"/>
        <v>0.59236111111111101</v>
      </c>
      <c r="BE34" s="57">
        <f t="shared" si="28"/>
        <v>0.64652777777777781</v>
      </c>
      <c r="BF34" s="57">
        <f t="shared" si="28"/>
        <v>0.66388888888888875</v>
      </c>
      <c r="BG34" s="57">
        <f t="shared" si="28"/>
        <v>0.63263888888888886</v>
      </c>
      <c r="BH34" s="57">
        <f t="shared" si="28"/>
        <v>0.57013888888888886</v>
      </c>
      <c r="BI34" s="57">
        <f t="shared" si="28"/>
        <v>0.49861111111111101</v>
      </c>
      <c r="BJ34" s="57">
        <f t="shared" si="28"/>
        <v>0.42986111111111103</v>
      </c>
      <c r="BK34" s="57">
        <f t="shared" si="28"/>
        <v>0.3708333333333334</v>
      </c>
      <c r="BL34" s="57">
        <f t="shared" si="28"/>
        <v>0.35347222222222219</v>
      </c>
    </row>
    <row r="35" spans="1:64">
      <c r="A35" s="47">
        <v>27</v>
      </c>
      <c r="B35" s="184">
        <v>721</v>
      </c>
      <c r="C35" s="184">
        <v>1643</v>
      </c>
      <c r="D35" s="184">
        <v>633</v>
      </c>
      <c r="E35" s="184">
        <v>1731</v>
      </c>
      <c r="F35" s="254">
        <v>638</v>
      </c>
      <c r="G35" s="254">
        <v>1911</v>
      </c>
      <c r="H35" s="254">
        <v>539</v>
      </c>
      <c r="I35" s="254">
        <v>1955</v>
      </c>
      <c r="J35" s="254">
        <v>500</v>
      </c>
      <c r="K35" s="254">
        <v>2033</v>
      </c>
      <c r="L35" s="254">
        <v>454</v>
      </c>
      <c r="M35" s="254">
        <v>2050</v>
      </c>
      <c r="N35" s="254">
        <v>521</v>
      </c>
      <c r="O35" s="254">
        <v>2029</v>
      </c>
      <c r="P35" s="254">
        <v>601</v>
      </c>
      <c r="Q35" s="254">
        <v>1939</v>
      </c>
      <c r="R35" s="254">
        <v>642</v>
      </c>
      <c r="S35" s="254">
        <v>1837</v>
      </c>
      <c r="T35" s="254">
        <v>725</v>
      </c>
      <c r="U35" s="254">
        <v>1740</v>
      </c>
      <c r="V35" s="184">
        <v>710</v>
      </c>
      <c r="W35" s="184">
        <v>1603</v>
      </c>
      <c r="X35" s="184">
        <v>736</v>
      </c>
      <c r="Y35" s="184">
        <v>1604</v>
      </c>
      <c r="AA35" s="57">
        <f t="shared" si="3"/>
        <v>0.30624999999999997</v>
      </c>
      <c r="AB35" s="57">
        <f t="shared" si="4"/>
        <v>0.27291666666666664</v>
      </c>
      <c r="AC35" s="57">
        <f t="shared" si="5"/>
        <v>0.27638888888888885</v>
      </c>
      <c r="AD35" s="57">
        <f t="shared" si="6"/>
        <v>0.23541666666666669</v>
      </c>
      <c r="AE35" s="57">
        <f t="shared" si="7"/>
        <v>0.20833333333333334</v>
      </c>
      <c r="AF35" s="57">
        <f t="shared" si="8"/>
        <v>0.20416666666666669</v>
      </c>
      <c r="AG35" s="57">
        <f t="shared" si="9"/>
        <v>0.22291666666666665</v>
      </c>
      <c r="AH35" s="57">
        <f t="shared" si="10"/>
        <v>0.25069444444444444</v>
      </c>
      <c r="AI35" s="57">
        <f t="shared" si="11"/>
        <v>0.27916666666666667</v>
      </c>
      <c r="AJ35" s="57">
        <f t="shared" si="12"/>
        <v>0.30902777777777779</v>
      </c>
      <c r="AK35" s="57">
        <f t="shared" si="13"/>
        <v>0.2986111111111111</v>
      </c>
      <c r="AL35" s="57">
        <f t="shared" si="14"/>
        <v>0.31666666666666665</v>
      </c>
      <c r="AM35" s="57"/>
      <c r="AN35" s="57">
        <f t="shared" si="15"/>
        <v>0.69652777777777775</v>
      </c>
      <c r="AO35" s="57">
        <f t="shared" si="16"/>
        <v>0.72986111111111107</v>
      </c>
      <c r="AP35" s="57">
        <f t="shared" si="17"/>
        <v>0.7993055555555556</v>
      </c>
      <c r="AQ35" s="57">
        <f t="shared" si="18"/>
        <v>0.82986111111111116</v>
      </c>
      <c r="AR35" s="57">
        <f t="shared" si="19"/>
        <v>0.85625000000000007</v>
      </c>
      <c r="AS35" s="57">
        <f t="shared" si="20"/>
        <v>0.86805555555555547</v>
      </c>
      <c r="AT35" s="57">
        <f t="shared" si="21"/>
        <v>0.8534722222222223</v>
      </c>
      <c r="AU35" s="57">
        <f t="shared" si="22"/>
        <v>0.81874999999999998</v>
      </c>
      <c r="AV35" s="57">
        <f t="shared" si="23"/>
        <v>0.77569444444444446</v>
      </c>
      <c r="AW35" s="57">
        <f t="shared" si="24"/>
        <v>0.73611111111111116</v>
      </c>
      <c r="AX35" s="57">
        <f t="shared" si="25"/>
        <v>0.66875000000000007</v>
      </c>
      <c r="AY35" s="57">
        <f t="shared" si="26"/>
        <v>0.6694444444444444</v>
      </c>
      <c r="BA35" s="57">
        <f t="shared" si="29"/>
        <v>0.39027777777777778</v>
      </c>
      <c r="BB35" s="57">
        <f t="shared" si="29"/>
        <v>0.45694444444444443</v>
      </c>
      <c r="BC35" s="57">
        <f t="shared" si="29"/>
        <v>0.5229166666666667</v>
      </c>
      <c r="BD35" s="57">
        <f t="shared" si="28"/>
        <v>0.59444444444444444</v>
      </c>
      <c r="BE35" s="57">
        <f t="shared" si="28"/>
        <v>0.6479166666666667</v>
      </c>
      <c r="BF35" s="57">
        <f t="shared" si="28"/>
        <v>0.66388888888888875</v>
      </c>
      <c r="BG35" s="57">
        <f t="shared" si="28"/>
        <v>0.63055555555555565</v>
      </c>
      <c r="BH35" s="57">
        <f t="shared" si="28"/>
        <v>0.56805555555555554</v>
      </c>
      <c r="BI35" s="57">
        <f t="shared" si="28"/>
        <v>0.49652777777777779</v>
      </c>
      <c r="BJ35" s="57">
        <f t="shared" si="28"/>
        <v>0.42708333333333337</v>
      </c>
      <c r="BK35" s="57">
        <f t="shared" si="28"/>
        <v>0.37013888888888896</v>
      </c>
      <c r="BL35" s="57">
        <f t="shared" si="28"/>
        <v>0.35277777777777775</v>
      </c>
    </row>
    <row r="36" spans="1:64">
      <c r="A36" s="47">
        <v>28</v>
      </c>
      <c r="B36" s="184">
        <v>720</v>
      </c>
      <c r="C36" s="184">
        <v>1644</v>
      </c>
      <c r="D36" s="184">
        <v>631</v>
      </c>
      <c r="E36" s="184">
        <v>1732</v>
      </c>
      <c r="F36" s="254">
        <v>636</v>
      </c>
      <c r="G36" s="254">
        <v>1913</v>
      </c>
      <c r="H36" s="254">
        <v>538</v>
      </c>
      <c r="I36" s="254">
        <v>1956</v>
      </c>
      <c r="J36" s="254">
        <v>459</v>
      </c>
      <c r="K36" s="254">
        <v>2034</v>
      </c>
      <c r="L36" s="254">
        <v>455</v>
      </c>
      <c r="M36" s="254">
        <v>2050</v>
      </c>
      <c r="N36" s="254">
        <v>522</v>
      </c>
      <c r="O36" s="254">
        <v>2028</v>
      </c>
      <c r="P36" s="254">
        <v>602</v>
      </c>
      <c r="Q36" s="254">
        <v>1937</v>
      </c>
      <c r="R36" s="254">
        <v>644</v>
      </c>
      <c r="S36" s="254">
        <v>1835</v>
      </c>
      <c r="T36" s="254">
        <v>726</v>
      </c>
      <c r="U36" s="254">
        <v>1738</v>
      </c>
      <c r="V36" s="184">
        <v>712</v>
      </c>
      <c r="W36" s="184">
        <v>1602</v>
      </c>
      <c r="X36" s="184">
        <v>736</v>
      </c>
      <c r="Y36" s="184">
        <v>1605</v>
      </c>
      <c r="AA36" s="57">
        <f t="shared" si="3"/>
        <v>0.30555555555555552</v>
      </c>
      <c r="AB36" s="57">
        <f t="shared" si="4"/>
        <v>0.27152777777777776</v>
      </c>
      <c r="AC36" s="57">
        <f t="shared" si="5"/>
        <v>0.27499999999999997</v>
      </c>
      <c r="AD36" s="57">
        <f t="shared" si="6"/>
        <v>0.23472222222222219</v>
      </c>
      <c r="AE36" s="57">
        <f t="shared" si="7"/>
        <v>0.2076388888888889</v>
      </c>
      <c r="AF36" s="57">
        <f t="shared" si="8"/>
        <v>0.20486111111111113</v>
      </c>
      <c r="AG36" s="57">
        <f t="shared" si="9"/>
        <v>0.22361111111111109</v>
      </c>
      <c r="AH36" s="57">
        <f t="shared" si="10"/>
        <v>0.25138888888888888</v>
      </c>
      <c r="AI36" s="57">
        <f t="shared" si="11"/>
        <v>0.28055555555555556</v>
      </c>
      <c r="AJ36" s="57">
        <f t="shared" si="12"/>
        <v>0.30972222222222223</v>
      </c>
      <c r="AK36" s="57">
        <f t="shared" si="13"/>
        <v>0.3</v>
      </c>
      <c r="AL36" s="57">
        <f t="shared" si="14"/>
        <v>0.31666666666666665</v>
      </c>
      <c r="AM36" s="57"/>
      <c r="AN36" s="57">
        <f t="shared" si="15"/>
        <v>0.6972222222222223</v>
      </c>
      <c r="AO36" s="57">
        <f t="shared" si="16"/>
        <v>0.73055555555555562</v>
      </c>
      <c r="AP36" s="57">
        <f t="shared" si="17"/>
        <v>0.80069444444444438</v>
      </c>
      <c r="AQ36" s="57">
        <f t="shared" si="18"/>
        <v>0.8305555555555556</v>
      </c>
      <c r="AR36" s="57">
        <f t="shared" si="19"/>
        <v>0.8569444444444444</v>
      </c>
      <c r="AS36" s="57">
        <f t="shared" si="20"/>
        <v>0.86805555555555547</v>
      </c>
      <c r="AT36" s="57">
        <f t="shared" si="21"/>
        <v>0.85277777777777775</v>
      </c>
      <c r="AU36" s="57">
        <f t="shared" si="22"/>
        <v>0.81736111111111109</v>
      </c>
      <c r="AV36" s="57">
        <f t="shared" si="23"/>
        <v>0.77430555555555547</v>
      </c>
      <c r="AW36" s="57">
        <f t="shared" si="24"/>
        <v>0.73472222222222217</v>
      </c>
      <c r="AX36" s="57">
        <f t="shared" si="25"/>
        <v>0.66805555555555562</v>
      </c>
      <c r="AY36" s="57">
        <f t="shared" si="26"/>
        <v>0.67013888888888884</v>
      </c>
      <c r="BA36" s="57">
        <f t="shared" si="29"/>
        <v>0.39166666666666677</v>
      </c>
      <c r="BB36" s="57">
        <f t="shared" si="29"/>
        <v>0.45902777777777787</v>
      </c>
      <c r="BC36" s="57">
        <f t="shared" si="29"/>
        <v>0.52569444444444446</v>
      </c>
      <c r="BD36" s="57">
        <f t="shared" si="28"/>
        <v>0.59583333333333344</v>
      </c>
      <c r="BE36" s="57">
        <f t="shared" si="28"/>
        <v>0.64930555555555547</v>
      </c>
      <c r="BF36" s="57">
        <f t="shared" si="28"/>
        <v>0.66319444444444431</v>
      </c>
      <c r="BG36" s="57">
        <f t="shared" si="28"/>
        <v>0.62916666666666665</v>
      </c>
      <c r="BH36" s="57">
        <f t="shared" si="28"/>
        <v>0.56597222222222221</v>
      </c>
      <c r="BI36" s="57">
        <f t="shared" si="28"/>
        <v>0.49374999999999991</v>
      </c>
      <c r="BJ36" s="57">
        <f t="shared" si="28"/>
        <v>0.42499999999999993</v>
      </c>
      <c r="BK36" s="57">
        <f t="shared" si="28"/>
        <v>0.36805555555555564</v>
      </c>
      <c r="BL36" s="57">
        <f t="shared" si="28"/>
        <v>0.35347222222222219</v>
      </c>
    </row>
    <row r="37" spans="1:64">
      <c r="A37" s="47">
        <v>29</v>
      </c>
      <c r="B37" s="184">
        <v>719</v>
      </c>
      <c r="C37" s="184">
        <v>1646</v>
      </c>
      <c r="D37" s="184"/>
      <c r="E37" s="404"/>
      <c r="F37" s="254">
        <v>634</v>
      </c>
      <c r="G37" s="254">
        <v>1914</v>
      </c>
      <c r="H37" s="254">
        <v>536</v>
      </c>
      <c r="I37" s="254">
        <v>1958</v>
      </c>
      <c r="J37" s="254">
        <v>458</v>
      </c>
      <c r="K37" s="254">
        <v>2035</v>
      </c>
      <c r="L37" s="254">
        <v>455</v>
      </c>
      <c r="M37" s="254">
        <v>2050</v>
      </c>
      <c r="N37" s="254">
        <v>523</v>
      </c>
      <c r="O37" s="254">
        <v>2027</v>
      </c>
      <c r="P37" s="254">
        <v>604</v>
      </c>
      <c r="Q37" s="254">
        <v>1935</v>
      </c>
      <c r="R37" s="254">
        <v>645</v>
      </c>
      <c r="S37" s="254">
        <v>1833</v>
      </c>
      <c r="T37" s="254">
        <v>728</v>
      </c>
      <c r="U37" s="254">
        <v>1737</v>
      </c>
      <c r="V37" s="184">
        <v>713</v>
      </c>
      <c r="W37" s="184">
        <v>1601</v>
      </c>
      <c r="X37" s="184">
        <v>736</v>
      </c>
      <c r="Y37" s="184">
        <v>1606</v>
      </c>
      <c r="AA37" s="57">
        <f t="shared" si="3"/>
        <v>0.30486111111111108</v>
      </c>
      <c r="AB37" s="57">
        <f t="shared" si="4"/>
        <v>0</v>
      </c>
      <c r="AC37" s="57">
        <f t="shared" si="5"/>
        <v>0.27361111111111108</v>
      </c>
      <c r="AD37" s="57">
        <f t="shared" si="6"/>
        <v>0.23333333333333331</v>
      </c>
      <c r="AE37" s="57">
        <f t="shared" si="7"/>
        <v>0.20694444444444446</v>
      </c>
      <c r="AF37" s="57">
        <f t="shared" si="8"/>
        <v>0.20486111111111113</v>
      </c>
      <c r="AG37" s="57">
        <f t="shared" si="9"/>
        <v>0.22430555555555556</v>
      </c>
      <c r="AH37" s="57">
        <f t="shared" si="10"/>
        <v>0.25277777777777777</v>
      </c>
      <c r="AI37" s="57">
        <f t="shared" si="11"/>
        <v>0.28125</v>
      </c>
      <c r="AJ37" s="57">
        <f t="shared" si="12"/>
        <v>0.31111111111111112</v>
      </c>
      <c r="AK37" s="57">
        <f t="shared" si="13"/>
        <v>0.30069444444444443</v>
      </c>
      <c r="AL37" s="57">
        <f t="shared" si="14"/>
        <v>0.31666666666666665</v>
      </c>
      <c r="AM37" s="57"/>
      <c r="AN37" s="57">
        <f t="shared" si="15"/>
        <v>0.69861111111111107</v>
      </c>
      <c r="AO37" s="57">
        <f t="shared" si="16"/>
        <v>0</v>
      </c>
      <c r="AP37" s="57">
        <f t="shared" si="17"/>
        <v>0.80138888888888893</v>
      </c>
      <c r="AQ37" s="57">
        <f t="shared" si="18"/>
        <v>0.83194444444444438</v>
      </c>
      <c r="AR37" s="57">
        <f t="shared" si="19"/>
        <v>0.85763888888888884</v>
      </c>
      <c r="AS37" s="57">
        <f t="shared" si="20"/>
        <v>0.86805555555555547</v>
      </c>
      <c r="AT37" s="57">
        <f t="shared" si="21"/>
        <v>0.8520833333333333</v>
      </c>
      <c r="AU37" s="57">
        <f t="shared" si="22"/>
        <v>0.81597222222222221</v>
      </c>
      <c r="AV37" s="57">
        <f t="shared" si="23"/>
        <v>0.7729166666666667</v>
      </c>
      <c r="AW37" s="57">
        <f t="shared" si="24"/>
        <v>0.73402777777777783</v>
      </c>
      <c r="AX37" s="57">
        <f t="shared" si="25"/>
        <v>0.66736111111111107</v>
      </c>
      <c r="AY37" s="57">
        <f t="shared" si="26"/>
        <v>0.67083333333333339</v>
      </c>
      <c r="BA37" s="57">
        <f t="shared" si="29"/>
        <v>0.39374999999999999</v>
      </c>
      <c r="BB37" s="57">
        <f t="shared" si="29"/>
        <v>0</v>
      </c>
      <c r="BC37" s="57">
        <f t="shared" si="29"/>
        <v>0.5277777777777779</v>
      </c>
      <c r="BD37" s="57">
        <f t="shared" si="28"/>
        <v>0.59861111111111109</v>
      </c>
      <c r="BE37" s="57">
        <f t="shared" si="28"/>
        <v>0.65069444444444435</v>
      </c>
      <c r="BF37" s="57">
        <f t="shared" si="28"/>
        <v>0.66319444444444431</v>
      </c>
      <c r="BG37" s="57">
        <f t="shared" si="28"/>
        <v>0.62777777777777777</v>
      </c>
      <c r="BH37" s="57">
        <f t="shared" si="28"/>
        <v>0.56319444444444444</v>
      </c>
      <c r="BI37" s="57">
        <f t="shared" si="28"/>
        <v>0.4916666666666667</v>
      </c>
      <c r="BJ37" s="57">
        <f t="shared" si="28"/>
        <v>0.42291666666666672</v>
      </c>
      <c r="BK37" s="57">
        <f t="shared" si="28"/>
        <v>0.36666666666666664</v>
      </c>
      <c r="BL37" s="57">
        <f t="shared" si="28"/>
        <v>0.35416666666666674</v>
      </c>
    </row>
    <row r="38" spans="1:64">
      <c r="A38" s="47">
        <v>30</v>
      </c>
      <c r="B38" s="184">
        <v>718</v>
      </c>
      <c r="C38" s="184">
        <v>1648</v>
      </c>
      <c r="D38" s="184"/>
      <c r="E38" s="404"/>
      <c r="F38" s="254">
        <v>632</v>
      </c>
      <c r="G38" s="254">
        <v>1916</v>
      </c>
      <c r="H38" s="254">
        <v>534</v>
      </c>
      <c r="I38" s="254">
        <v>1959</v>
      </c>
      <c r="J38" s="254">
        <v>458</v>
      </c>
      <c r="K38" s="254">
        <v>2036</v>
      </c>
      <c r="L38" s="254">
        <v>456</v>
      </c>
      <c r="M38" s="254">
        <v>2050</v>
      </c>
      <c r="N38" s="254">
        <v>524</v>
      </c>
      <c r="O38" s="254">
        <v>2026</v>
      </c>
      <c r="P38" s="254">
        <v>605</v>
      </c>
      <c r="Q38" s="254">
        <v>1933</v>
      </c>
      <c r="R38" s="254">
        <v>646</v>
      </c>
      <c r="S38" s="254">
        <v>1831</v>
      </c>
      <c r="T38" s="254">
        <v>729</v>
      </c>
      <c r="U38" s="254">
        <v>1735</v>
      </c>
      <c r="V38" s="184">
        <v>714</v>
      </c>
      <c r="W38" s="184">
        <v>1601</v>
      </c>
      <c r="X38" s="184">
        <v>736</v>
      </c>
      <c r="Y38" s="184">
        <v>1607</v>
      </c>
      <c r="AA38" s="57">
        <f t="shared" si="3"/>
        <v>0.30416666666666664</v>
      </c>
      <c r="AB38" s="57">
        <f t="shared" si="4"/>
        <v>0</v>
      </c>
      <c r="AC38" s="57">
        <f t="shared" si="5"/>
        <v>0.2722222222222222</v>
      </c>
      <c r="AD38" s="57">
        <f t="shared" si="6"/>
        <v>0.23194444444444443</v>
      </c>
      <c r="AE38" s="57">
        <f t="shared" si="7"/>
        <v>0.20694444444444446</v>
      </c>
      <c r="AF38" s="57">
        <f t="shared" si="8"/>
        <v>0.20555555555555557</v>
      </c>
      <c r="AG38" s="57">
        <f t="shared" si="9"/>
        <v>0.22500000000000001</v>
      </c>
      <c r="AH38" s="57">
        <f t="shared" si="10"/>
        <v>0.25347222222222221</v>
      </c>
      <c r="AI38" s="57">
        <f t="shared" si="11"/>
        <v>0.28194444444444444</v>
      </c>
      <c r="AJ38" s="57">
        <f t="shared" si="12"/>
        <v>0.31180555555555556</v>
      </c>
      <c r="AK38" s="57">
        <f t="shared" si="13"/>
        <v>0.30138888888888887</v>
      </c>
      <c r="AL38" s="57">
        <f t="shared" si="14"/>
        <v>0.31666666666666665</v>
      </c>
      <c r="AM38" s="57"/>
      <c r="AN38" s="57">
        <f t="shared" si="15"/>
        <v>0.70000000000000007</v>
      </c>
      <c r="AO38" s="57">
        <f t="shared" si="16"/>
        <v>0</v>
      </c>
      <c r="AP38" s="57">
        <f t="shared" si="17"/>
        <v>0.8027777777777777</v>
      </c>
      <c r="AQ38" s="57">
        <f t="shared" si="18"/>
        <v>0.83263888888888893</v>
      </c>
      <c r="AR38" s="57">
        <f t="shared" si="19"/>
        <v>0.85833333333333339</v>
      </c>
      <c r="AS38" s="57">
        <f t="shared" si="20"/>
        <v>0.86805555555555547</v>
      </c>
      <c r="AT38" s="57">
        <f t="shared" si="21"/>
        <v>0.85138888888888886</v>
      </c>
      <c r="AU38" s="57">
        <f t="shared" si="22"/>
        <v>0.81458333333333333</v>
      </c>
      <c r="AV38" s="57">
        <f t="shared" si="23"/>
        <v>0.7715277777777777</v>
      </c>
      <c r="AW38" s="57">
        <f t="shared" si="24"/>
        <v>0.73263888888888884</v>
      </c>
      <c r="AX38" s="57">
        <f t="shared" si="25"/>
        <v>0.66736111111111107</v>
      </c>
      <c r="AY38" s="57">
        <f t="shared" si="26"/>
        <v>0.67152777777777783</v>
      </c>
      <c r="BA38" s="57">
        <f t="shared" si="29"/>
        <v>0.39583333333333343</v>
      </c>
      <c r="BB38" s="57">
        <f t="shared" si="29"/>
        <v>0</v>
      </c>
      <c r="BC38" s="57">
        <f t="shared" si="29"/>
        <v>0.53055555555555545</v>
      </c>
      <c r="BD38" s="57">
        <f t="shared" si="28"/>
        <v>0.60069444444444453</v>
      </c>
      <c r="BE38" s="57">
        <f t="shared" si="28"/>
        <v>0.65138888888888891</v>
      </c>
      <c r="BF38" s="57">
        <f t="shared" si="28"/>
        <v>0.66249999999999987</v>
      </c>
      <c r="BG38" s="57">
        <f t="shared" si="28"/>
        <v>0.62638888888888888</v>
      </c>
      <c r="BH38" s="57">
        <f t="shared" si="28"/>
        <v>0.56111111111111112</v>
      </c>
      <c r="BI38" s="57">
        <f t="shared" si="28"/>
        <v>0.48958333333333326</v>
      </c>
      <c r="BJ38" s="57">
        <f t="shared" si="28"/>
        <v>0.42083333333333328</v>
      </c>
      <c r="BK38" s="57">
        <f t="shared" si="28"/>
        <v>0.3659722222222222</v>
      </c>
      <c r="BL38" s="57">
        <f t="shared" si="28"/>
        <v>0.35486111111111118</v>
      </c>
    </row>
    <row r="39" spans="1:64">
      <c r="A39" s="47">
        <v>31</v>
      </c>
      <c r="B39" s="184">
        <v>716</v>
      </c>
      <c r="C39" s="184">
        <v>1649</v>
      </c>
      <c r="D39" s="184"/>
      <c r="E39" s="404"/>
      <c r="F39" s="254">
        <v>630</v>
      </c>
      <c r="G39" s="254">
        <v>1917</v>
      </c>
      <c r="H39" s="254"/>
      <c r="I39" s="254"/>
      <c r="J39" s="254">
        <v>457</v>
      </c>
      <c r="K39" s="254">
        <v>2037</v>
      </c>
      <c r="L39" s="254"/>
      <c r="M39" s="254"/>
      <c r="N39" s="254">
        <v>526</v>
      </c>
      <c r="O39" s="254">
        <v>2024</v>
      </c>
      <c r="P39" s="254">
        <v>606</v>
      </c>
      <c r="Q39" s="254">
        <v>1931</v>
      </c>
      <c r="R39" s="254"/>
      <c r="S39" s="254"/>
      <c r="T39" s="254">
        <v>731</v>
      </c>
      <c r="U39" s="254">
        <v>1734</v>
      </c>
      <c r="V39" s="404"/>
      <c r="W39" s="404"/>
      <c r="X39" s="184">
        <v>736</v>
      </c>
      <c r="Y39" s="184">
        <v>1608</v>
      </c>
      <c r="AA39" s="57">
        <f t="shared" si="3"/>
        <v>0.30277777777777776</v>
      </c>
      <c r="AB39" s="57">
        <f t="shared" si="4"/>
        <v>0</v>
      </c>
      <c r="AC39" s="57">
        <f t="shared" si="5"/>
        <v>0.27083333333333331</v>
      </c>
      <c r="AD39" s="57">
        <f t="shared" si="6"/>
        <v>0</v>
      </c>
      <c r="AE39" s="57">
        <f t="shared" si="7"/>
        <v>0.20625000000000002</v>
      </c>
      <c r="AF39" s="57">
        <f t="shared" si="8"/>
        <v>0</v>
      </c>
      <c r="AG39" s="57">
        <f t="shared" si="9"/>
        <v>0.22638888888888889</v>
      </c>
      <c r="AH39" s="57">
        <f t="shared" si="10"/>
        <v>0.25416666666666665</v>
      </c>
      <c r="AI39" s="57">
        <f t="shared" si="11"/>
        <v>0</v>
      </c>
      <c r="AJ39" s="57">
        <f t="shared" si="12"/>
        <v>0.31319444444444444</v>
      </c>
      <c r="AK39" s="57">
        <f t="shared" si="13"/>
        <v>0</v>
      </c>
      <c r="AL39" s="57">
        <f t="shared" si="14"/>
        <v>0.31666666666666665</v>
      </c>
      <c r="AM39" s="57"/>
      <c r="AN39" s="57">
        <f t="shared" si="15"/>
        <v>0.7006944444444444</v>
      </c>
      <c r="AO39" s="57">
        <f t="shared" si="16"/>
        <v>0</v>
      </c>
      <c r="AP39" s="57">
        <f t="shared" si="17"/>
        <v>0.80347222222222225</v>
      </c>
      <c r="AQ39" s="57">
        <f t="shared" si="18"/>
        <v>0</v>
      </c>
      <c r="AR39" s="57">
        <f t="shared" si="19"/>
        <v>0.85902777777777783</v>
      </c>
      <c r="AS39" s="57">
        <f t="shared" si="20"/>
        <v>0</v>
      </c>
      <c r="AT39" s="57">
        <f t="shared" si="21"/>
        <v>0.85</v>
      </c>
      <c r="AU39" s="57">
        <f t="shared" si="22"/>
        <v>0.81319444444444444</v>
      </c>
      <c r="AV39" s="57">
        <f t="shared" si="23"/>
        <v>0</v>
      </c>
      <c r="AW39" s="57">
        <f t="shared" si="24"/>
        <v>0.7319444444444444</v>
      </c>
      <c r="AX39" s="57">
        <f t="shared" si="25"/>
        <v>0</v>
      </c>
      <c r="AY39" s="57">
        <f t="shared" si="26"/>
        <v>0.67222222222222217</v>
      </c>
      <c r="BA39" s="57">
        <f t="shared" si="29"/>
        <v>0.39791666666666664</v>
      </c>
      <c r="BB39" s="57">
        <f t="shared" si="29"/>
        <v>0</v>
      </c>
      <c r="BC39" s="57">
        <f t="shared" si="29"/>
        <v>0.53263888888888888</v>
      </c>
      <c r="BD39" s="57">
        <f t="shared" si="28"/>
        <v>0</v>
      </c>
      <c r="BE39" s="57">
        <f t="shared" si="28"/>
        <v>0.65277777777777779</v>
      </c>
      <c r="BF39" s="57">
        <f t="shared" si="28"/>
        <v>0</v>
      </c>
      <c r="BG39" s="57">
        <f t="shared" si="28"/>
        <v>0.62361111111111112</v>
      </c>
      <c r="BH39" s="57">
        <f t="shared" si="28"/>
        <v>0.55902777777777779</v>
      </c>
      <c r="BI39" s="57">
        <f t="shared" si="28"/>
        <v>0</v>
      </c>
      <c r="BJ39" s="57">
        <f t="shared" si="28"/>
        <v>0.41874999999999996</v>
      </c>
      <c r="BK39" s="57">
        <f t="shared" si="28"/>
        <v>0</v>
      </c>
      <c r="BL39" s="57">
        <f t="shared" si="28"/>
        <v>0.35555555555555551</v>
      </c>
    </row>
    <row r="40" spans="1:64"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64">
      <c r="A41" s="47" t="s">
        <v>2531</v>
      </c>
      <c r="T41" s="53"/>
    </row>
    <row r="43" spans="1:64">
      <c r="C43" s="54" t="s">
        <v>2530</v>
      </c>
      <c r="D43" s="54"/>
      <c r="E43" s="54"/>
      <c r="F43" s="54"/>
      <c r="G43" s="54"/>
    </row>
    <row r="45" spans="1:64">
      <c r="B45" s="46">
        <v>1</v>
      </c>
      <c r="C45" s="46">
        <v>1</v>
      </c>
      <c r="D45" s="46">
        <f t="shared" ref="D45:Y45" si="30">B45+1</f>
        <v>2</v>
      </c>
      <c r="E45" s="46">
        <f t="shared" si="30"/>
        <v>2</v>
      </c>
      <c r="F45" s="46">
        <f t="shared" si="30"/>
        <v>3</v>
      </c>
      <c r="G45" s="46">
        <f t="shared" si="30"/>
        <v>3</v>
      </c>
      <c r="H45" s="46">
        <f t="shared" si="30"/>
        <v>4</v>
      </c>
      <c r="I45" s="46">
        <f t="shared" si="30"/>
        <v>4</v>
      </c>
      <c r="J45" s="46">
        <f t="shared" si="30"/>
        <v>5</v>
      </c>
      <c r="K45" s="46">
        <f t="shared" si="30"/>
        <v>5</v>
      </c>
      <c r="L45" s="46">
        <f t="shared" si="30"/>
        <v>6</v>
      </c>
      <c r="M45" s="46">
        <f t="shared" si="30"/>
        <v>6</v>
      </c>
      <c r="N45" s="46">
        <f t="shared" si="30"/>
        <v>7</v>
      </c>
      <c r="O45" s="46">
        <f t="shared" si="30"/>
        <v>7</v>
      </c>
      <c r="P45" s="46">
        <f t="shared" si="30"/>
        <v>8</v>
      </c>
      <c r="Q45" s="46">
        <f t="shared" si="30"/>
        <v>8</v>
      </c>
      <c r="R45" s="46">
        <f t="shared" si="30"/>
        <v>9</v>
      </c>
      <c r="S45" s="46">
        <f t="shared" si="30"/>
        <v>9</v>
      </c>
      <c r="T45" s="46">
        <f t="shared" si="30"/>
        <v>10</v>
      </c>
      <c r="U45" s="46">
        <f t="shared" si="30"/>
        <v>10</v>
      </c>
      <c r="V45" s="46">
        <f t="shared" si="30"/>
        <v>11</v>
      </c>
      <c r="W45" s="46">
        <f t="shared" si="30"/>
        <v>11</v>
      </c>
      <c r="X45" s="46">
        <f t="shared" si="30"/>
        <v>12</v>
      </c>
      <c r="Y45" s="46">
        <f t="shared" si="30"/>
        <v>12</v>
      </c>
    </row>
    <row r="46" spans="1:64">
      <c r="B46" s="46">
        <v>1</v>
      </c>
      <c r="C46" s="46">
        <v>2</v>
      </c>
      <c r="D46" s="46">
        <v>3</v>
      </c>
      <c r="E46" s="46">
        <v>4</v>
      </c>
      <c r="F46" s="46">
        <v>5</v>
      </c>
      <c r="G46" s="46">
        <v>6</v>
      </c>
      <c r="H46" s="46">
        <v>7</v>
      </c>
      <c r="I46" s="46">
        <v>8</v>
      </c>
      <c r="J46" s="46">
        <v>9</v>
      </c>
      <c r="K46" s="46">
        <v>10</v>
      </c>
      <c r="L46" s="46">
        <v>11</v>
      </c>
      <c r="M46" s="46">
        <v>12</v>
      </c>
    </row>
    <row r="47" spans="1:64">
      <c r="B47" s="55">
        <f>B7</f>
        <v>43466</v>
      </c>
      <c r="C47" s="55">
        <f t="shared" ref="C47:M47" si="31">EOMONTH(B47,1)</f>
        <v>43524</v>
      </c>
      <c r="D47" s="55">
        <f t="shared" si="31"/>
        <v>43555</v>
      </c>
      <c r="E47" s="55">
        <f t="shared" si="31"/>
        <v>43585</v>
      </c>
      <c r="F47" s="55">
        <f t="shared" si="31"/>
        <v>43616</v>
      </c>
      <c r="G47" s="55">
        <f t="shared" si="31"/>
        <v>43646</v>
      </c>
      <c r="H47" s="55">
        <f t="shared" si="31"/>
        <v>43677</v>
      </c>
      <c r="I47" s="55">
        <f t="shared" si="31"/>
        <v>43708</v>
      </c>
      <c r="J47" s="55">
        <f t="shared" si="31"/>
        <v>43738</v>
      </c>
      <c r="K47" s="55">
        <f t="shared" si="31"/>
        <v>43769</v>
      </c>
      <c r="L47" s="55">
        <f t="shared" si="31"/>
        <v>43799</v>
      </c>
      <c r="M47" s="55">
        <f t="shared" si="31"/>
        <v>43830</v>
      </c>
    </row>
    <row r="48" spans="1:64">
      <c r="A48" s="46" t="s">
        <v>163</v>
      </c>
      <c r="B48" s="56">
        <f>'Peak Calc CP'!C71</f>
        <v>43480</v>
      </c>
      <c r="C48" s="56">
        <f>'Peak Calc CP'!D71</f>
        <v>43503</v>
      </c>
      <c r="D48" s="56">
        <f>'Peak Calc CP'!E71</f>
        <v>43525</v>
      </c>
      <c r="E48" s="56">
        <f>'Peak Calc CP'!F71</f>
        <v>43566</v>
      </c>
      <c r="F48" s="56">
        <f>'Peak Calc CP'!G71</f>
        <v>43615</v>
      </c>
      <c r="G48" s="56">
        <f>'Peak Calc CP'!H71</f>
        <v>43629</v>
      </c>
      <c r="H48" s="56">
        <f>'Peak Calc CP'!I71</f>
        <v>43669</v>
      </c>
      <c r="I48" s="56">
        <f>'Peak Calc CP'!J71</f>
        <v>43684</v>
      </c>
      <c r="J48" s="56">
        <f>'Peak Calc CP'!K71</f>
        <v>43712</v>
      </c>
      <c r="K48" s="56">
        <f>'Peak Calc CP'!L71</f>
        <v>43768</v>
      </c>
      <c r="L48" s="56">
        <f>'Peak Calc CP'!M71</f>
        <v>43770</v>
      </c>
      <c r="M48" s="56">
        <f>'Peak Calc CP'!N71</f>
        <v>43815</v>
      </c>
    </row>
    <row r="49" spans="1:64">
      <c r="A49" s="46" t="s">
        <v>164</v>
      </c>
      <c r="B49" s="57">
        <f>'Peak Calc CP'!C72</f>
        <v>0.33333333333333331</v>
      </c>
      <c r="C49" s="57">
        <f>'Peak Calc CP'!D72</f>
        <v>0.33333333333333331</v>
      </c>
      <c r="D49" s="57">
        <f>'Peak Calc CP'!E72</f>
        <v>0.33333333333333331</v>
      </c>
      <c r="E49" s="57">
        <f>'Peak Calc CP'!F72</f>
        <v>0.33333333333333331</v>
      </c>
      <c r="F49" s="57">
        <f>'Peak Calc CP'!G72</f>
        <v>0.70833333333333337</v>
      </c>
      <c r="G49" s="57">
        <f>'Peak Calc CP'!H72</f>
        <v>0.66666666666666663</v>
      </c>
      <c r="H49" s="57">
        <f>'Peak Calc CP'!I72</f>
        <v>0.70833333333333337</v>
      </c>
      <c r="I49" s="57">
        <f>'Peak Calc CP'!J72</f>
        <v>0.70833333333333337</v>
      </c>
      <c r="J49" s="57">
        <f>'Peak Calc CP'!K72</f>
        <v>0.75</v>
      </c>
      <c r="K49" s="57">
        <f>'Peak Calc CP'!L72</f>
        <v>0.33333333333333331</v>
      </c>
      <c r="L49" s="57">
        <f>'Peak Calc CP'!M72</f>
        <v>0.33333333333333331</v>
      </c>
      <c r="M49" s="57">
        <f>'Peak Calc CP'!N72</f>
        <v>0.75</v>
      </c>
    </row>
    <row r="51" spans="1:64">
      <c r="A51" s="46" t="s">
        <v>161</v>
      </c>
      <c r="B51" s="46">
        <f t="shared" ref="B51:M51" si="32">INDEX($B$9:$Y$39,DAY(B$48),MATCH(B$46,$B$45:$Y$45,0))</f>
        <v>732</v>
      </c>
      <c r="C51" s="46">
        <f t="shared" si="32"/>
        <v>707</v>
      </c>
      <c r="D51" s="46">
        <f t="shared" si="32"/>
        <v>629</v>
      </c>
      <c r="E51" s="46">
        <f t="shared" si="32"/>
        <v>608</v>
      </c>
      <c r="F51" s="46">
        <f t="shared" si="32"/>
        <v>458</v>
      </c>
      <c r="G51" s="46">
        <f t="shared" si="32"/>
        <v>452</v>
      </c>
      <c r="H51" s="46">
        <f t="shared" si="32"/>
        <v>516</v>
      </c>
      <c r="I51" s="46">
        <f t="shared" si="32"/>
        <v>535</v>
      </c>
      <c r="J51" s="46">
        <f t="shared" si="32"/>
        <v>612</v>
      </c>
      <c r="K51" s="46">
        <f t="shared" si="32"/>
        <v>729</v>
      </c>
      <c r="L51" s="46">
        <f t="shared" si="32"/>
        <v>732</v>
      </c>
      <c r="M51" s="46">
        <f t="shared" si="32"/>
        <v>730</v>
      </c>
    </row>
    <row r="52" spans="1:64">
      <c r="A52" s="46" t="s">
        <v>161</v>
      </c>
      <c r="B52" s="57">
        <f>TIME(INT(B51/100),RIGHT(B51,2),0)</f>
        <v>0.31388888888888888</v>
      </c>
      <c r="C52" s="57">
        <f>TIME(INT(C51/100),RIGHT(C51,2),0)</f>
        <v>0.29652777777777778</v>
      </c>
      <c r="D52" s="57">
        <f>TIME(INT(D51/100),RIGHT(D51,2),0)</f>
        <v>0.27013888888888887</v>
      </c>
      <c r="E52" s="57">
        <f>TIME(INT(E51/100),RIGHT(E51,2),0)</f>
        <v>0.25555555555555559</v>
      </c>
      <c r="F52" s="57">
        <f t="shared" ref="F52:K52" si="33">TIME(INT(F51/100),RIGHT(F51,2),0)</f>
        <v>0.20694444444444446</v>
      </c>
      <c r="G52" s="57">
        <f t="shared" si="33"/>
        <v>0.20277777777777781</v>
      </c>
      <c r="H52" s="57">
        <f t="shared" si="33"/>
        <v>0.21944444444444444</v>
      </c>
      <c r="I52" s="57">
        <f t="shared" si="33"/>
        <v>0.23263888888888887</v>
      </c>
      <c r="J52" s="57">
        <f t="shared" si="33"/>
        <v>0.25833333333333336</v>
      </c>
      <c r="K52" s="57">
        <f t="shared" si="33"/>
        <v>0.31180555555555556</v>
      </c>
      <c r="L52" s="57">
        <f>TIME(INT(L51/100),RIGHT(L51,2),0)</f>
        <v>0.31388888888888888</v>
      </c>
      <c r="M52" s="57">
        <f>TIME(INT(M51/100),RIGHT(M51,2),0)</f>
        <v>0.3125</v>
      </c>
    </row>
    <row r="53" spans="1:64">
      <c r="A53" s="46" t="s">
        <v>162</v>
      </c>
      <c r="B53" s="46">
        <f t="shared" ref="B53:M53" si="34">INDEX($B$9:$Y$39,DAY(B$48),MATCH(B$46,$B$45:$Y$45,0)+1)</f>
        <v>1625</v>
      </c>
      <c r="C53" s="46">
        <f t="shared" si="34"/>
        <v>1700</v>
      </c>
      <c r="D53" s="46">
        <f t="shared" si="34"/>
        <v>1734</v>
      </c>
      <c r="E53" s="46">
        <f t="shared" si="34"/>
        <v>1933</v>
      </c>
      <c r="F53" s="46">
        <f t="shared" si="34"/>
        <v>2036</v>
      </c>
      <c r="G53" s="46">
        <f t="shared" si="34"/>
        <v>2047</v>
      </c>
      <c r="H53" s="46">
        <f t="shared" si="34"/>
        <v>2034</v>
      </c>
      <c r="I53" s="46">
        <f t="shared" si="34"/>
        <v>2014</v>
      </c>
      <c r="J53" s="46">
        <f t="shared" si="34"/>
        <v>1923</v>
      </c>
      <c r="K53" s="46">
        <f t="shared" si="34"/>
        <v>1735</v>
      </c>
      <c r="L53" s="46">
        <f t="shared" si="34"/>
        <v>1732</v>
      </c>
      <c r="M53" s="46">
        <f t="shared" si="34"/>
        <v>1559</v>
      </c>
    </row>
    <row r="54" spans="1:64">
      <c r="A54" s="46" t="s">
        <v>162</v>
      </c>
      <c r="B54" s="57">
        <f>TIME(INT(B53/100),RIGHT(B53,2),0)</f>
        <v>0.68402777777777779</v>
      </c>
      <c r="C54" s="57">
        <f>TIME(INT(C53/100),RIGHT(C53,2),0)</f>
        <v>0.70833333333333337</v>
      </c>
      <c r="D54" s="57">
        <f>TIME(INT(D53/100),RIGHT(D53,2),0)</f>
        <v>0.7319444444444444</v>
      </c>
      <c r="E54" s="57">
        <f t="shared" ref="E54:K54" si="35">TIME(INT(E53/100),RIGHT(E53,2),0)</f>
        <v>0.81458333333333333</v>
      </c>
      <c r="F54" s="57">
        <f t="shared" si="35"/>
        <v>0.85833333333333339</v>
      </c>
      <c r="G54" s="57">
        <f t="shared" si="35"/>
        <v>0.86597222222222225</v>
      </c>
      <c r="H54" s="57">
        <f t="shared" si="35"/>
        <v>0.8569444444444444</v>
      </c>
      <c r="I54" s="57">
        <f t="shared" si="35"/>
        <v>0.84305555555555556</v>
      </c>
      <c r="J54" s="57">
        <f t="shared" si="35"/>
        <v>0.80763888888888891</v>
      </c>
      <c r="K54" s="57">
        <f t="shared" si="35"/>
        <v>0.73263888888888884</v>
      </c>
      <c r="L54" s="57">
        <f>TIME(INT(L53/100),RIGHT(L53,2),0)</f>
        <v>0.73055555555555562</v>
      </c>
      <c r="M54" s="57">
        <f>TIME(INT(M53/100),RIGHT(M53,2),0)</f>
        <v>0.66597222222222219</v>
      </c>
    </row>
    <row r="56" spans="1:64">
      <c r="A56" s="46" t="s">
        <v>183</v>
      </c>
    </row>
    <row r="57" spans="1:64">
      <c r="A57" s="46" t="s">
        <v>181</v>
      </c>
      <c r="B57" s="129">
        <f t="shared" ref="B57:M57" si="36">IF(B49-1/24&lt;B52,MIN(60,(B52-(B49-1/24))*24*60)/60,0)</f>
        <v>0.53333333333333399</v>
      </c>
      <c r="C57" s="129">
        <f t="shared" si="36"/>
        <v>0.11666666666666758</v>
      </c>
      <c r="D57" s="129">
        <f t="shared" si="36"/>
        <v>0</v>
      </c>
      <c r="E57" s="129">
        <f t="shared" si="36"/>
        <v>0</v>
      </c>
      <c r="F57" s="129">
        <f t="shared" si="36"/>
        <v>0</v>
      </c>
      <c r="G57" s="129">
        <f t="shared" si="36"/>
        <v>0</v>
      </c>
      <c r="H57" s="129">
        <f t="shared" si="36"/>
        <v>0</v>
      </c>
      <c r="I57" s="129">
        <f t="shared" si="36"/>
        <v>0</v>
      </c>
      <c r="J57" s="129">
        <f t="shared" si="36"/>
        <v>0</v>
      </c>
      <c r="K57" s="129">
        <f t="shared" si="36"/>
        <v>0.48333333333333428</v>
      </c>
      <c r="L57" s="129">
        <f t="shared" si="36"/>
        <v>0.53333333333333399</v>
      </c>
      <c r="M57" s="129">
        <f t="shared" si="36"/>
        <v>0</v>
      </c>
      <c r="O57" s="141"/>
    </row>
    <row r="58" spans="1:64">
      <c r="A58" s="46" t="s">
        <v>182</v>
      </c>
      <c r="B58" s="129">
        <f>IF(B49&gt;B54,MIN(60,(B49-B54)*24*60)/60,0)</f>
        <v>0</v>
      </c>
      <c r="C58" s="129">
        <f t="shared" ref="C58:M58" si="37">IF(C49&gt;C54,MIN(60,(C49-C54)*24*60)/60,0)</f>
        <v>0</v>
      </c>
      <c r="D58" s="129">
        <f t="shared" si="37"/>
        <v>0</v>
      </c>
      <c r="E58" s="129">
        <f t="shared" si="37"/>
        <v>0</v>
      </c>
      <c r="F58" s="129">
        <f t="shared" si="37"/>
        <v>0</v>
      </c>
      <c r="G58" s="129">
        <f t="shared" si="37"/>
        <v>0</v>
      </c>
      <c r="H58" s="129">
        <f t="shared" si="37"/>
        <v>0</v>
      </c>
      <c r="I58" s="129">
        <f t="shared" si="37"/>
        <v>0</v>
      </c>
      <c r="J58" s="129">
        <f t="shared" si="37"/>
        <v>0</v>
      </c>
      <c r="K58" s="129">
        <f t="shared" si="37"/>
        <v>0</v>
      </c>
      <c r="L58" s="129">
        <f t="shared" si="37"/>
        <v>0</v>
      </c>
      <c r="M58" s="129">
        <f t="shared" si="37"/>
        <v>1</v>
      </c>
      <c r="O58" s="57"/>
    </row>
    <row r="59" spans="1:64">
      <c r="A59" s="46" t="s">
        <v>277</v>
      </c>
      <c r="B59" s="124">
        <f t="shared" ref="B59:M59" si="38">B57+B58</f>
        <v>0.53333333333333399</v>
      </c>
      <c r="C59" s="124">
        <f t="shared" si="38"/>
        <v>0.11666666666666758</v>
      </c>
      <c r="D59" s="124">
        <f t="shared" si="38"/>
        <v>0</v>
      </c>
      <c r="E59" s="124">
        <f t="shared" si="38"/>
        <v>0</v>
      </c>
      <c r="F59" s="124">
        <f t="shared" si="38"/>
        <v>0</v>
      </c>
      <c r="G59" s="124">
        <f t="shared" si="38"/>
        <v>0</v>
      </c>
      <c r="H59" s="124">
        <f t="shared" si="38"/>
        <v>0</v>
      </c>
      <c r="I59" s="124">
        <f t="shared" si="38"/>
        <v>0</v>
      </c>
      <c r="J59" s="124">
        <f t="shared" si="38"/>
        <v>0</v>
      </c>
      <c r="K59" s="124">
        <f t="shared" si="38"/>
        <v>0.48333333333333428</v>
      </c>
      <c r="L59" s="124">
        <f t="shared" si="38"/>
        <v>0.53333333333333399</v>
      </c>
      <c r="M59" s="124">
        <f t="shared" si="38"/>
        <v>1</v>
      </c>
    </row>
    <row r="61" spans="1:64">
      <c r="A61" s="59" t="s">
        <v>184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64">
      <c r="A62" s="46" t="s">
        <v>180</v>
      </c>
      <c r="B62" s="125">
        <f t="shared" ref="B62:M62" si="39">BA63</f>
        <v>278.05000000000007</v>
      </c>
      <c r="C62" s="125">
        <f t="shared" si="39"/>
        <v>288.01666666666671</v>
      </c>
      <c r="D62" s="125">
        <f t="shared" si="39"/>
        <v>369.80000000000007</v>
      </c>
      <c r="E62" s="125">
        <f t="shared" si="39"/>
        <v>409.31666666666678</v>
      </c>
      <c r="F62" s="125">
        <f t="shared" si="39"/>
        <v>468.7166666666667</v>
      </c>
      <c r="G62" s="125">
        <f t="shared" si="39"/>
        <v>476.58333333333314</v>
      </c>
      <c r="H62" s="125">
        <f t="shared" si="39"/>
        <v>480.51666666666654</v>
      </c>
      <c r="I62" s="125">
        <f t="shared" si="39"/>
        <v>440.35000000000008</v>
      </c>
      <c r="J62" s="125">
        <f t="shared" si="39"/>
        <v>376.50000000000006</v>
      </c>
      <c r="K62" s="125">
        <f t="shared" si="39"/>
        <v>336.26666666666677</v>
      </c>
      <c r="L62" s="125">
        <f t="shared" si="39"/>
        <v>280.16666666666669</v>
      </c>
      <c r="M62" s="125">
        <f t="shared" si="39"/>
        <v>264.54999999999995</v>
      </c>
      <c r="N62" s="127">
        <f>SUM(B62:M62)</f>
        <v>4468.8333333333339</v>
      </c>
      <c r="P62" s="58"/>
      <c r="R62" s="58"/>
      <c r="T62" s="58"/>
      <c r="V62" s="58"/>
      <c r="X62" s="58"/>
      <c r="AA62" s="60" t="s">
        <v>189</v>
      </c>
      <c r="AN62" s="60" t="s">
        <v>190</v>
      </c>
      <c r="BA62" s="60" t="s">
        <v>180</v>
      </c>
    </row>
    <row r="63" spans="1:64">
      <c r="A63" s="46" t="s">
        <v>185</v>
      </c>
      <c r="B63" s="125">
        <f t="shared" ref="B63:M63" si="40">AA63+AN63</f>
        <v>465.95</v>
      </c>
      <c r="C63" s="125">
        <f t="shared" si="40"/>
        <v>383.98333333333323</v>
      </c>
      <c r="D63" s="125">
        <f t="shared" si="40"/>
        <v>374.20000000000005</v>
      </c>
      <c r="E63" s="125">
        <f t="shared" si="40"/>
        <v>310.68333333333339</v>
      </c>
      <c r="F63" s="125">
        <f t="shared" si="40"/>
        <v>275.28333333333336</v>
      </c>
      <c r="G63" s="125">
        <f t="shared" si="40"/>
        <v>243.41666666666671</v>
      </c>
      <c r="H63" s="125">
        <f t="shared" si="40"/>
        <v>263.48333333333329</v>
      </c>
      <c r="I63" s="125">
        <f t="shared" si="40"/>
        <v>303.64999999999998</v>
      </c>
      <c r="J63" s="125">
        <f t="shared" si="40"/>
        <v>343.5</v>
      </c>
      <c r="K63" s="125">
        <f t="shared" si="40"/>
        <v>407.73333333333335</v>
      </c>
      <c r="L63" s="125">
        <f t="shared" si="40"/>
        <v>439.83333333333337</v>
      </c>
      <c r="M63" s="125">
        <f t="shared" si="40"/>
        <v>479.45</v>
      </c>
      <c r="N63" s="127">
        <f>SUM(B63:M63)</f>
        <v>4291.166666666667</v>
      </c>
      <c r="AA63" s="125">
        <f t="shared" ref="AA63:AL63" si="41">SUM(AA9:AA39)*24</f>
        <v>232.16666666666666</v>
      </c>
      <c r="AB63" s="125">
        <f t="shared" si="41"/>
        <v>193.41666666666663</v>
      </c>
      <c r="AC63" s="125">
        <f t="shared" si="41"/>
        <v>207.98333333333335</v>
      </c>
      <c r="AD63" s="125">
        <f t="shared" si="41"/>
        <v>180.13333333333333</v>
      </c>
      <c r="AE63" s="125">
        <f t="shared" si="41"/>
        <v>161.48333333333332</v>
      </c>
      <c r="AF63" s="125">
        <f t="shared" si="41"/>
        <v>146.63333333333335</v>
      </c>
      <c r="AG63" s="125">
        <f t="shared" si="41"/>
        <v>159.86666666666665</v>
      </c>
      <c r="AH63" s="125">
        <f t="shared" si="41"/>
        <v>179</v>
      </c>
      <c r="AI63" s="125">
        <f t="shared" si="41"/>
        <v>193.5</v>
      </c>
      <c r="AJ63" s="125">
        <f t="shared" si="41"/>
        <v>221.63333333333333</v>
      </c>
      <c r="AK63" s="125">
        <f t="shared" si="41"/>
        <v>208.86666666666667</v>
      </c>
      <c r="AL63" s="125">
        <f t="shared" si="41"/>
        <v>231.79999999999995</v>
      </c>
      <c r="AN63" s="125">
        <f t="array" ref="AN63">SUM(IF(AN9:AN39&gt;0,1-AN9:AN39,0))*24</f>
        <v>233.78333333333333</v>
      </c>
      <c r="AO63" s="125">
        <f t="array" ref="AO63">SUM(IF(AO9:AO39&gt;0,1-AO9:AO39,0))*24</f>
        <v>190.56666666666663</v>
      </c>
      <c r="AP63" s="125">
        <f t="array" ref="AP63">SUM(IF(AP9:AP39&gt;0,1-AP9:AP39,0))*24</f>
        <v>166.21666666666667</v>
      </c>
      <c r="AQ63" s="125">
        <f t="array" ref="AQ63">SUM(IF(AQ9:AQ39&gt;0,1-AQ9:AQ39,0))*24</f>
        <v>130.55000000000004</v>
      </c>
      <c r="AR63" s="125">
        <f t="array" ref="AR63">SUM(IF(AR9:AR39&gt;0,1-AR9:AR39,0))*24</f>
        <v>113.80000000000004</v>
      </c>
      <c r="AS63" s="125">
        <f t="array" ref="AS63">SUM(IF(AS9:AS39&gt;0,1-AS9:AS39,0))*24</f>
        <v>96.78333333333336</v>
      </c>
      <c r="AT63" s="125">
        <f t="array" ref="AT63">SUM(IF(AT9:AT39&gt;0,1-AT9:AT39,0))*24</f>
        <v>103.61666666666665</v>
      </c>
      <c r="AU63" s="125">
        <f t="array" ref="AU63">SUM(IF(AU9:AU39&gt;0,1-AU9:AU39,0))*24</f>
        <v>124.65</v>
      </c>
      <c r="AV63" s="125">
        <f t="array" ref="AV63">SUM(IF(AV9:AV39&gt;0,1-AV9:AV39,0))*24</f>
        <v>149.99999999999997</v>
      </c>
      <c r="AW63" s="125">
        <f t="array" ref="AW63">SUM(IF(AW9:AW39&gt;0,1-AW9:AW39,0))*24</f>
        <v>186.1</v>
      </c>
      <c r="AX63" s="125">
        <f t="array" ref="AX63">SUM(IF(AX9:AX39&gt;0,1-AX9:AX39,0))*24</f>
        <v>230.9666666666667</v>
      </c>
      <c r="AY63" s="125">
        <f t="array" ref="AY63">SUM(IF(AY9:AY39&gt;0,1-AY9:AY39,0))*24</f>
        <v>247.65000000000003</v>
      </c>
      <c r="BA63" s="125">
        <f t="shared" ref="BA63:BL63" si="42">SUM(BA9:BA39)*24</f>
        <v>278.05000000000007</v>
      </c>
      <c r="BB63" s="125">
        <f t="shared" si="42"/>
        <v>288.01666666666671</v>
      </c>
      <c r="BC63" s="125">
        <f t="shared" si="42"/>
        <v>369.80000000000007</v>
      </c>
      <c r="BD63" s="125">
        <f t="shared" si="42"/>
        <v>409.31666666666678</v>
      </c>
      <c r="BE63" s="125">
        <f t="shared" si="42"/>
        <v>468.7166666666667</v>
      </c>
      <c r="BF63" s="125">
        <f t="shared" si="42"/>
        <v>476.58333333333314</v>
      </c>
      <c r="BG63" s="125">
        <f t="shared" si="42"/>
        <v>480.51666666666654</v>
      </c>
      <c r="BH63" s="125">
        <f t="shared" si="42"/>
        <v>440.35000000000008</v>
      </c>
      <c r="BI63" s="125">
        <f t="shared" si="42"/>
        <v>376.50000000000006</v>
      </c>
      <c r="BJ63" s="125">
        <f t="shared" si="42"/>
        <v>336.26666666666677</v>
      </c>
      <c r="BK63" s="125">
        <f t="shared" si="42"/>
        <v>280.16666666666669</v>
      </c>
      <c r="BL63" s="125">
        <f t="shared" si="42"/>
        <v>264.54999999999995</v>
      </c>
    </row>
    <row r="64" spans="1:64">
      <c r="A64" s="46" t="s">
        <v>277</v>
      </c>
      <c r="B64" s="126">
        <f t="shared" ref="B64:M64" si="43">B62+B63</f>
        <v>744</v>
      </c>
      <c r="C64" s="126">
        <f t="shared" si="43"/>
        <v>672</v>
      </c>
      <c r="D64" s="126">
        <f t="shared" si="43"/>
        <v>744.00000000000011</v>
      </c>
      <c r="E64" s="126">
        <f t="shared" si="43"/>
        <v>720.00000000000023</v>
      </c>
      <c r="F64" s="126">
        <f t="shared" si="43"/>
        <v>744</v>
      </c>
      <c r="G64" s="126">
        <f t="shared" si="43"/>
        <v>719.99999999999989</v>
      </c>
      <c r="H64" s="126">
        <f t="shared" si="43"/>
        <v>743.99999999999977</v>
      </c>
      <c r="I64" s="126">
        <f t="shared" si="43"/>
        <v>744</v>
      </c>
      <c r="J64" s="126">
        <f t="shared" si="43"/>
        <v>720</v>
      </c>
      <c r="K64" s="126">
        <f t="shared" si="43"/>
        <v>744.00000000000011</v>
      </c>
      <c r="L64" s="126">
        <f t="shared" si="43"/>
        <v>720</v>
      </c>
      <c r="M64" s="126">
        <f t="shared" si="43"/>
        <v>744</v>
      </c>
      <c r="N64" s="128">
        <f>SUM(B64:M64)</f>
        <v>8760</v>
      </c>
    </row>
  </sheetData>
  <mergeCells count="2">
    <mergeCell ref="B7:C7"/>
    <mergeCell ref="A4:L4"/>
  </mergeCells>
  <pageMargins left="0.25" right="0.25" top="0.3" bottom="0.5" header="0.5" footer="0.25"/>
  <pageSetup scale="62" orientation="landscape" r:id="rId1"/>
  <headerFooter alignWithMargins="0">
    <oddFooter>&amp;C&amp;F /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00FF"/>
    <pageSetUpPr fitToPage="1"/>
  </sheetPr>
  <dimension ref="A1:N2018"/>
  <sheetViews>
    <sheetView workbookViewId="0"/>
  </sheetViews>
  <sheetFormatPr defaultColWidth="10.6640625" defaultRowHeight="12.75"/>
  <cols>
    <col min="1" max="1" width="11.83203125" style="16" bestFit="1" customWidth="1"/>
    <col min="2" max="2" width="12.83203125" style="16" customWidth="1"/>
    <col min="3" max="3" width="6.1640625" style="29" customWidth="1"/>
    <col min="4" max="4" width="10.6640625" style="34"/>
    <col min="5" max="16384" width="10.6640625" style="16"/>
  </cols>
  <sheetData>
    <row r="1" spans="1:14" s="29" customFormat="1">
      <c r="D1" s="33"/>
    </row>
    <row r="2" spans="1:14" s="29" customFormat="1">
      <c r="A2" s="29" t="s">
        <v>156</v>
      </c>
      <c r="B2" s="29" t="s">
        <v>155</v>
      </c>
      <c r="C2" s="33" t="s">
        <v>425</v>
      </c>
      <c r="D2" s="33" t="s">
        <v>445</v>
      </c>
      <c r="E2" s="32" t="s">
        <v>426</v>
      </c>
      <c r="F2" s="32" t="s">
        <v>427</v>
      </c>
      <c r="G2" s="32" t="s">
        <v>2343</v>
      </c>
      <c r="H2" s="32" t="s">
        <v>2344</v>
      </c>
      <c r="I2" s="32" t="s">
        <v>428</v>
      </c>
      <c r="J2" s="32" t="s">
        <v>429</v>
      </c>
      <c r="K2" s="32" t="s">
        <v>430</v>
      </c>
      <c r="L2" s="32" t="s">
        <v>2345</v>
      </c>
      <c r="M2" s="32" t="s">
        <v>2346</v>
      </c>
      <c r="N2" s="32" t="s">
        <v>431</v>
      </c>
    </row>
    <row r="3" spans="1:14">
      <c r="A3" s="16" t="s">
        <v>422</v>
      </c>
      <c r="B3" s="16" t="s">
        <v>423</v>
      </c>
      <c r="C3" s="29">
        <v>1</v>
      </c>
      <c r="D3" s="34" t="s">
        <v>446</v>
      </c>
      <c r="E3" s="199">
        <v>3.3117184923626648E-2</v>
      </c>
      <c r="F3" s="199">
        <v>4.1208921689680079E-2</v>
      </c>
      <c r="G3" s="199">
        <v>3.8253727424905376E-2</v>
      </c>
      <c r="H3" s="199">
        <v>4.3713039832378009E-2</v>
      </c>
      <c r="I3" s="199">
        <v>3.7214527766290181E-2</v>
      </c>
      <c r="J3" s="199">
        <v>3.1936529166383773E-2</v>
      </c>
      <c r="K3" s="199">
        <v>4.137078834011982E-2</v>
      </c>
      <c r="L3" s="199">
        <v>3.630701165001906E-2</v>
      </c>
      <c r="M3" s="199">
        <v>4.2955323530289524E-2</v>
      </c>
      <c r="N3" s="199">
        <v>3.9825360066951802E-2</v>
      </c>
    </row>
    <row r="4" spans="1:14">
      <c r="C4" s="29">
        <v>2</v>
      </c>
      <c r="D4" s="34" t="s">
        <v>447</v>
      </c>
      <c r="E4" s="199">
        <v>3.1864448617745414E-2</v>
      </c>
      <c r="F4" s="199">
        <v>4.0317342047925725E-2</v>
      </c>
      <c r="G4" s="199">
        <v>3.852807854140141E-2</v>
      </c>
      <c r="H4" s="199">
        <v>4.3025138314176023E-2</v>
      </c>
      <c r="I4" s="199">
        <v>4.223061820196658E-2</v>
      </c>
      <c r="J4" s="199">
        <v>3.1282001095037176E-2</v>
      </c>
      <c r="K4" s="199">
        <v>4.0924879112753949E-2</v>
      </c>
      <c r="L4" s="199">
        <v>3.5999505666820086E-2</v>
      </c>
      <c r="M4" s="199">
        <v>4.2919510728918406E-2</v>
      </c>
      <c r="N4" s="199">
        <v>4.0985809287248334E-2</v>
      </c>
    </row>
    <row r="5" spans="1:14">
      <c r="C5" s="29">
        <v>3</v>
      </c>
      <c r="D5" s="34" t="s">
        <v>448</v>
      </c>
      <c r="E5" s="199">
        <v>3.1210665039675931E-2</v>
      </c>
      <c r="F5" s="199">
        <v>4.1160755601555736E-2</v>
      </c>
      <c r="G5" s="199">
        <v>3.7932947657925382E-2</v>
      </c>
      <c r="H5" s="199">
        <v>4.285417835554612E-2</v>
      </c>
      <c r="I5" s="199">
        <v>4.2505651226004873E-2</v>
      </c>
      <c r="J5" s="199">
        <v>3.0904409127174726E-2</v>
      </c>
      <c r="K5" s="199">
        <v>4.1749510643368001E-2</v>
      </c>
      <c r="L5" s="199">
        <v>3.5524246606799086E-2</v>
      </c>
      <c r="M5" s="199">
        <v>4.2269018089728126E-2</v>
      </c>
      <c r="N5" s="199">
        <v>3.5272491165066158E-2</v>
      </c>
    </row>
    <row r="6" spans="1:14">
      <c r="C6" s="29">
        <v>4</v>
      </c>
      <c r="D6" s="34" t="s">
        <v>449</v>
      </c>
      <c r="E6" s="199">
        <v>3.1036847733168903E-2</v>
      </c>
      <c r="F6" s="199">
        <v>4.1060412069980276E-2</v>
      </c>
      <c r="G6" s="199">
        <v>3.8969670444698346E-2</v>
      </c>
      <c r="H6" s="199">
        <v>4.1750415814866979E-2</v>
      </c>
      <c r="I6" s="199">
        <v>3.8807260068818482E-2</v>
      </c>
      <c r="J6" s="199">
        <v>3.0630154032118894E-2</v>
      </c>
      <c r="K6" s="199">
        <v>4.1933311281166258E-2</v>
      </c>
      <c r="L6" s="199">
        <v>3.5708948553397145E-2</v>
      </c>
      <c r="M6" s="199">
        <v>4.2451492839571441E-2</v>
      </c>
      <c r="N6" s="199">
        <v>3.3494175217355815E-2</v>
      </c>
    </row>
    <row r="7" spans="1:14">
      <c r="C7" s="29">
        <v>5</v>
      </c>
      <c r="D7" s="34" t="s">
        <v>450</v>
      </c>
      <c r="E7" s="199">
        <v>3.2017646393967807E-2</v>
      </c>
      <c r="F7" s="199">
        <v>4.1339611347984043E-2</v>
      </c>
      <c r="G7" s="199">
        <v>3.9129761093331085E-2</v>
      </c>
      <c r="H7" s="199">
        <v>4.0109403296204008E-2</v>
      </c>
      <c r="I7" s="199">
        <v>3.7164464729524088E-2</v>
      </c>
      <c r="J7" s="199">
        <v>3.1443517424715857E-2</v>
      </c>
      <c r="K7" s="199">
        <v>4.2590520033913483E-2</v>
      </c>
      <c r="L7" s="199">
        <v>3.5959515543565843E-2</v>
      </c>
      <c r="M7" s="199">
        <v>4.164229406573354E-2</v>
      </c>
      <c r="N7" s="199">
        <v>3.2272816422195927E-2</v>
      </c>
    </row>
    <row r="8" spans="1:14">
      <c r="C8" s="29">
        <v>6</v>
      </c>
      <c r="D8" s="34" t="s">
        <v>451</v>
      </c>
      <c r="E8" s="199">
        <v>3.3157118679211048E-2</v>
      </c>
      <c r="F8" s="199">
        <v>4.2400473166948172E-2</v>
      </c>
      <c r="G8" s="199">
        <v>4.1000230938438374E-2</v>
      </c>
      <c r="H8" s="199">
        <v>4.1135347669969E-2</v>
      </c>
      <c r="I8" s="199">
        <v>3.6243129193249839E-2</v>
      </c>
      <c r="J8" s="199">
        <v>3.3763439663089485E-2</v>
      </c>
      <c r="K8" s="199">
        <v>4.4243678596352899E-2</v>
      </c>
      <c r="L8" s="199">
        <v>3.7503190974516092E-2</v>
      </c>
      <c r="M8" s="199">
        <v>4.2777112209180866E-2</v>
      </c>
      <c r="N8" s="199">
        <v>4.7048992007445577E-2</v>
      </c>
    </row>
    <row r="9" spans="1:14">
      <c r="C9" s="29">
        <v>7</v>
      </c>
      <c r="D9" s="34" t="s">
        <v>452</v>
      </c>
      <c r="E9" s="199">
        <v>3.5639106522436667E-2</v>
      </c>
      <c r="F9" s="199">
        <v>4.4116647290130387E-2</v>
      </c>
      <c r="G9" s="199">
        <v>4.2859274736759351E-2</v>
      </c>
      <c r="H9" s="199">
        <v>4.1883620577449571E-2</v>
      </c>
      <c r="I9" s="199">
        <v>3.5825184392578521E-2</v>
      </c>
      <c r="J9" s="199">
        <v>3.7393110594278675E-2</v>
      </c>
      <c r="K9" s="199">
        <v>4.630860839167196E-2</v>
      </c>
      <c r="L9" s="199">
        <v>4.04469811902258E-2</v>
      </c>
      <c r="M9" s="199">
        <v>4.258738963048863E-2</v>
      </c>
      <c r="N9" s="199">
        <v>3.8152539502904773E-2</v>
      </c>
    </row>
    <row r="10" spans="1:14">
      <c r="C10" s="29">
        <v>8</v>
      </c>
      <c r="D10" s="34" t="s">
        <v>453</v>
      </c>
      <c r="E10" s="199">
        <v>3.9842786280112452E-2</v>
      </c>
      <c r="F10" s="199">
        <v>4.2446387527732964E-2</v>
      </c>
      <c r="G10" s="199">
        <v>4.5074069407351897E-2</v>
      </c>
      <c r="H10" s="199">
        <v>4.2165815282380247E-2</v>
      </c>
      <c r="I10" s="199">
        <v>3.6597585531255396E-2</v>
      </c>
      <c r="J10" s="199">
        <v>4.1962519575624392E-2</v>
      </c>
      <c r="K10" s="199">
        <v>4.3981360571236298E-2</v>
      </c>
      <c r="L10" s="199">
        <v>4.3603526654231839E-2</v>
      </c>
      <c r="M10" s="199">
        <v>4.2725204964336419E-2</v>
      </c>
      <c r="N10" s="199">
        <v>3.3138463300153853E-2</v>
      </c>
    </row>
    <row r="11" spans="1:14">
      <c r="C11" s="29">
        <v>9</v>
      </c>
      <c r="D11" s="34" t="s">
        <v>454</v>
      </c>
      <c r="E11" s="199">
        <v>4.453380044775606E-2</v>
      </c>
      <c r="F11" s="199">
        <v>3.7523813321424716E-2</v>
      </c>
      <c r="G11" s="199">
        <v>4.4195043390353607E-2</v>
      </c>
      <c r="H11" s="199">
        <v>3.9904011337266891E-2</v>
      </c>
      <c r="I11" s="199">
        <v>3.9378154347730072E-2</v>
      </c>
      <c r="J11" s="199">
        <v>4.566003418584802E-2</v>
      </c>
      <c r="K11" s="199">
        <v>3.8762917827585369E-2</v>
      </c>
      <c r="L11" s="199">
        <v>4.3663069078669715E-2</v>
      </c>
      <c r="M11" s="199">
        <v>4.2279570075846394E-2</v>
      </c>
      <c r="N11" s="199">
        <v>4.2773383490337907E-2</v>
      </c>
    </row>
    <row r="12" spans="1:14">
      <c r="C12" s="29">
        <v>10</v>
      </c>
      <c r="D12" s="34" t="s">
        <v>455</v>
      </c>
      <c r="E12" s="199">
        <v>4.6614180522977174E-2</v>
      </c>
      <c r="F12" s="199">
        <v>3.7464224563485131E-2</v>
      </c>
      <c r="G12" s="199">
        <v>4.4053883283743156E-2</v>
      </c>
      <c r="H12" s="199">
        <v>3.9522674626089702E-2</v>
      </c>
      <c r="I12" s="199">
        <v>4.2822842596793552E-2</v>
      </c>
      <c r="J12" s="199">
        <v>4.7325512298344426E-2</v>
      </c>
      <c r="K12" s="199">
        <v>4.0524710609288653E-2</v>
      </c>
      <c r="L12" s="199">
        <v>4.4560544497583968E-2</v>
      </c>
      <c r="M12" s="199">
        <v>4.1273400894467342E-2</v>
      </c>
      <c r="N12" s="199">
        <v>4.4682533204854734E-2</v>
      </c>
    </row>
    <row r="13" spans="1:14">
      <c r="C13" s="29">
        <v>11</v>
      </c>
      <c r="D13" s="34" t="s">
        <v>456</v>
      </c>
      <c r="E13" s="199">
        <v>4.8125849669450819E-2</v>
      </c>
      <c r="F13" s="199">
        <v>3.8508742719110471E-2</v>
      </c>
      <c r="G13" s="199">
        <v>4.437516702521957E-2</v>
      </c>
      <c r="H13" s="199">
        <v>3.8193673263025585E-2</v>
      </c>
      <c r="I13" s="199">
        <v>4.3512432697210716E-2</v>
      </c>
      <c r="J13" s="199">
        <v>4.4339912980972195E-2</v>
      </c>
      <c r="K13" s="199">
        <v>4.0025814188026962E-2</v>
      </c>
      <c r="L13" s="199">
        <v>4.6242042399377646E-2</v>
      </c>
      <c r="M13" s="199">
        <v>4.0953537153649709E-2</v>
      </c>
      <c r="N13" s="199">
        <v>4.4797774120496195E-2</v>
      </c>
    </row>
    <row r="14" spans="1:14">
      <c r="C14" s="29">
        <v>12</v>
      </c>
      <c r="D14" s="34" t="s">
        <v>457</v>
      </c>
      <c r="E14" s="199">
        <v>4.6896866161877451E-2</v>
      </c>
      <c r="F14" s="199">
        <v>4.0266342660499943E-2</v>
      </c>
      <c r="G14" s="199">
        <v>4.5853174605830709E-2</v>
      </c>
      <c r="H14" s="199">
        <v>3.9890164688349779E-2</v>
      </c>
      <c r="I14" s="199">
        <v>4.370515656806967E-2</v>
      </c>
      <c r="J14" s="199">
        <v>4.3990673595392812E-2</v>
      </c>
      <c r="K14" s="199">
        <v>4.3276777497306351E-2</v>
      </c>
      <c r="L14" s="199">
        <v>4.7745709996655922E-2</v>
      </c>
      <c r="M14" s="199">
        <v>4.2472063883216164E-2</v>
      </c>
      <c r="N14" s="199">
        <v>4.7552105095816845E-2</v>
      </c>
    </row>
    <row r="15" spans="1:14">
      <c r="C15" s="29">
        <v>13</v>
      </c>
      <c r="D15" s="34" t="s">
        <v>458</v>
      </c>
      <c r="E15" s="199">
        <v>4.7081820105370382E-2</v>
      </c>
      <c r="F15" s="199">
        <v>3.8924551759748023E-2</v>
      </c>
      <c r="G15" s="199">
        <v>4.4160536886550909E-2</v>
      </c>
      <c r="H15" s="199">
        <v>3.9284973819679332E-2</v>
      </c>
      <c r="I15" s="199">
        <v>4.5940050830920932E-2</v>
      </c>
      <c r="J15" s="199">
        <v>4.4727468226731661E-2</v>
      </c>
      <c r="K15" s="199">
        <v>4.2077821809973007E-2</v>
      </c>
      <c r="L15" s="199">
        <v>4.6091043377736549E-2</v>
      </c>
      <c r="M15" s="199">
        <v>4.0131867850762941E-2</v>
      </c>
      <c r="N15" s="199">
        <v>4.8000155928511645E-2</v>
      </c>
    </row>
    <row r="16" spans="1:14">
      <c r="C16" s="29">
        <v>14</v>
      </c>
      <c r="D16" s="34" t="s">
        <v>459</v>
      </c>
      <c r="E16" s="199">
        <v>4.5783451730972848E-2</v>
      </c>
      <c r="F16" s="199">
        <v>3.9206226446615138E-2</v>
      </c>
      <c r="G16" s="199">
        <v>4.2071334235389925E-2</v>
      </c>
      <c r="H16" s="199">
        <v>3.9351068490510337E-2</v>
      </c>
      <c r="I16" s="199">
        <v>4.3647439783828061E-2</v>
      </c>
      <c r="J16" s="199">
        <v>4.543525445180794E-2</v>
      </c>
      <c r="K16" s="199">
        <v>4.1278929908330486E-2</v>
      </c>
      <c r="L16" s="199">
        <v>4.5851315163224E-2</v>
      </c>
      <c r="M16" s="199">
        <v>4.0755820646079986E-2</v>
      </c>
      <c r="N16" s="199">
        <v>5.8916126297221663E-2</v>
      </c>
    </row>
    <row r="17" spans="1:14">
      <c r="C17" s="29">
        <v>15</v>
      </c>
      <c r="D17" s="34" t="s">
        <v>460</v>
      </c>
      <c r="E17" s="199">
        <v>4.5447599706692883E-2</v>
      </c>
      <c r="F17" s="199">
        <v>3.8225815415710088E-2</v>
      </c>
      <c r="G17" s="199">
        <v>4.1699755414089733E-2</v>
      </c>
      <c r="H17" s="199">
        <v>3.9553321875692909E-2</v>
      </c>
      <c r="I17" s="199">
        <v>4.3578179642738121E-2</v>
      </c>
      <c r="J17" s="199">
        <v>4.496140851011781E-2</v>
      </c>
      <c r="K17" s="199">
        <v>4.0488268823763461E-2</v>
      </c>
      <c r="L17" s="199">
        <v>4.5183242785280568E-2</v>
      </c>
      <c r="M17" s="199">
        <v>4.0421994176156349E-2</v>
      </c>
      <c r="N17" s="199">
        <v>5.5916451554351432E-2</v>
      </c>
    </row>
    <row r="18" spans="1:14">
      <c r="C18" s="29">
        <v>16</v>
      </c>
      <c r="D18" s="34" t="s">
        <v>461</v>
      </c>
      <c r="E18" s="199">
        <v>4.5366729764180463E-2</v>
      </c>
      <c r="F18" s="199">
        <v>3.8646933164512426E-2</v>
      </c>
      <c r="G18" s="199">
        <v>4.0518061213577032E-2</v>
      </c>
      <c r="H18" s="199">
        <v>3.9104321206807451E-2</v>
      </c>
      <c r="I18" s="199">
        <v>4.9226268865860165E-2</v>
      </c>
      <c r="J18" s="199">
        <v>4.6416886537776834E-2</v>
      </c>
      <c r="K18" s="199">
        <v>3.848229513548658E-2</v>
      </c>
      <c r="L18" s="199">
        <v>4.4512903473866564E-2</v>
      </c>
      <c r="M18" s="199">
        <v>4.0387460403405628E-2</v>
      </c>
      <c r="N18" s="199">
        <v>4.9604514130412267E-2</v>
      </c>
    </row>
    <row r="19" spans="1:14">
      <c r="C19" s="29">
        <v>17</v>
      </c>
      <c r="D19" s="34" t="s">
        <v>462</v>
      </c>
      <c r="E19" s="199">
        <v>4.7844694480543071E-2</v>
      </c>
      <c r="F19" s="199">
        <v>4.3059394199750189E-2</v>
      </c>
      <c r="G19" s="199">
        <v>4.1277936635176309E-2</v>
      </c>
      <c r="H19" s="199">
        <v>4.0416152725214365E-2</v>
      </c>
      <c r="I19" s="199">
        <v>4.9622130722995574E-2</v>
      </c>
      <c r="J19" s="199">
        <v>4.8671462474830077E-2</v>
      </c>
      <c r="K19" s="199">
        <v>4.0642769428257286E-2</v>
      </c>
      <c r="L19" s="199">
        <v>4.7854965563686652E-2</v>
      </c>
      <c r="M19" s="199">
        <v>3.991976227121375E-2</v>
      </c>
      <c r="N19" s="199">
        <v>4.4563394076422021E-2</v>
      </c>
    </row>
    <row r="20" spans="1:14">
      <c r="C20" s="29">
        <v>18</v>
      </c>
      <c r="D20" s="34" t="s">
        <v>463</v>
      </c>
      <c r="E20" s="199">
        <v>4.9153012120040897E-2</v>
      </c>
      <c r="F20" s="199">
        <v>4.6700854846661907E-2</v>
      </c>
      <c r="G20" s="199">
        <v>4.3782359149188037E-2</v>
      </c>
      <c r="H20" s="199">
        <v>4.3111172159447674E-2</v>
      </c>
      <c r="I20" s="199">
        <v>4.7254738798928775E-2</v>
      </c>
      <c r="J20" s="199">
        <v>5.4401139500985012E-2</v>
      </c>
      <c r="K20" s="199">
        <v>4.2677310125417131E-2</v>
      </c>
      <c r="L20" s="199">
        <v>4.9375050718208809E-2</v>
      </c>
      <c r="M20" s="199">
        <v>4.106342702928549E-2</v>
      </c>
      <c r="N20" s="199">
        <v>3.0091035450590758E-2</v>
      </c>
    </row>
    <row r="21" spans="1:14">
      <c r="C21" s="29">
        <v>19</v>
      </c>
      <c r="D21" s="34" t="s">
        <v>464</v>
      </c>
      <c r="E21" s="199">
        <v>5.0245217355164608E-2</v>
      </c>
      <c r="F21" s="199">
        <v>4.7251454373539697E-2</v>
      </c>
      <c r="G21" s="199">
        <v>4.3310725641142758E-2</v>
      </c>
      <c r="H21" s="199">
        <v>4.2371484174295711E-2</v>
      </c>
      <c r="I21" s="199">
        <v>4.5441678946121632E-2</v>
      </c>
      <c r="J21" s="199">
        <v>5.1213740521815432E-2</v>
      </c>
      <c r="K21" s="199">
        <v>4.1671328352928062E-2</v>
      </c>
      <c r="L21" s="199">
        <v>4.5174901178525587E-2</v>
      </c>
      <c r="M21" s="199">
        <v>4.1559157205407739E-2</v>
      </c>
      <c r="N21" s="199">
        <v>3.5701538210403588E-2</v>
      </c>
    </row>
    <row r="22" spans="1:14">
      <c r="C22" s="29">
        <v>20</v>
      </c>
      <c r="D22" s="34" t="s">
        <v>465</v>
      </c>
      <c r="E22" s="199">
        <v>4.9624396078335277E-2</v>
      </c>
      <c r="F22" s="199">
        <v>4.6778189005489426E-2</v>
      </c>
      <c r="G22" s="199">
        <v>4.2418304926981454E-2</v>
      </c>
      <c r="H22" s="199">
        <v>4.1833588019362412E-2</v>
      </c>
      <c r="I22" s="199">
        <v>4.2352325333954326E-2</v>
      </c>
      <c r="J22" s="199">
        <v>5.0228199724928535E-2</v>
      </c>
      <c r="K22" s="199">
        <v>4.1533017116371564E-2</v>
      </c>
      <c r="L22" s="199">
        <v>4.2429556193579264E-2</v>
      </c>
      <c r="M22" s="199">
        <v>4.1942332862935035E-2</v>
      </c>
      <c r="N22" s="199">
        <v>4.2084618017783147E-2</v>
      </c>
    </row>
    <row r="23" spans="1:14">
      <c r="C23" s="29">
        <v>21</v>
      </c>
      <c r="D23" s="34" t="s">
        <v>466</v>
      </c>
      <c r="E23" s="199">
        <v>4.7816395897318689E-2</v>
      </c>
      <c r="F23" s="199">
        <v>4.5862541231774474E-2</v>
      </c>
      <c r="G23" s="199">
        <v>4.1294591417363143E-2</v>
      </c>
      <c r="H23" s="199">
        <v>4.328425527091153E-2</v>
      </c>
      <c r="I23" s="199">
        <v>4.3879561633495399E-2</v>
      </c>
      <c r="J23" s="199">
        <v>4.7010643335884249E-2</v>
      </c>
      <c r="K23" s="199">
        <v>4.179460211706669E-2</v>
      </c>
      <c r="L23" s="199">
        <v>4.1118117470438038E-2</v>
      </c>
      <c r="M23" s="199">
        <v>4.1197938205863913E-2</v>
      </c>
      <c r="N23" s="199">
        <v>4.4860145525156256E-2</v>
      </c>
    </row>
    <row r="24" spans="1:14">
      <c r="C24" s="29">
        <v>22</v>
      </c>
      <c r="D24" s="34" t="s">
        <v>467</v>
      </c>
      <c r="E24" s="199">
        <v>4.4967311799405191E-2</v>
      </c>
      <c r="F24" s="199">
        <v>4.2819458485223637E-2</v>
      </c>
      <c r="G24" s="199">
        <v>4.0269775028068416E-2</v>
      </c>
      <c r="H24" s="199">
        <v>4.556359830465323E-2</v>
      </c>
      <c r="I24" s="199">
        <v>4.0498738260907968E-2</v>
      </c>
      <c r="J24" s="199">
        <v>4.2504539731634629E-2</v>
      </c>
      <c r="K24" s="199">
        <v>4.1087045058340994E-2</v>
      </c>
      <c r="L24" s="199">
        <v>3.8002199704724841E-2</v>
      </c>
      <c r="M24" s="199">
        <v>4.1471756916347267E-2</v>
      </c>
      <c r="N24" s="199">
        <v>4.4424276607434129E-2</v>
      </c>
    </row>
    <row r="25" spans="1:14">
      <c r="C25" s="29">
        <v>23</v>
      </c>
      <c r="D25" s="34" t="s">
        <v>468</v>
      </c>
      <c r="E25" s="199">
        <v>3.9166817877895575E-2</v>
      </c>
      <c r="F25" s="199">
        <v>4.2633385281627488E-2</v>
      </c>
      <c r="G25" s="199">
        <v>4.021959806726725E-2</v>
      </c>
      <c r="H25" s="199">
        <v>4.6328487190834329E-2</v>
      </c>
      <c r="I25" s="199">
        <v>3.7333600001606022E-2</v>
      </c>
      <c r="J25" s="199">
        <v>3.8168577854042478E-2</v>
      </c>
      <c r="K25" s="199">
        <v>4.1392653411434922E-2</v>
      </c>
      <c r="L25" s="199">
        <v>3.58842462681759E-2</v>
      </c>
      <c r="M25" s="199">
        <v>4.1922827676473977E-2</v>
      </c>
      <c r="N25" s="199">
        <v>3.602606442527552E-2</v>
      </c>
    </row>
    <row r="26" spans="1:14">
      <c r="C26" s="29">
        <v>24</v>
      </c>
      <c r="D26" s="34" t="s">
        <v>469</v>
      </c>
      <c r="E26" s="199">
        <v>3.3446052092073818E-2</v>
      </c>
      <c r="F26" s="199">
        <v>4.2077521782889662E-2</v>
      </c>
      <c r="G26" s="199">
        <v>3.8751992835246565E-2</v>
      </c>
      <c r="H26" s="199">
        <v>4.5650093704888768E-2</v>
      </c>
      <c r="I26" s="199">
        <v>3.5218279859150964E-2</v>
      </c>
      <c r="J26" s="199">
        <v>3.5628865390465038E-2</v>
      </c>
      <c r="K26" s="199">
        <v>4.1181081619839882E-2</v>
      </c>
      <c r="L26" s="199">
        <v>3.5258165290691194E-2</v>
      </c>
      <c r="M26" s="199">
        <v>4.1919736690641349E-2</v>
      </c>
      <c r="N26" s="199">
        <v>2.9815236895609512E-2</v>
      </c>
    </row>
    <row r="27" spans="1:14">
      <c r="A27" s="16" t="s">
        <v>422</v>
      </c>
      <c r="B27" s="16" t="s">
        <v>308</v>
      </c>
      <c r="C27" s="29">
        <v>1</v>
      </c>
      <c r="D27" s="34" t="s">
        <v>470</v>
      </c>
      <c r="E27" s="199">
        <v>3.3847255359846368E-2</v>
      </c>
      <c r="F27" s="199">
        <v>3.3450418558704204E-2</v>
      </c>
      <c r="G27" s="199">
        <v>3.1710478633551996E-2</v>
      </c>
      <c r="H27" s="199">
        <v>2.8460198388984552E-2</v>
      </c>
      <c r="I27" s="199">
        <v>3.9531064435092425E-2</v>
      </c>
      <c r="J27" s="199">
        <v>3.4119754048902676E-2</v>
      </c>
      <c r="K27" s="199">
        <v>3.5365122339492336E-2</v>
      </c>
      <c r="L27" s="199">
        <v>2.5359908750470134E-2</v>
      </c>
      <c r="M27" s="199">
        <v>3.121130193736342E-2</v>
      </c>
      <c r="N27" s="199">
        <v>2.6349880276771723E-2</v>
      </c>
    </row>
    <row r="28" spans="1:14">
      <c r="C28" s="29">
        <v>2</v>
      </c>
      <c r="D28" s="34" t="s">
        <v>471</v>
      </c>
      <c r="E28" s="199">
        <v>3.2046790479524079E-2</v>
      </c>
      <c r="F28" s="199">
        <v>3.3570178590495353E-2</v>
      </c>
      <c r="G28" s="199">
        <v>3.2525841650430584E-2</v>
      </c>
      <c r="H28" s="199">
        <v>2.8867384744026586E-2</v>
      </c>
      <c r="I28" s="199">
        <v>3.2579841258004158E-2</v>
      </c>
      <c r="J28" s="199">
        <v>3.3092546485763624E-2</v>
      </c>
      <c r="K28" s="199">
        <v>3.6478729865820146E-2</v>
      </c>
      <c r="L28" s="199">
        <v>2.5288175625932996E-2</v>
      </c>
      <c r="M28" s="199">
        <v>3.199674456290081E-2</v>
      </c>
      <c r="N28" s="199">
        <v>3.3755699057456144E-2</v>
      </c>
    </row>
    <row r="29" spans="1:14">
      <c r="C29" s="29">
        <v>3</v>
      </c>
      <c r="D29" s="34" t="s">
        <v>472</v>
      </c>
      <c r="E29" s="199">
        <v>3.2195223920361213E-2</v>
      </c>
      <c r="F29" s="199">
        <v>3.3735395781260391E-2</v>
      </c>
      <c r="G29" s="199">
        <v>3.2370912880228683E-2</v>
      </c>
      <c r="H29" s="199">
        <v>2.827368002017204E-2</v>
      </c>
      <c r="I29" s="199">
        <v>3.3545404863324052E-2</v>
      </c>
      <c r="J29" s="199">
        <v>3.2431613369805372E-2</v>
      </c>
      <c r="K29" s="199">
        <v>3.6226071286845657E-2</v>
      </c>
      <c r="L29" s="199">
        <v>2.4514072117315374E-2</v>
      </c>
      <c r="M29" s="199">
        <v>3.1253886661039683E-2</v>
      </c>
      <c r="N29" s="199">
        <v>3.0292423428994068E-2</v>
      </c>
    </row>
    <row r="30" spans="1:14">
      <c r="C30" s="29">
        <v>4</v>
      </c>
      <c r="D30" s="34" t="s">
        <v>473</v>
      </c>
      <c r="E30" s="199">
        <v>3.2464905813613429E-2</v>
      </c>
      <c r="F30" s="199">
        <v>3.3879781977328938E-2</v>
      </c>
      <c r="G30" s="199">
        <v>3.2941863580750803E-2</v>
      </c>
      <c r="H30" s="199">
        <v>2.837108470142943E-2</v>
      </c>
      <c r="I30" s="199">
        <v>3.6500391234129417E-2</v>
      </c>
      <c r="J30" s="199">
        <v>3.3490763150644177E-2</v>
      </c>
      <c r="K30" s="199">
        <v>3.7211874790991195E-2</v>
      </c>
      <c r="L30" s="199">
        <v>2.5708417808889345E-2</v>
      </c>
      <c r="M30" s="199">
        <v>3.1547793704786435E-2</v>
      </c>
      <c r="N30" s="199">
        <v>2.9628894282762216E-2</v>
      </c>
    </row>
    <row r="31" spans="1:14">
      <c r="C31" s="29">
        <v>5</v>
      </c>
      <c r="D31" s="34" t="s">
        <v>474</v>
      </c>
      <c r="E31" s="199">
        <v>3.3623634206496764E-2</v>
      </c>
      <c r="F31" s="199">
        <v>3.4313098192386191E-2</v>
      </c>
      <c r="G31" s="199">
        <v>3.4961128054289421E-2</v>
      </c>
      <c r="H31" s="199">
        <v>3.1394688348794102E-2</v>
      </c>
      <c r="I31" s="199">
        <v>3.6049470247840977E-2</v>
      </c>
      <c r="J31" s="199">
        <v>3.400072231412149E-2</v>
      </c>
      <c r="K31" s="199">
        <v>3.7146120146951941E-2</v>
      </c>
      <c r="L31" s="199">
        <v>3.0311686224403382E-2</v>
      </c>
      <c r="M31" s="199">
        <v>3.4644483970152046E-2</v>
      </c>
      <c r="N31" s="199">
        <v>4.0393097704783845E-2</v>
      </c>
    </row>
    <row r="32" spans="1:14">
      <c r="C32" s="29">
        <v>6</v>
      </c>
      <c r="D32" s="34" t="s">
        <v>475</v>
      </c>
      <c r="E32" s="199">
        <v>3.8375761590882601E-2</v>
      </c>
      <c r="F32" s="199">
        <v>3.719714819560057E-2</v>
      </c>
      <c r="G32" s="199">
        <v>3.7628869250174467E-2</v>
      </c>
      <c r="H32" s="199">
        <v>3.3797800984958458E-2</v>
      </c>
      <c r="I32" s="199">
        <v>3.8816352584872205E-2</v>
      </c>
      <c r="J32" s="199">
        <v>3.5773360659071621E-2</v>
      </c>
      <c r="K32" s="199">
        <v>3.9657147506764363E-2</v>
      </c>
      <c r="L32" s="199">
        <v>3.863348053682425E-2</v>
      </c>
      <c r="M32" s="199">
        <v>4.364749025844257E-2</v>
      </c>
      <c r="N32" s="199">
        <v>3.991219125934975E-2</v>
      </c>
    </row>
    <row r="33" spans="3:14">
      <c r="C33" s="29">
        <v>7</v>
      </c>
      <c r="D33" s="34" t="s">
        <v>476</v>
      </c>
      <c r="E33" s="199">
        <v>4.2955526717772419E-2</v>
      </c>
      <c r="F33" s="199">
        <v>4.3593924711935114E-2</v>
      </c>
      <c r="G33" s="199">
        <v>4.3555350497746392E-2</v>
      </c>
      <c r="H33" s="199">
        <v>4.0126264296818502E-2</v>
      </c>
      <c r="I33" s="199">
        <v>4.0152559049640532E-2</v>
      </c>
      <c r="J33" s="199">
        <v>4.1617681231080034E-2</v>
      </c>
      <c r="K33" s="199">
        <v>4.3343407785397775E-2</v>
      </c>
      <c r="L33" s="199">
        <v>4.4901903008812714E-2</v>
      </c>
      <c r="M33" s="199">
        <v>4.8659527084166002E-2</v>
      </c>
      <c r="N33" s="199">
        <v>4.3629733878922543E-2</v>
      </c>
    </row>
    <row r="34" spans="3:14">
      <c r="C34" s="29">
        <v>8</v>
      </c>
      <c r="D34" s="34" t="s">
        <v>477</v>
      </c>
      <c r="E34" s="199">
        <v>4.4101241584431745E-2</v>
      </c>
      <c r="F34" s="199">
        <v>4.9115326570462386E-2</v>
      </c>
      <c r="G34" s="199">
        <v>4.7396272109757699E-2</v>
      </c>
      <c r="H34" s="199">
        <v>4.7850571478483039E-2</v>
      </c>
      <c r="I34" s="199">
        <v>4.1796243261924292E-2</v>
      </c>
      <c r="J34" s="199">
        <v>4.8159883996475875E-2</v>
      </c>
      <c r="K34" s="199">
        <v>4.6125693790300633E-2</v>
      </c>
      <c r="L34" s="199">
        <v>5.1234705609627187E-2</v>
      </c>
      <c r="M34" s="199">
        <v>5.485741563857563E-2</v>
      </c>
      <c r="N34" s="199">
        <v>4.424948040329648E-2</v>
      </c>
    </row>
    <row r="35" spans="3:14">
      <c r="C35" s="29">
        <v>9</v>
      </c>
      <c r="D35" s="34" t="s">
        <v>478</v>
      </c>
      <c r="E35" s="199">
        <v>4.4795174477332181E-2</v>
      </c>
      <c r="F35" s="199">
        <v>4.9291480639700208E-2</v>
      </c>
      <c r="G35" s="199">
        <v>4.8226940498255967E-2</v>
      </c>
      <c r="H35" s="199">
        <v>4.9686707699161697E-2</v>
      </c>
      <c r="I35" s="199">
        <v>4.6433174650699703E-2</v>
      </c>
      <c r="J35" s="199">
        <v>4.5204527014671932E-2</v>
      </c>
      <c r="K35" s="199">
        <v>4.5727571265121003E-2</v>
      </c>
      <c r="L35" s="199">
        <v>5.4029532128500597E-2</v>
      </c>
      <c r="M35" s="199">
        <v>5.4259458497805745E-2</v>
      </c>
      <c r="N35" s="199">
        <v>5.1824810511388035E-2</v>
      </c>
    </row>
    <row r="36" spans="3:14">
      <c r="C36" s="29">
        <v>10</v>
      </c>
      <c r="D36" s="34" t="s">
        <v>479</v>
      </c>
      <c r="E36" s="199">
        <v>4.300141446483071E-2</v>
      </c>
      <c r="F36" s="199">
        <v>4.9674332011959567E-2</v>
      </c>
      <c r="G36" s="199">
        <v>4.9191600635244942E-2</v>
      </c>
      <c r="H36" s="199">
        <v>5.2363944938293258E-2</v>
      </c>
      <c r="I36" s="199">
        <v>5.2714764163176345E-2</v>
      </c>
      <c r="J36" s="199">
        <v>4.4833284392108423E-2</v>
      </c>
      <c r="K36" s="199">
        <v>4.7704432008638088E-2</v>
      </c>
      <c r="L36" s="199">
        <v>5.5837821103220019E-2</v>
      </c>
      <c r="M36" s="199">
        <v>5.4803238854012067E-2</v>
      </c>
      <c r="N36" s="199">
        <v>5.5698753084977383E-2</v>
      </c>
    </row>
    <row r="37" spans="3:14">
      <c r="C37" s="29">
        <v>11</v>
      </c>
      <c r="D37" s="34" t="s">
        <v>480</v>
      </c>
      <c r="E37" s="199">
        <v>4.3855803801248219E-2</v>
      </c>
      <c r="F37" s="199">
        <v>4.9915355593203314E-2</v>
      </c>
      <c r="G37" s="199">
        <v>4.8911218424755584E-2</v>
      </c>
      <c r="H37" s="199">
        <v>4.9801390115546885E-2</v>
      </c>
      <c r="I37" s="199">
        <v>5.0034559942299918E-2</v>
      </c>
      <c r="J37" s="199">
        <v>4.08760967785975E-2</v>
      </c>
      <c r="K37" s="199">
        <v>4.8185969101879854E-2</v>
      </c>
      <c r="L37" s="199">
        <v>5.5104522260576452E-2</v>
      </c>
      <c r="M37" s="199">
        <v>5.3421288095315711E-2</v>
      </c>
      <c r="N37" s="199">
        <v>4.8707581487770948E-2</v>
      </c>
    </row>
    <row r="38" spans="3:14">
      <c r="C38" s="29">
        <v>12</v>
      </c>
      <c r="D38" s="34" t="s">
        <v>481</v>
      </c>
      <c r="E38" s="199">
        <v>4.2289049463389169E-2</v>
      </c>
      <c r="F38" s="199">
        <v>5.0109867128081693E-2</v>
      </c>
      <c r="G38" s="199">
        <v>4.8931986756487078E-2</v>
      </c>
      <c r="H38" s="199">
        <v>5.184874374921402E-2</v>
      </c>
      <c r="I38" s="199">
        <v>4.5899192933521356E-2</v>
      </c>
      <c r="J38" s="199">
        <v>4.0543532976393966E-2</v>
      </c>
      <c r="K38" s="199">
        <v>4.8169101846680544E-2</v>
      </c>
      <c r="L38" s="199">
        <v>5.6230881414682722E-2</v>
      </c>
      <c r="M38" s="199">
        <v>5.2339523413346717E-2</v>
      </c>
      <c r="N38" s="199">
        <v>4.2943962224260203E-2</v>
      </c>
    </row>
    <row r="39" spans="3:14">
      <c r="C39" s="29">
        <v>13</v>
      </c>
      <c r="D39" s="34" t="s">
        <v>482</v>
      </c>
      <c r="E39" s="199">
        <v>4.1777830496572015E-2</v>
      </c>
      <c r="F39" s="199">
        <v>4.8793961795470721E-2</v>
      </c>
      <c r="G39" s="199">
        <v>4.7718061222187191E-2</v>
      </c>
      <c r="H39" s="199">
        <v>5.149165123024721E-2</v>
      </c>
      <c r="I39" s="199">
        <v>4.4124726330891685E-2</v>
      </c>
      <c r="J39" s="199">
        <v>3.9745242797991485E-2</v>
      </c>
      <c r="K39" s="199">
        <v>4.5770117303372354E-2</v>
      </c>
      <c r="L39" s="199">
        <v>5.5102585249574551E-2</v>
      </c>
      <c r="M39" s="199">
        <v>5.2676900685420844E-2</v>
      </c>
      <c r="N39" s="199">
        <v>4.3667897340755928E-2</v>
      </c>
    </row>
    <row r="40" spans="3:14">
      <c r="C40" s="29">
        <v>14</v>
      </c>
      <c r="D40" s="34" t="s">
        <v>483</v>
      </c>
      <c r="E40" s="199">
        <v>4.0442088570846316E-2</v>
      </c>
      <c r="F40" s="199">
        <v>4.8192651732031737E-2</v>
      </c>
      <c r="G40" s="199">
        <v>4.7252308188236274E-2</v>
      </c>
      <c r="H40" s="199">
        <v>5.3440498582095125E-2</v>
      </c>
      <c r="I40" s="199">
        <v>4.2176346975142442E-2</v>
      </c>
      <c r="J40" s="199">
        <v>3.891841462439842E-2</v>
      </c>
      <c r="K40" s="199">
        <v>4.5830378568122658E-2</v>
      </c>
      <c r="L40" s="199">
        <v>5.6031101668125832E-2</v>
      </c>
      <c r="M40" s="199">
        <v>5.2799744330657081E-2</v>
      </c>
      <c r="N40" s="199">
        <v>5.1286541807370037E-2</v>
      </c>
    </row>
    <row r="41" spans="3:14">
      <c r="C41" s="29">
        <v>15</v>
      </c>
      <c r="D41" s="34" t="s">
        <v>484</v>
      </c>
      <c r="E41" s="199">
        <v>3.8858442318801999E-2</v>
      </c>
      <c r="F41" s="199">
        <v>4.8698112544553536E-2</v>
      </c>
      <c r="G41" s="199">
        <v>4.6957451079873445E-2</v>
      </c>
      <c r="H41" s="199">
        <v>5.0938299874342161E-2</v>
      </c>
      <c r="I41" s="199">
        <v>4.143756559989048E-2</v>
      </c>
      <c r="J41" s="199">
        <v>3.893352362495052E-2</v>
      </c>
      <c r="K41" s="199">
        <v>4.7053540299531842E-2</v>
      </c>
      <c r="L41" s="199">
        <v>5.5294655182604187E-2</v>
      </c>
      <c r="M41" s="199">
        <v>5.3717932153438626E-2</v>
      </c>
      <c r="N41" s="199">
        <v>4.9805659009234386E-2</v>
      </c>
    </row>
    <row r="42" spans="3:14">
      <c r="C42" s="29">
        <v>16</v>
      </c>
      <c r="D42" s="34" t="s">
        <v>485</v>
      </c>
      <c r="E42" s="199">
        <v>4.0887963676033992E-2</v>
      </c>
      <c r="F42" s="199">
        <v>4.6555308873574515E-2</v>
      </c>
      <c r="G42" s="199">
        <v>4.586702607494219E-2</v>
      </c>
      <c r="H42" s="199">
        <v>4.5577969519408207E-2</v>
      </c>
      <c r="I42" s="199">
        <v>4.1598956634785439E-2</v>
      </c>
      <c r="J42" s="199">
        <v>4.1251318362535372E-2</v>
      </c>
      <c r="K42" s="199">
        <v>4.5197718241958611E-2</v>
      </c>
      <c r="L42" s="199">
        <v>4.9650332558027685E-2</v>
      </c>
      <c r="M42" s="199">
        <v>4.4376904589691353E-2</v>
      </c>
      <c r="N42" s="199">
        <v>5.1205532250349489E-2</v>
      </c>
    </row>
    <row r="43" spans="3:14">
      <c r="C43" s="29">
        <v>17</v>
      </c>
      <c r="D43" s="34" t="s">
        <v>486</v>
      </c>
      <c r="E43" s="199">
        <v>4.5682457566034146E-2</v>
      </c>
      <c r="F43" s="199">
        <v>4.7461966398853805E-2</v>
      </c>
      <c r="G43" s="199">
        <v>4.5136034000218032E-2</v>
      </c>
      <c r="H43" s="199">
        <v>4.3115544389835336E-2</v>
      </c>
      <c r="I43" s="199">
        <v>3.8226579656493093E-2</v>
      </c>
      <c r="J43" s="199">
        <v>4.7117805065200143E-2</v>
      </c>
      <c r="K43" s="199">
        <v>4.5648249080287549E-2</v>
      </c>
      <c r="L43" s="199">
        <v>4.6854435585705866E-2</v>
      </c>
      <c r="M43" s="199">
        <v>3.4635709424063743E-2</v>
      </c>
      <c r="N43" s="199">
        <v>4.6353387569153713E-2</v>
      </c>
    </row>
    <row r="44" spans="3:14">
      <c r="C44" s="29">
        <v>18</v>
      </c>
      <c r="D44" s="34" t="s">
        <v>487</v>
      </c>
      <c r="E44" s="199">
        <v>5.2013052577963487E-2</v>
      </c>
      <c r="F44" s="199">
        <v>4.3535445149990318E-2</v>
      </c>
      <c r="G44" s="199">
        <v>4.5490977181734664E-2</v>
      </c>
      <c r="H44" s="199">
        <v>4.3204426161482692E-2</v>
      </c>
      <c r="I44" s="199">
        <v>3.7241816083228796E-2</v>
      </c>
      <c r="J44" s="199">
        <v>5.3027634815169283E-2</v>
      </c>
      <c r="K44" s="199">
        <v>4.2930925050600373E-2</v>
      </c>
      <c r="L44" s="199">
        <v>4.3828607761363506E-2</v>
      </c>
      <c r="M44" s="199">
        <v>3.5219498490415814E-2</v>
      </c>
      <c r="N44" s="199">
        <v>4.2871849670611861E-2</v>
      </c>
    </row>
    <row r="45" spans="3:14">
      <c r="C45" s="29">
        <v>19</v>
      </c>
      <c r="D45" s="34" t="s">
        <v>488</v>
      </c>
      <c r="E45" s="199">
        <v>5.3316986141992456E-2</v>
      </c>
      <c r="F45" s="199">
        <v>3.9086839518332119E-2</v>
      </c>
      <c r="G45" s="199">
        <v>4.2885638302186224E-2</v>
      </c>
      <c r="H45" s="199">
        <v>4.1812003051317589E-2</v>
      </c>
      <c r="I45" s="199">
        <v>4.0682227730541524E-2</v>
      </c>
      <c r="J45" s="199">
        <v>5.4336132842134968E-2</v>
      </c>
      <c r="K45" s="199">
        <v>3.9077725030890569E-2</v>
      </c>
      <c r="L45" s="199">
        <v>4.0509628614077031E-2</v>
      </c>
      <c r="M45" s="199">
        <v>3.425598892958185E-2</v>
      </c>
      <c r="N45" s="199">
        <v>3.9904230782648313E-2</v>
      </c>
    </row>
    <row r="46" spans="3:14">
      <c r="C46" s="29">
        <v>20</v>
      </c>
      <c r="D46" s="34" t="s">
        <v>489</v>
      </c>
      <c r="E46" s="199">
        <v>5.2158056854193141E-2</v>
      </c>
      <c r="F46" s="199">
        <v>3.774139733875919E-2</v>
      </c>
      <c r="G46" s="199">
        <v>4.1912206286252855E-2</v>
      </c>
      <c r="H46" s="199">
        <v>4.1538110364258141E-2</v>
      </c>
      <c r="I46" s="199">
        <v>3.7002790395341247E-2</v>
      </c>
      <c r="J46" s="199">
        <v>5.2126289537170745E-2</v>
      </c>
      <c r="K46" s="199">
        <v>3.7574050706729686E-2</v>
      </c>
      <c r="L46" s="199">
        <v>3.963996164820164E-2</v>
      </c>
      <c r="M46" s="199">
        <v>3.4441381403355814E-2</v>
      </c>
      <c r="N46" s="199">
        <v>4.4627603046614915E-2</v>
      </c>
    </row>
    <row r="47" spans="3:14">
      <c r="C47" s="29">
        <v>21</v>
      </c>
      <c r="D47" s="34" t="s">
        <v>490</v>
      </c>
      <c r="E47" s="199">
        <v>4.9404387450655986E-2</v>
      </c>
      <c r="F47" s="199">
        <v>3.6760909821217436E-2</v>
      </c>
      <c r="G47" s="199">
        <v>4.0502996148145981E-2</v>
      </c>
      <c r="H47" s="199">
        <v>3.9813003884417518E-2</v>
      </c>
      <c r="I47" s="199">
        <v>4.0190680725124349E-2</v>
      </c>
      <c r="J47" s="199">
        <v>5.0212414642436379E-2</v>
      </c>
      <c r="K47" s="199">
        <v>3.7513052075631881E-2</v>
      </c>
      <c r="L47" s="199">
        <v>3.7034439724282789E-2</v>
      </c>
      <c r="M47" s="199">
        <v>3.4183216547344908E-2</v>
      </c>
      <c r="N47" s="199">
        <v>4.3689203322515663E-2</v>
      </c>
    </row>
    <row r="48" spans="3:14">
      <c r="C48" s="29">
        <v>22</v>
      </c>
      <c r="D48" s="34" t="s">
        <v>491</v>
      </c>
      <c r="E48" s="199">
        <v>4.60585942333053E-2</v>
      </c>
      <c r="F48" s="199">
        <v>3.5796609368821113E-2</v>
      </c>
      <c r="G48" s="199">
        <v>3.8167554748040955E-2</v>
      </c>
      <c r="H48" s="199">
        <v>4.0343279607500879E-2</v>
      </c>
      <c r="I48" s="199">
        <v>4.7506146772346249E-2</v>
      </c>
      <c r="J48" s="199">
        <v>4.5245040578332306E-2</v>
      </c>
      <c r="K48" s="199">
        <v>3.7327678175867733E-2</v>
      </c>
      <c r="L48" s="199">
        <v>3.2482909892108738E-2</v>
      </c>
      <c r="M48" s="199">
        <v>3.4327875807167667E-2</v>
      </c>
      <c r="N48" s="199">
        <v>4.1780093704176041E-2</v>
      </c>
    </row>
    <row r="49" spans="1:14">
      <c r="C49" s="29">
        <v>23</v>
      </c>
      <c r="D49" s="34" t="s">
        <v>492</v>
      </c>
      <c r="E49" s="199">
        <v>4.0285343102860541E-2</v>
      </c>
      <c r="F49" s="199">
        <v>3.5620043044740632E-2</v>
      </c>
      <c r="G49" s="199">
        <v>3.6182644637675787E-2</v>
      </c>
      <c r="H49" s="199">
        <v>3.976766432445128E-2</v>
      </c>
      <c r="I49" s="199">
        <v>4.7657381302459029E-2</v>
      </c>
      <c r="J49" s="199">
        <v>3.9262550572599066E-2</v>
      </c>
      <c r="K49" s="199">
        <v>3.7324212554034432E-2</v>
      </c>
      <c r="L49" s="199">
        <v>2.9167690075385153E-2</v>
      </c>
      <c r="M49" s="199">
        <v>3.3724283636799801E-2</v>
      </c>
      <c r="N49" s="199">
        <v>2.9126915987236074E-2</v>
      </c>
    </row>
    <row r="50" spans="1:14">
      <c r="C50" s="29">
        <v>24</v>
      </c>
      <c r="D50" s="34" t="s">
        <v>493</v>
      </c>
      <c r="E50" s="199">
        <v>3.5563015131011649E-2</v>
      </c>
      <c r="F50" s="199">
        <v>3.3910446462536985E-2</v>
      </c>
      <c r="G50" s="199">
        <v>3.3574639158832867E-2</v>
      </c>
      <c r="H50" s="199">
        <v>3.8115089544761248E-2</v>
      </c>
      <c r="I50" s="199">
        <v>4.8101763169230177E-2</v>
      </c>
      <c r="J50" s="199">
        <v>3.5679866119444528E-2</v>
      </c>
      <c r="K50" s="199">
        <v>3.7411111178088548E-2</v>
      </c>
      <c r="L50" s="199">
        <v>2.7248545451287753E-2</v>
      </c>
      <c r="M50" s="199">
        <v>3.2998411324155472E-2</v>
      </c>
      <c r="N50" s="199">
        <v>2.8294577908600148E-2</v>
      </c>
    </row>
    <row r="51" spans="1:14">
      <c r="A51" s="16" t="s">
        <v>422</v>
      </c>
      <c r="B51" s="16" t="s">
        <v>309</v>
      </c>
      <c r="C51" s="29">
        <v>1</v>
      </c>
      <c r="D51" s="34" t="s">
        <v>494</v>
      </c>
      <c r="E51" s="199">
        <v>3.3163054526489148E-2</v>
      </c>
      <c r="F51" s="199">
        <v>3.3037483624188103E-2</v>
      </c>
      <c r="G51" s="199">
        <v>3.293341198477482E-2</v>
      </c>
      <c r="H51" s="199">
        <v>3.4029743834091263E-2</v>
      </c>
      <c r="I51" s="199">
        <v>4.8673156711395674E-2</v>
      </c>
      <c r="J51" s="199">
        <v>3.4174949038412027E-2</v>
      </c>
      <c r="K51" s="199">
        <v>3.643658118279814E-2</v>
      </c>
      <c r="L51" s="199">
        <v>2.6580993618719725E-2</v>
      </c>
      <c r="M51" s="199">
        <v>3.302885848780808E-2</v>
      </c>
      <c r="N51" s="199">
        <v>4.6601147170791196E-2</v>
      </c>
    </row>
    <row r="52" spans="1:14">
      <c r="C52" s="29">
        <v>2</v>
      </c>
      <c r="D52" s="34" t="s">
        <v>495</v>
      </c>
      <c r="E52" s="199">
        <v>3.2547212951679845E-2</v>
      </c>
      <c r="F52" s="199">
        <v>3.3359217090331829E-2</v>
      </c>
      <c r="G52" s="199">
        <v>3.2361962679859316E-2</v>
      </c>
      <c r="H52" s="199">
        <v>3.3164546169619995E-2</v>
      </c>
      <c r="I52" s="199">
        <v>4.4178639038671252E-2</v>
      </c>
      <c r="J52" s="199">
        <v>3.235159367527448E-2</v>
      </c>
      <c r="K52" s="199">
        <v>3.5971574141835064E-2</v>
      </c>
      <c r="L52" s="199">
        <v>2.5631345318884547E-2</v>
      </c>
      <c r="M52" s="199">
        <v>3.3670582479670183E-2</v>
      </c>
      <c r="N52" s="199">
        <v>4.5871993545425462E-2</v>
      </c>
    </row>
    <row r="53" spans="1:14">
      <c r="C53" s="29">
        <v>3</v>
      </c>
      <c r="D53" s="34" t="s">
        <v>496</v>
      </c>
      <c r="E53" s="199">
        <v>3.2383412035368375E-2</v>
      </c>
      <c r="F53" s="199">
        <v>3.3239298143769989E-2</v>
      </c>
      <c r="G53" s="199">
        <v>3.2079799841271114E-2</v>
      </c>
      <c r="H53" s="199">
        <v>3.2936884954596922E-2</v>
      </c>
      <c r="I53" s="199">
        <v>3.9472013043828753E-2</v>
      </c>
      <c r="J53" s="199">
        <v>3.2158482363720396E-2</v>
      </c>
      <c r="K53" s="199">
        <v>3.6011373404747742E-2</v>
      </c>
      <c r="L53" s="199">
        <v>2.4947917152847155E-2</v>
      </c>
      <c r="M53" s="199">
        <v>3.2257866925997296E-2</v>
      </c>
      <c r="N53" s="199">
        <v>3.4245876630452428E-2</v>
      </c>
    </row>
    <row r="54" spans="1:14">
      <c r="C54" s="29">
        <v>4</v>
      </c>
      <c r="D54" s="34" t="s">
        <v>497</v>
      </c>
      <c r="E54" s="199">
        <v>3.2405932929745869E-2</v>
      </c>
      <c r="F54" s="199">
        <v>3.2724565431632414E-2</v>
      </c>
      <c r="G54" s="199">
        <v>3.2574663810244042E-2</v>
      </c>
      <c r="H54" s="199">
        <v>3.249293761210973E-2</v>
      </c>
      <c r="I54" s="199">
        <v>3.9479574609390666E-2</v>
      </c>
      <c r="J54" s="199">
        <v>3.4220879029610393E-2</v>
      </c>
      <c r="K54" s="199">
        <v>3.6043643558442133E-2</v>
      </c>
      <c r="L54" s="199">
        <v>2.5156131701097782E-2</v>
      </c>
      <c r="M54" s="199">
        <v>3.2363747009444492E-2</v>
      </c>
      <c r="N54" s="199">
        <v>4.0930905448829422E-2</v>
      </c>
    </row>
    <row r="55" spans="1:14">
      <c r="C55" s="29">
        <v>5</v>
      </c>
      <c r="D55" s="34" t="s">
        <v>498</v>
      </c>
      <c r="E55" s="199">
        <v>3.3696929205656173E-2</v>
      </c>
      <c r="F55" s="199">
        <v>3.3395150739617054E-2</v>
      </c>
      <c r="G55" s="199">
        <v>3.4274561661605175E-2</v>
      </c>
      <c r="H55" s="199">
        <v>3.3651495595449159E-2</v>
      </c>
      <c r="I55" s="199">
        <v>4.2652099930061915E-2</v>
      </c>
      <c r="J55" s="199">
        <v>3.4728681369427326E-2</v>
      </c>
      <c r="K55" s="199">
        <v>3.6162489568490372E-2</v>
      </c>
      <c r="L55" s="199">
        <v>2.9713747523534003E-2</v>
      </c>
      <c r="M55" s="199">
        <v>3.5058637758460562E-2</v>
      </c>
      <c r="N55" s="199">
        <v>3.6752124862631637E-2</v>
      </c>
    </row>
    <row r="56" spans="1:14">
      <c r="C56" s="29">
        <v>6</v>
      </c>
      <c r="D56" s="34" t="s">
        <v>499</v>
      </c>
      <c r="E56" s="199">
        <v>3.7747365492148965E-2</v>
      </c>
      <c r="F56" s="199">
        <v>3.5577771646318625E-2</v>
      </c>
      <c r="G56" s="199">
        <v>3.6675699540719302E-2</v>
      </c>
      <c r="H56" s="199">
        <v>3.6698796505105345E-2</v>
      </c>
      <c r="I56" s="199">
        <v>4.5124347382423102E-2</v>
      </c>
      <c r="J56" s="199">
        <v>3.8034401948436047E-2</v>
      </c>
      <c r="K56" s="199">
        <v>3.8151544949182513E-2</v>
      </c>
      <c r="L56" s="199">
        <v>3.8192689178018394E-2</v>
      </c>
      <c r="M56" s="199">
        <v>4.3625776351194134E-2</v>
      </c>
      <c r="N56" s="199">
        <v>3.9643468220957892E-2</v>
      </c>
    </row>
    <row r="57" spans="1:14">
      <c r="C57" s="29">
        <v>7</v>
      </c>
      <c r="D57" s="34" t="s">
        <v>500</v>
      </c>
      <c r="E57" s="199">
        <v>4.4431802160360467E-2</v>
      </c>
      <c r="F57" s="199">
        <v>4.2758028162132908E-2</v>
      </c>
      <c r="G57" s="199">
        <v>4.3097510517095192E-2</v>
      </c>
      <c r="H57" s="199">
        <v>4.4187909642682995E-2</v>
      </c>
      <c r="I57" s="199">
        <v>4.3819528755544443E-2</v>
      </c>
      <c r="J57" s="199">
        <v>4.37269252154837E-2</v>
      </c>
      <c r="K57" s="199">
        <v>4.1834347315672323E-2</v>
      </c>
      <c r="L57" s="199">
        <v>4.5262963240150549E-2</v>
      </c>
      <c r="M57" s="199">
        <v>4.8101616242370727E-2</v>
      </c>
      <c r="N57" s="199">
        <v>3.9303814783386889E-2</v>
      </c>
    </row>
    <row r="58" spans="1:14">
      <c r="C58" s="29">
        <v>8</v>
      </c>
      <c r="D58" s="34" t="s">
        <v>501</v>
      </c>
      <c r="E58" s="199">
        <v>4.6316596901180347E-2</v>
      </c>
      <c r="F58" s="199">
        <v>4.7738261412350456E-2</v>
      </c>
      <c r="G58" s="199">
        <v>4.740046053239292E-2</v>
      </c>
      <c r="H58" s="199">
        <v>4.8812095353850803E-2</v>
      </c>
      <c r="I58" s="199">
        <v>4.1159908271801625E-2</v>
      </c>
      <c r="J58" s="199">
        <v>4.7404862309240993E-2</v>
      </c>
      <c r="K58" s="199">
        <v>4.54220657543985E-2</v>
      </c>
      <c r="L58" s="199">
        <v>4.9639778026933909E-2</v>
      </c>
      <c r="M58" s="199">
        <v>5.2918006574747482E-2</v>
      </c>
      <c r="N58" s="199">
        <v>5.0883098937684612E-2</v>
      </c>
    </row>
    <row r="59" spans="1:14">
      <c r="C59" s="29">
        <v>9</v>
      </c>
      <c r="D59" s="34" t="s">
        <v>502</v>
      </c>
      <c r="E59" s="199">
        <v>4.4616993120214513E-2</v>
      </c>
      <c r="F59" s="199">
        <v>5.1059013404668334E-2</v>
      </c>
      <c r="G59" s="199">
        <v>4.8458807258178103E-2</v>
      </c>
      <c r="H59" s="199">
        <v>5.0509003275493673E-2</v>
      </c>
      <c r="I59" s="199">
        <v>4.6288443992573258E-2</v>
      </c>
      <c r="J59" s="199">
        <v>4.3817206023113182E-2</v>
      </c>
      <c r="K59" s="199">
        <v>4.5184925512991768E-2</v>
      </c>
      <c r="L59" s="199">
        <v>5.329566266092263E-2</v>
      </c>
      <c r="M59" s="199">
        <v>5.3224509926755009E-2</v>
      </c>
      <c r="N59" s="199">
        <v>5.2831527258057794E-2</v>
      </c>
    </row>
    <row r="60" spans="1:14">
      <c r="C60" s="29">
        <v>10</v>
      </c>
      <c r="D60" s="34" t="s">
        <v>503</v>
      </c>
      <c r="E60" s="199">
        <v>4.258721199384919E-2</v>
      </c>
      <c r="F60" s="199">
        <v>5.1019176534788963E-2</v>
      </c>
      <c r="G60" s="199">
        <v>5.0400540863337409E-2</v>
      </c>
      <c r="H60" s="199">
        <v>5.2384298084275797E-2</v>
      </c>
      <c r="I60" s="199">
        <v>4.3429018751016485E-2</v>
      </c>
      <c r="J60" s="199">
        <v>4.1790868111095607E-2</v>
      </c>
      <c r="K60" s="199">
        <v>4.8191425198967401E-2</v>
      </c>
      <c r="L60" s="199">
        <v>5.5496470208729526E-2</v>
      </c>
      <c r="M60" s="199">
        <v>5.1836613746512265E-2</v>
      </c>
      <c r="N60" s="199">
        <v>4.7520413983056745E-2</v>
      </c>
    </row>
    <row r="61" spans="1:14">
      <c r="C61" s="29">
        <v>11</v>
      </c>
      <c r="D61" s="34" t="s">
        <v>504</v>
      </c>
      <c r="E61" s="199">
        <v>4.1400454720774978E-2</v>
      </c>
      <c r="F61" s="199">
        <v>5.088707953997338E-2</v>
      </c>
      <c r="G61" s="199">
        <v>5.1266625693131666E-2</v>
      </c>
      <c r="H61" s="199">
        <v>5.0240413007104329E-2</v>
      </c>
      <c r="I61" s="199">
        <v>4.4562869098918982E-2</v>
      </c>
      <c r="J61" s="199">
        <v>4.1221857403710351E-2</v>
      </c>
      <c r="K61" s="199">
        <v>4.9311251150169329E-2</v>
      </c>
      <c r="L61" s="199">
        <v>5.6257314536374371E-2</v>
      </c>
      <c r="M61" s="199">
        <v>5.0860385058259905E-2</v>
      </c>
      <c r="N61" s="199">
        <v>3.871121806909919E-2</v>
      </c>
    </row>
    <row r="62" spans="1:14">
      <c r="C62" s="29">
        <v>12</v>
      </c>
      <c r="D62" s="34" t="s">
        <v>505</v>
      </c>
      <c r="E62" s="199">
        <v>4.0404760350515129E-2</v>
      </c>
      <c r="F62" s="199">
        <v>5.1215394436534299E-2</v>
      </c>
      <c r="G62" s="199">
        <v>4.9393872127396307E-2</v>
      </c>
      <c r="H62" s="199">
        <v>5.1484549920209614E-2</v>
      </c>
      <c r="I62" s="199">
        <v>4.4624258758311469E-2</v>
      </c>
      <c r="J62" s="199">
        <v>4.1113045008087941E-2</v>
      </c>
      <c r="K62" s="199">
        <v>4.9073932915636873E-2</v>
      </c>
      <c r="L62" s="199">
        <v>5.6212839818410985E-2</v>
      </c>
      <c r="M62" s="199">
        <v>5.0320165939785173E-2</v>
      </c>
      <c r="N62" s="199">
        <v>3.3260070202771948E-2</v>
      </c>
    </row>
    <row r="63" spans="1:14">
      <c r="C63" s="29">
        <v>13</v>
      </c>
      <c r="D63" s="34" t="s">
        <v>506</v>
      </c>
      <c r="E63" s="199">
        <v>3.9564003853148053E-2</v>
      </c>
      <c r="F63" s="199">
        <v>5.045030315053313E-2</v>
      </c>
      <c r="G63" s="199">
        <v>4.9380182593662787E-2</v>
      </c>
      <c r="H63" s="199">
        <v>5.0348104256610925E-2</v>
      </c>
      <c r="I63" s="199">
        <v>4.339133908533508E-2</v>
      </c>
      <c r="J63" s="199">
        <v>4.087058867014981E-2</v>
      </c>
      <c r="K63" s="199">
        <v>4.7518006007090004E-2</v>
      </c>
      <c r="L63" s="199">
        <v>5.5999474243503579E-2</v>
      </c>
      <c r="M63" s="199">
        <v>5.3304536496212467E-2</v>
      </c>
      <c r="N63" s="199">
        <v>3.3323827673988352E-2</v>
      </c>
    </row>
    <row r="64" spans="1:14">
      <c r="C64" s="29">
        <v>14</v>
      </c>
      <c r="D64" s="34" t="s">
        <v>507</v>
      </c>
      <c r="E64" s="199">
        <v>3.8111533386519132E-2</v>
      </c>
      <c r="F64" s="199">
        <v>4.8872789525110628E-2</v>
      </c>
      <c r="G64" s="199">
        <v>4.9375156760213389E-2</v>
      </c>
      <c r="H64" s="199">
        <v>4.9179500051081591E-2</v>
      </c>
      <c r="I64" s="199">
        <v>4.2764369954337113E-2</v>
      </c>
      <c r="J64" s="199">
        <v>4.0468853305511886E-2</v>
      </c>
      <c r="K64" s="199">
        <v>4.8308847264009816E-2</v>
      </c>
      <c r="L64" s="199">
        <v>5.589813721664124E-2</v>
      </c>
      <c r="M64" s="199">
        <v>5.293033671218874E-2</v>
      </c>
      <c r="N64" s="199">
        <v>3.3551731652918242E-2</v>
      </c>
    </row>
    <row r="65" spans="1:14">
      <c r="C65" s="29">
        <v>15</v>
      </c>
      <c r="D65" s="34" t="s">
        <v>508</v>
      </c>
      <c r="E65" s="199">
        <v>3.8730125755984383E-2</v>
      </c>
      <c r="F65" s="199">
        <v>4.9176015720683301E-2</v>
      </c>
      <c r="G65" s="199">
        <v>4.836967952072687E-2</v>
      </c>
      <c r="H65" s="199">
        <v>4.5833098124163016E-2</v>
      </c>
      <c r="I65" s="199">
        <v>3.9843298729131518E-2</v>
      </c>
      <c r="J65" s="199">
        <v>3.8687778533227218E-2</v>
      </c>
      <c r="K65" s="199">
        <v>4.8763121319491509E-2</v>
      </c>
      <c r="L65" s="199">
        <v>5.4194190162059216E-2</v>
      </c>
      <c r="M65" s="199">
        <v>5.3856449357937923E-2</v>
      </c>
      <c r="N65" s="199">
        <v>3.2532307649505481E-2</v>
      </c>
    </row>
    <row r="66" spans="1:14">
      <c r="C66" s="29">
        <v>16</v>
      </c>
      <c r="D66" s="34" t="s">
        <v>509</v>
      </c>
      <c r="E66" s="199">
        <v>4.2231480246707545E-2</v>
      </c>
      <c r="F66" s="199">
        <v>4.7972130380442457E-2</v>
      </c>
      <c r="G66" s="199">
        <v>4.6356868081853894E-2</v>
      </c>
      <c r="H66" s="199">
        <v>4.2518482656871769E-2</v>
      </c>
      <c r="I66" s="199">
        <v>3.9088423794221859E-2</v>
      </c>
      <c r="J66" s="199">
        <v>3.8490085940811283E-2</v>
      </c>
      <c r="K66" s="199">
        <v>4.7011366374019266E-2</v>
      </c>
      <c r="L66" s="199">
        <v>4.9108053877678422E-2</v>
      </c>
      <c r="M66" s="199">
        <v>4.4740500325157653E-2</v>
      </c>
      <c r="N66" s="199">
        <v>3.9593621470734162E-2</v>
      </c>
    </row>
    <row r="67" spans="1:14">
      <c r="C67" s="29">
        <v>17</v>
      </c>
      <c r="D67" s="34" t="s">
        <v>510</v>
      </c>
      <c r="E67" s="199">
        <v>4.7270986944694636E-2</v>
      </c>
      <c r="F67" s="199">
        <v>4.6787568984620026E-2</v>
      </c>
      <c r="G67" s="199">
        <v>4.4417866045694192E-2</v>
      </c>
      <c r="H67" s="199">
        <v>3.9339570921066359E-2</v>
      </c>
      <c r="I67" s="199">
        <v>3.4286445176022348E-2</v>
      </c>
      <c r="J67" s="199">
        <v>4.5641231000993022E-2</v>
      </c>
      <c r="K67" s="199">
        <v>4.6313668919792647E-2</v>
      </c>
      <c r="L67" s="199">
        <v>4.64906036542162E-2</v>
      </c>
      <c r="M67" s="199">
        <v>3.5212008758375046E-2</v>
      </c>
      <c r="N67" s="199">
        <v>5.7189987990410876E-2</v>
      </c>
    </row>
    <row r="68" spans="1:14">
      <c r="C68" s="29">
        <v>18</v>
      </c>
      <c r="D68" s="34" t="s">
        <v>511</v>
      </c>
      <c r="E68" s="199">
        <v>5.1386291662205701E-2</v>
      </c>
      <c r="F68" s="199">
        <v>4.2463341012229275E-2</v>
      </c>
      <c r="G68" s="199">
        <v>4.3280798163194127E-2</v>
      </c>
      <c r="H68" s="199">
        <v>3.9603961974889544E-2</v>
      </c>
      <c r="I68" s="199">
        <v>3.7115495993203303E-2</v>
      </c>
      <c r="J68" s="199">
        <v>5.419528032762732E-2</v>
      </c>
      <c r="K68" s="199">
        <v>4.3279420105516109E-2</v>
      </c>
      <c r="L68" s="199">
        <v>4.4111206243174966E-2</v>
      </c>
      <c r="M68" s="199">
        <v>3.6055151511535641E-2</v>
      </c>
      <c r="N68" s="199">
        <v>6.0669986692076933E-2</v>
      </c>
    </row>
    <row r="69" spans="1:14">
      <c r="C69" s="29">
        <v>19</v>
      </c>
      <c r="D69" s="34" t="s">
        <v>512</v>
      </c>
      <c r="E69" s="199">
        <v>5.2887456565786396E-2</v>
      </c>
      <c r="F69" s="199">
        <v>3.9495368102165501E-2</v>
      </c>
      <c r="G69" s="199">
        <v>4.2353218173299657E-2</v>
      </c>
      <c r="H69" s="199">
        <v>3.9555378656997639E-2</v>
      </c>
      <c r="I69" s="199">
        <v>4.050115493301798E-2</v>
      </c>
      <c r="J69" s="199">
        <v>5.4746172376110729E-2</v>
      </c>
      <c r="K69" s="199">
        <v>3.8867468899483636E-2</v>
      </c>
      <c r="L69" s="199">
        <v>4.2135448306350604E-2</v>
      </c>
      <c r="M69" s="199">
        <v>3.5573560207862252E-2</v>
      </c>
      <c r="N69" s="199">
        <v>5.1314331288457353E-2</v>
      </c>
    </row>
    <row r="70" spans="1:14">
      <c r="C70" s="29">
        <v>20</v>
      </c>
      <c r="D70" s="34" t="s">
        <v>513</v>
      </c>
      <c r="E70" s="199">
        <v>5.3234687141776489E-2</v>
      </c>
      <c r="F70" s="199">
        <v>3.7326138244579254E-2</v>
      </c>
      <c r="G70" s="199">
        <v>4.0451095487508207E-2</v>
      </c>
      <c r="H70" s="199">
        <v>3.8526890015979337E-2</v>
      </c>
      <c r="I70" s="199">
        <v>3.7862168551910214E-2</v>
      </c>
      <c r="J70" s="199">
        <v>5.1073899107048654E-2</v>
      </c>
      <c r="K70" s="199">
        <v>3.6577391544561154E-2</v>
      </c>
      <c r="L70" s="199">
        <v>4.0061242942983549E-2</v>
      </c>
      <c r="M70" s="199">
        <v>3.5206838055577103E-2</v>
      </c>
      <c r="N70" s="199">
        <v>4.8153351788223185E-2</v>
      </c>
    </row>
    <row r="71" spans="1:14">
      <c r="C71" s="29">
        <v>21</v>
      </c>
      <c r="D71" s="34" t="s">
        <v>514</v>
      </c>
      <c r="E71" s="199">
        <v>5.1382308240139681E-2</v>
      </c>
      <c r="F71" s="199">
        <v>3.6187082395929854E-2</v>
      </c>
      <c r="G71" s="199">
        <v>3.8724579098331879E-2</v>
      </c>
      <c r="H71" s="199">
        <v>3.9413881072502786E-2</v>
      </c>
      <c r="I71" s="199">
        <v>3.8643573047350645E-2</v>
      </c>
      <c r="J71" s="199">
        <v>4.9893468758599673E-2</v>
      </c>
      <c r="K71" s="199">
        <v>3.603899793786064E-2</v>
      </c>
      <c r="L71" s="199">
        <v>3.6598509245144302E-2</v>
      </c>
      <c r="M71" s="199">
        <v>3.439662870177574E-2</v>
      </c>
      <c r="N71" s="199">
        <v>4.3772402056931947E-2</v>
      </c>
    </row>
    <row r="72" spans="1:14">
      <c r="C72" s="29">
        <v>22</v>
      </c>
      <c r="D72" s="34" t="s">
        <v>515</v>
      </c>
      <c r="E72" s="199">
        <v>4.6865856805956486E-2</v>
      </c>
      <c r="F72" s="199">
        <v>3.5386261629105305E-2</v>
      </c>
      <c r="G72" s="199">
        <v>3.7466922901781864E-2</v>
      </c>
      <c r="H72" s="199">
        <v>4.0072307285552222E-2</v>
      </c>
      <c r="I72" s="199">
        <v>4.2573536545494922E-2</v>
      </c>
      <c r="J72" s="199">
        <v>4.4380067435115064E-2</v>
      </c>
      <c r="K72" s="199">
        <v>3.6339290140275489E-2</v>
      </c>
      <c r="L72" s="199">
        <v>3.1988604220401978E-2</v>
      </c>
      <c r="M72" s="199">
        <v>3.417675450895228E-2</v>
      </c>
      <c r="N72" s="199">
        <v>3.4710262866257696E-2</v>
      </c>
    </row>
    <row r="73" spans="1:14">
      <c r="C73" s="29">
        <v>23</v>
      </c>
      <c r="D73" s="34" t="s">
        <v>516</v>
      </c>
      <c r="E73" s="199">
        <v>4.0942400762962447E-2</v>
      </c>
      <c r="F73" s="199">
        <v>3.4732177936801778E-2</v>
      </c>
      <c r="G73" s="199">
        <v>3.5096941387405711E-2</v>
      </c>
      <c r="H73" s="199">
        <v>3.777060615715417E-2</v>
      </c>
      <c r="I73" s="199">
        <v>4.0068607750450909E-2</v>
      </c>
      <c r="J73" s="199">
        <v>4.020440012328947E-2</v>
      </c>
      <c r="K73" s="199">
        <v>3.6057758413312324E-2</v>
      </c>
      <c r="L73" s="199">
        <v>2.9076477581733193E-2</v>
      </c>
      <c r="M73" s="199">
        <v>3.3307678692528132E-2</v>
      </c>
      <c r="N73" s="199">
        <v>3.0570895989539142E-2</v>
      </c>
    </row>
    <row r="74" spans="1:14">
      <c r="C74" s="29">
        <v>24</v>
      </c>
      <c r="D74" s="34" t="s">
        <v>517</v>
      </c>
      <c r="E74" s="199">
        <v>3.5691142246136072E-2</v>
      </c>
      <c r="F74" s="199">
        <v>3.5140382751492845E-2</v>
      </c>
      <c r="G74" s="199">
        <v>3.3808775276321805E-2</v>
      </c>
      <c r="H74" s="199">
        <v>3.724554487254108E-2</v>
      </c>
      <c r="I74" s="199">
        <v>4.0397728095586387E-2</v>
      </c>
      <c r="J74" s="199">
        <v>3.6604422925903497E-2</v>
      </c>
      <c r="K74" s="199">
        <v>3.7129508421255258E-2</v>
      </c>
      <c r="L74" s="199">
        <v>2.7950199321489178E-2</v>
      </c>
      <c r="M74" s="199">
        <v>3.3972790170891727E-2</v>
      </c>
      <c r="N74" s="199">
        <v>2.8061633767811525E-2</v>
      </c>
    </row>
    <row r="75" spans="1:14">
      <c r="A75" s="16" t="s">
        <v>422</v>
      </c>
      <c r="B75" s="16" t="s">
        <v>310</v>
      </c>
      <c r="C75" s="29">
        <v>1</v>
      </c>
      <c r="D75" s="34" t="s">
        <v>518</v>
      </c>
      <c r="E75" s="199">
        <v>3.3973629375949041E-2</v>
      </c>
      <c r="F75" s="199">
        <v>3.5002192128448018E-2</v>
      </c>
      <c r="G75" s="199">
        <v>3.4161126786977164E-2</v>
      </c>
      <c r="H75" s="199">
        <v>3.5279603519907866E-2</v>
      </c>
      <c r="I75" s="199">
        <v>4.1224560918427883E-2</v>
      </c>
      <c r="J75" s="199">
        <v>3.4165749567415866E-2</v>
      </c>
      <c r="K75" s="199">
        <v>3.7944041132655683E-2</v>
      </c>
      <c r="L75" s="199">
        <v>2.8711702610945855E-2</v>
      </c>
      <c r="M75" s="199">
        <v>3.4848512385453841E-2</v>
      </c>
      <c r="N75" s="199">
        <v>2.9527868845696512E-2</v>
      </c>
    </row>
    <row r="76" spans="1:14">
      <c r="C76" s="29">
        <v>2</v>
      </c>
      <c r="D76" s="34" t="s">
        <v>519</v>
      </c>
      <c r="E76" s="199">
        <v>3.3525048547723028E-2</v>
      </c>
      <c r="F76" s="199">
        <v>3.435790073275341E-2</v>
      </c>
      <c r="G76" s="199">
        <v>3.3092678065454413E-2</v>
      </c>
      <c r="H76" s="199">
        <v>3.3940321635546195E-2</v>
      </c>
      <c r="I76" s="199">
        <v>3.775406165369357E-2</v>
      </c>
      <c r="J76" s="199">
        <v>3.3117442844284632E-2</v>
      </c>
      <c r="K76" s="199">
        <v>3.7243979396486458E-2</v>
      </c>
      <c r="L76" s="199">
        <v>2.715146165864419E-2</v>
      </c>
      <c r="M76" s="199">
        <v>3.4599396623249817E-2</v>
      </c>
      <c r="N76" s="199">
        <v>2.6883662123182495E-2</v>
      </c>
    </row>
    <row r="77" spans="1:14">
      <c r="C77" s="29">
        <v>3</v>
      </c>
      <c r="D77" s="34" t="s">
        <v>520</v>
      </c>
      <c r="E77" s="199">
        <v>3.2828928128139381E-2</v>
      </c>
      <c r="F77" s="199">
        <v>3.4035273876319529E-2</v>
      </c>
      <c r="G77" s="199">
        <v>3.2889012614659714E-2</v>
      </c>
      <c r="H77" s="199">
        <v>3.367005949897648E-2</v>
      </c>
      <c r="I77" s="199">
        <v>3.7284697175049182E-2</v>
      </c>
      <c r="J77" s="199">
        <v>3.2918453874926264E-2</v>
      </c>
      <c r="K77" s="199">
        <v>3.7637684392321319E-2</v>
      </c>
      <c r="L77" s="199">
        <v>2.6590630869665274E-2</v>
      </c>
      <c r="M77" s="199">
        <v>3.4229917072145503E-2</v>
      </c>
      <c r="N77" s="199">
        <v>2.7538113599823444E-2</v>
      </c>
    </row>
    <row r="78" spans="1:14">
      <c r="C78" s="29">
        <v>4</v>
      </c>
      <c r="D78" s="34" t="s">
        <v>521</v>
      </c>
      <c r="E78" s="199">
        <v>3.1879565208603695E-2</v>
      </c>
      <c r="F78" s="199">
        <v>3.4794081015618324E-2</v>
      </c>
      <c r="G78" s="199">
        <v>3.420629875960593E-2</v>
      </c>
      <c r="H78" s="199">
        <v>3.3701606725196828E-2</v>
      </c>
      <c r="I78" s="199">
        <v>3.6529476048113609E-2</v>
      </c>
      <c r="J78" s="199">
        <v>3.3122566195084302E-2</v>
      </c>
      <c r="K78" s="199">
        <v>3.8382923226895287E-2</v>
      </c>
      <c r="L78" s="199">
        <v>2.7292482856841226E-2</v>
      </c>
      <c r="M78" s="199">
        <v>3.5275111477972125E-2</v>
      </c>
      <c r="N78" s="199">
        <v>3.7591668067491216E-2</v>
      </c>
    </row>
    <row r="79" spans="1:14">
      <c r="C79" s="29">
        <v>5</v>
      </c>
      <c r="D79" s="34" t="s">
        <v>522</v>
      </c>
      <c r="E79" s="199">
        <v>3.3710925439903429E-2</v>
      </c>
      <c r="F79" s="199">
        <v>3.5105009703916161E-2</v>
      </c>
      <c r="G79" s="199">
        <v>3.5516108452309389E-2</v>
      </c>
      <c r="H79" s="199">
        <v>3.4384070820481616E-2</v>
      </c>
      <c r="I79" s="199">
        <v>3.3565886305789876E-2</v>
      </c>
      <c r="J79" s="199">
        <v>3.2643813534601419E-2</v>
      </c>
      <c r="K79" s="199">
        <v>3.8070994497793054E-2</v>
      </c>
      <c r="L79" s="199">
        <v>3.044110866194049E-2</v>
      </c>
      <c r="M79" s="199">
        <v>3.6165856774147936E-2</v>
      </c>
      <c r="N79" s="199">
        <v>3.7900433860283994E-2</v>
      </c>
    </row>
    <row r="80" spans="1:14">
      <c r="C80" s="29">
        <v>6</v>
      </c>
      <c r="D80" s="34" t="s">
        <v>523</v>
      </c>
      <c r="E80" s="199">
        <v>3.770815484992552E-2</v>
      </c>
      <c r="F80" s="199">
        <v>3.6884544663941754E-2</v>
      </c>
      <c r="G80" s="199">
        <v>3.8342343145715725E-2</v>
      </c>
      <c r="H80" s="199">
        <v>3.6777756327681356E-2</v>
      </c>
      <c r="I80" s="199">
        <v>3.5072316897450391E-2</v>
      </c>
      <c r="J80" s="199">
        <v>3.5228954868946123E-2</v>
      </c>
      <c r="K80" s="199">
        <v>3.9476132760022598E-2</v>
      </c>
      <c r="L80" s="199">
        <v>3.8113920345994999E-2</v>
      </c>
      <c r="M80" s="199">
        <v>4.343321996635538E-2</v>
      </c>
      <c r="N80" s="199">
        <v>4.1465575295436478E-2</v>
      </c>
    </row>
    <row r="81" spans="3:14">
      <c r="C81" s="29">
        <v>7</v>
      </c>
      <c r="D81" s="34" t="s">
        <v>524</v>
      </c>
      <c r="E81" s="199">
        <v>4.2724164554850223E-2</v>
      </c>
      <c r="F81" s="199">
        <v>4.2961958529562923E-2</v>
      </c>
      <c r="G81" s="199">
        <v>4.3149117187358671E-2</v>
      </c>
      <c r="H81" s="199">
        <v>4.3108308708718464E-2</v>
      </c>
      <c r="I81" s="199">
        <v>4.0140794942754611E-2</v>
      </c>
      <c r="J81" s="199">
        <v>4.1142612838501041E-2</v>
      </c>
      <c r="K81" s="199">
        <v>4.1803655110259304E-2</v>
      </c>
      <c r="L81" s="199">
        <v>4.4706715235941892E-2</v>
      </c>
      <c r="M81" s="199">
        <v>4.6244859490921081E-2</v>
      </c>
      <c r="N81" s="199">
        <v>3.4505041421436435E-2</v>
      </c>
    </row>
    <row r="82" spans="3:14">
      <c r="C82" s="29">
        <v>8</v>
      </c>
      <c r="D82" s="34" t="s">
        <v>525</v>
      </c>
      <c r="E82" s="199">
        <v>4.4922441608373581E-2</v>
      </c>
      <c r="F82" s="199">
        <v>4.7502411531751422E-2</v>
      </c>
      <c r="G82" s="199">
        <v>4.667364312246406E-2</v>
      </c>
      <c r="H82" s="199">
        <v>4.7463051502821339E-2</v>
      </c>
      <c r="I82" s="199">
        <v>4.4317141030293598E-2</v>
      </c>
      <c r="J82" s="199">
        <v>4.4379910480288665E-2</v>
      </c>
      <c r="K82" s="199">
        <v>4.5333568647216861E-2</v>
      </c>
      <c r="L82" s="199">
        <v>4.9044851830876021E-2</v>
      </c>
      <c r="M82" s="199">
        <v>5.1569093108780294E-2</v>
      </c>
      <c r="N82" s="199">
        <v>4.3821023093494983E-2</v>
      </c>
    </row>
    <row r="83" spans="3:14">
      <c r="C83" s="29">
        <v>9</v>
      </c>
      <c r="D83" s="34" t="s">
        <v>526</v>
      </c>
      <c r="E83" s="199">
        <v>4.3080123384438083E-2</v>
      </c>
      <c r="F83" s="199">
        <v>4.8488646296303339E-2</v>
      </c>
      <c r="G83" s="199">
        <v>4.7509648317240923E-2</v>
      </c>
      <c r="H83" s="199">
        <v>4.8990254993732989E-2</v>
      </c>
      <c r="I83" s="199">
        <v>4.714124836344754E-2</v>
      </c>
      <c r="J83" s="199">
        <v>4.3383506309211187E-2</v>
      </c>
      <c r="K83" s="199">
        <v>4.4504192782248084E-2</v>
      </c>
      <c r="L83" s="199">
        <v>5.2454465981232677E-2</v>
      </c>
      <c r="M83" s="199">
        <v>5.2356583849323172E-2</v>
      </c>
      <c r="N83" s="199">
        <v>5.29297171090694E-2</v>
      </c>
    </row>
    <row r="84" spans="3:14">
      <c r="C84" s="29">
        <v>10</v>
      </c>
      <c r="D84" s="34" t="s">
        <v>527</v>
      </c>
      <c r="E84" s="199">
        <v>4.3288951284964246E-2</v>
      </c>
      <c r="F84" s="199">
        <v>4.833626938641826E-2</v>
      </c>
      <c r="G84" s="199">
        <v>4.8059251092863374E-2</v>
      </c>
      <c r="H84" s="199">
        <v>4.7979427395602167E-2</v>
      </c>
      <c r="I84" s="199">
        <v>4.726077532469776E-2</v>
      </c>
      <c r="J84" s="199">
        <v>4.2134172052950281E-2</v>
      </c>
      <c r="K84" s="199">
        <v>4.5722816052037443E-2</v>
      </c>
      <c r="L84" s="199">
        <v>5.294248035384426E-2</v>
      </c>
      <c r="M84" s="199">
        <v>5.0760032751199988E-2</v>
      </c>
      <c r="N84" s="199">
        <v>5.339977538680804E-2</v>
      </c>
    </row>
    <row r="85" spans="3:14">
      <c r="C85" s="29">
        <v>11</v>
      </c>
      <c r="D85" s="34" t="s">
        <v>528</v>
      </c>
      <c r="E85" s="199">
        <v>4.1700789488640158E-2</v>
      </c>
      <c r="F85" s="199">
        <v>4.9540849907901745E-2</v>
      </c>
      <c r="G85" s="199">
        <v>4.9803827969653235E-2</v>
      </c>
      <c r="H85" s="199">
        <v>4.8971008916153962E-2</v>
      </c>
      <c r="I85" s="199">
        <v>3.9515181364162648E-2</v>
      </c>
      <c r="J85" s="199">
        <v>4.0093987309141252E-2</v>
      </c>
      <c r="K85" s="199">
        <v>4.8289625993597395E-2</v>
      </c>
      <c r="L85" s="199">
        <v>5.4719037135531917E-2</v>
      </c>
      <c r="M85" s="199">
        <v>5.0295021099945283E-2</v>
      </c>
      <c r="N85" s="199">
        <v>5.462266943187713E-2</v>
      </c>
    </row>
    <row r="86" spans="3:14">
      <c r="C86" s="29">
        <v>12</v>
      </c>
      <c r="D86" s="34" t="s">
        <v>529</v>
      </c>
      <c r="E86" s="199">
        <v>4.1890783624925994E-2</v>
      </c>
      <c r="F86" s="199">
        <v>4.8562253535911669E-2</v>
      </c>
      <c r="G86" s="199">
        <v>4.8297380273584378E-2</v>
      </c>
      <c r="H86" s="199">
        <v>5.0213606495696436E-2</v>
      </c>
      <c r="I86" s="199">
        <v>3.9005597400278307E-2</v>
      </c>
      <c r="J86" s="199">
        <v>4.098517195411136E-2</v>
      </c>
      <c r="K86" s="199">
        <v>4.684705276472477E-2</v>
      </c>
      <c r="L86" s="199">
        <v>5.4394768113546897E-2</v>
      </c>
      <c r="M86" s="199">
        <v>4.9325786363994338E-2</v>
      </c>
      <c r="N86" s="199">
        <v>5.5236075889970475E-2</v>
      </c>
    </row>
    <row r="87" spans="3:14">
      <c r="C87" s="29">
        <v>13</v>
      </c>
      <c r="D87" s="34" t="s">
        <v>530</v>
      </c>
      <c r="E87" s="199">
        <v>4.1236537085875213E-2</v>
      </c>
      <c r="F87" s="199">
        <v>4.7570375182104753E-2</v>
      </c>
      <c r="G87" s="199">
        <v>4.7785754951602893E-2</v>
      </c>
      <c r="H87" s="199">
        <v>4.907477432498808E-2</v>
      </c>
      <c r="I87" s="199">
        <v>4.2403166703285942E-2</v>
      </c>
      <c r="J87" s="199">
        <v>4.1538839588075048E-2</v>
      </c>
      <c r="K87" s="199">
        <v>4.6105450385978249E-2</v>
      </c>
      <c r="L87" s="199">
        <v>5.3826933673985153E-2</v>
      </c>
      <c r="M87" s="199">
        <v>5.1130311177009391E-2</v>
      </c>
      <c r="N87" s="199">
        <v>4.6823290882333835E-2</v>
      </c>
    </row>
    <row r="88" spans="3:14">
      <c r="C88" s="29">
        <v>14</v>
      </c>
      <c r="D88" s="34" t="s">
        <v>531</v>
      </c>
      <c r="E88" s="199">
        <v>4.0557916096149234E-2</v>
      </c>
      <c r="F88" s="199">
        <v>4.75061104383857E-2</v>
      </c>
      <c r="G88" s="199">
        <v>4.7348998571773118E-2</v>
      </c>
      <c r="H88" s="199">
        <v>5.0600933806974453E-2</v>
      </c>
      <c r="I88" s="199">
        <v>4.3287583926030701E-2</v>
      </c>
      <c r="J88" s="199">
        <v>4.0121278918396605E-2</v>
      </c>
      <c r="K88" s="199">
        <v>4.6573394800580786E-2</v>
      </c>
      <c r="L88" s="199">
        <v>5.4293753922448389E-2</v>
      </c>
      <c r="M88" s="199">
        <v>5.129001954513538E-2</v>
      </c>
      <c r="N88" s="199">
        <v>4.9692935822297758E-2</v>
      </c>
    </row>
    <row r="89" spans="3:14">
      <c r="C89" s="29">
        <v>15</v>
      </c>
      <c r="D89" s="34" t="s">
        <v>532</v>
      </c>
      <c r="E89" s="199">
        <v>4.0669095395910744E-2</v>
      </c>
      <c r="F89" s="199">
        <v>4.6958642184101521E-2</v>
      </c>
      <c r="G89" s="199">
        <v>4.6285635090812155E-2</v>
      </c>
      <c r="H89" s="199">
        <v>4.8014923699061601E-2</v>
      </c>
      <c r="I89" s="199">
        <v>4.4345736981436082E-2</v>
      </c>
      <c r="J89" s="199">
        <v>3.9968992816406597E-2</v>
      </c>
      <c r="K89" s="199">
        <v>4.5872409287326353E-2</v>
      </c>
      <c r="L89" s="199">
        <v>5.2710454797458638E-2</v>
      </c>
      <c r="M89" s="199">
        <v>5.287405493954548E-2</v>
      </c>
      <c r="N89" s="199">
        <v>4.184714958846697E-2</v>
      </c>
    </row>
    <row r="90" spans="3:14">
      <c r="C90" s="29">
        <v>16</v>
      </c>
      <c r="D90" s="34" t="s">
        <v>533</v>
      </c>
      <c r="E90" s="199">
        <v>4.1884002281693519E-2</v>
      </c>
      <c r="F90" s="199">
        <v>4.6354477409699599E-2</v>
      </c>
      <c r="G90" s="199">
        <v>4.484305049797898E-2</v>
      </c>
      <c r="H90" s="199">
        <v>4.3186927119961124E-2</v>
      </c>
      <c r="I90" s="199">
        <v>4.3976252605523174E-2</v>
      </c>
      <c r="J90" s="199">
        <v>4.2382513124533991E-2</v>
      </c>
      <c r="K90" s="199">
        <v>4.4619958180464714E-2</v>
      </c>
      <c r="L90" s="199">
        <v>4.8247319201891563E-2</v>
      </c>
      <c r="M90" s="199">
        <v>4.42611870252895E-2</v>
      </c>
      <c r="N90" s="199">
        <v>3.6728691396118458E-2</v>
      </c>
    </row>
    <row r="91" spans="3:14">
      <c r="C91" s="29">
        <v>17</v>
      </c>
      <c r="D91" s="34" t="s">
        <v>534</v>
      </c>
      <c r="E91" s="199">
        <v>4.6583872985148801E-2</v>
      </c>
      <c r="F91" s="199">
        <v>4.7015609355924227E-2</v>
      </c>
      <c r="G91" s="199">
        <v>4.5397399150060004E-2</v>
      </c>
      <c r="H91" s="199">
        <v>4.1107079774038331E-2</v>
      </c>
      <c r="I91" s="199">
        <v>4.5904730634369284E-2</v>
      </c>
      <c r="J91" s="199">
        <v>4.7704112005842035E-2</v>
      </c>
      <c r="K91" s="199">
        <v>4.6374328170284543E-2</v>
      </c>
      <c r="L91" s="199">
        <v>4.7503639258465548E-2</v>
      </c>
      <c r="M91" s="199">
        <v>3.6400393072984059E-2</v>
      </c>
      <c r="N91" s="199">
        <v>3.9079601553935528E-2</v>
      </c>
    </row>
    <row r="92" spans="3:14">
      <c r="C92" s="29">
        <v>18</v>
      </c>
      <c r="D92" s="34" t="s">
        <v>535</v>
      </c>
      <c r="E92" s="199">
        <v>5.1601212454817878E-2</v>
      </c>
      <c r="F92" s="199">
        <v>4.3387944264874835E-2</v>
      </c>
      <c r="G92" s="199">
        <v>4.4213175059484661E-2</v>
      </c>
      <c r="H92" s="199">
        <v>4.0706997397194959E-2</v>
      </c>
      <c r="I92" s="199">
        <v>4.8008281716612887E-2</v>
      </c>
      <c r="J92" s="199">
        <v>5.4291910441924156E-2</v>
      </c>
      <c r="K92" s="199">
        <v>4.4099857018369264E-2</v>
      </c>
      <c r="L92" s="199">
        <v>4.4525062089517391E-2</v>
      </c>
      <c r="M92" s="199">
        <v>3.6173046646493748E-2</v>
      </c>
      <c r="N92" s="199">
        <v>3.4184931528040037E-2</v>
      </c>
    </row>
    <row r="93" spans="3:14">
      <c r="C93" s="29">
        <v>19</v>
      </c>
      <c r="D93" s="34" t="s">
        <v>536</v>
      </c>
      <c r="E93" s="199">
        <v>5.2639898094141414E-2</v>
      </c>
      <c r="F93" s="199">
        <v>3.9787424537417897E-2</v>
      </c>
      <c r="G93" s="199">
        <v>4.2869575144075078E-2</v>
      </c>
      <c r="H93" s="199">
        <v>4.0264156046107606E-2</v>
      </c>
      <c r="I93" s="199">
        <v>4.443728517034546E-2</v>
      </c>
      <c r="J93" s="199">
        <v>5.389814882783571E-2</v>
      </c>
      <c r="K93" s="199">
        <v>3.8921793193261438E-2</v>
      </c>
      <c r="L93" s="199">
        <v>4.2185099330405748E-2</v>
      </c>
      <c r="M93" s="199">
        <v>3.5777071084337267E-2</v>
      </c>
      <c r="N93" s="199">
        <v>3.6637319822165754E-2</v>
      </c>
    </row>
    <row r="94" spans="3:14">
      <c r="C94" s="29">
        <v>20</v>
      </c>
      <c r="D94" s="34" t="s">
        <v>537</v>
      </c>
      <c r="E94" s="199">
        <v>5.1700405593326844E-2</v>
      </c>
      <c r="F94" s="199">
        <v>3.961574113924661E-2</v>
      </c>
      <c r="G94" s="199">
        <v>4.1544363542072631E-2</v>
      </c>
      <c r="H94" s="199">
        <v>3.9525633210704639E-2</v>
      </c>
      <c r="I94" s="199">
        <v>4.2125847695084047E-2</v>
      </c>
      <c r="J94" s="199">
        <v>5.2850807503847262E-2</v>
      </c>
      <c r="K94" s="199">
        <v>3.7334744160889347E-2</v>
      </c>
      <c r="L94" s="199">
        <v>4.0786427209626441E-2</v>
      </c>
      <c r="M94" s="199">
        <v>3.5494535730303624E-2</v>
      </c>
      <c r="N94" s="199">
        <v>4.3084275323384214E-2</v>
      </c>
    </row>
    <row r="95" spans="3:14">
      <c r="C95" s="29">
        <v>21</v>
      </c>
      <c r="D95" s="34" t="s">
        <v>538</v>
      </c>
      <c r="E95" s="199">
        <v>4.9321056622292178E-2</v>
      </c>
      <c r="F95" s="199">
        <v>3.8128580189524162E-2</v>
      </c>
      <c r="G95" s="199">
        <v>4.0435697563827804E-2</v>
      </c>
      <c r="H95" s="199">
        <v>3.880435921841497E-2</v>
      </c>
      <c r="I95" s="199">
        <v>4.2710110293966375E-2</v>
      </c>
      <c r="J95" s="199">
        <v>5.1247791413723855E-2</v>
      </c>
      <c r="K95" s="199">
        <v>3.7070353293854018E-2</v>
      </c>
      <c r="L95" s="199">
        <v>3.7816265196224733E-2</v>
      </c>
      <c r="M95" s="199">
        <v>3.4852040748734658E-2</v>
      </c>
      <c r="N95" s="199">
        <v>4.1834774205990306E-2</v>
      </c>
    </row>
    <row r="96" spans="3:14">
      <c r="C96" s="29">
        <v>22</v>
      </c>
      <c r="D96" s="34" t="s">
        <v>539</v>
      </c>
      <c r="E96" s="199">
        <v>4.6258078337958218E-2</v>
      </c>
      <c r="F96" s="199">
        <v>3.6414803569663437E-2</v>
      </c>
      <c r="G96" s="199">
        <v>3.8143178185028055E-2</v>
      </c>
      <c r="H96" s="199">
        <v>3.9731121402214735E-2</v>
      </c>
      <c r="I96" s="199">
        <v>4.2223464808876184E-2</v>
      </c>
      <c r="J96" s="199">
        <v>4.6251940654337291E-2</v>
      </c>
      <c r="K96" s="199">
        <v>3.7596862243032519E-2</v>
      </c>
      <c r="L96" s="199">
        <v>3.3545805415614832E-2</v>
      </c>
      <c r="M96" s="199">
        <v>3.4744858392468367E-2</v>
      </c>
      <c r="N96" s="199">
        <v>4.3680975015134064E-2</v>
      </c>
    </row>
    <row r="97" spans="1:14">
      <c r="C97" s="29">
        <v>23</v>
      </c>
      <c r="D97" s="34" t="s">
        <v>540</v>
      </c>
      <c r="E97" s="199">
        <v>4.1055149863321434E-2</v>
      </c>
      <c r="F97" s="199">
        <v>3.573394412138934E-2</v>
      </c>
      <c r="G97" s="199">
        <v>3.5753188214803597E-2</v>
      </c>
      <c r="H97" s="199">
        <v>3.8092617481529999E-2</v>
      </c>
      <c r="I97" s="199">
        <v>4.137710694556565E-2</v>
      </c>
      <c r="J97" s="199">
        <v>3.9773842992476535E-2</v>
      </c>
      <c r="K97" s="199">
        <v>3.6979691171349485E-2</v>
      </c>
      <c r="L97" s="199">
        <v>2.9862348527469534E-2</v>
      </c>
      <c r="M97" s="199">
        <v>3.4169069448774458E-2</v>
      </c>
      <c r="N97" s="199">
        <v>4.9409952076331358E-2</v>
      </c>
    </row>
    <row r="98" spans="1:14">
      <c r="C98" s="29">
        <v>24</v>
      </c>
      <c r="D98" s="34" t="s">
        <v>541</v>
      </c>
      <c r="E98" s="199">
        <v>3.5259269692928211E-2</v>
      </c>
      <c r="F98" s="199">
        <v>3.5954956298821499E-2</v>
      </c>
      <c r="G98" s="199">
        <v>3.3679548240594222E-2</v>
      </c>
      <c r="H98" s="199">
        <v>3.6411399978293686E-2</v>
      </c>
      <c r="I98" s="199">
        <v>4.0388695094745165E-2</v>
      </c>
      <c r="J98" s="199">
        <v>3.6653479883138378E-2</v>
      </c>
      <c r="K98" s="199">
        <v>3.7194491338350781E-2</v>
      </c>
      <c r="L98" s="199">
        <v>2.8133265721886416E-2</v>
      </c>
      <c r="M98" s="199">
        <v>3.3730021225435183E-2</v>
      </c>
      <c r="N98" s="199">
        <v>4.1574478661231123E-2</v>
      </c>
    </row>
    <row r="99" spans="1:14">
      <c r="A99" s="16" t="s">
        <v>422</v>
      </c>
      <c r="B99" s="16" t="s">
        <v>311</v>
      </c>
      <c r="C99" s="29">
        <v>1</v>
      </c>
      <c r="D99" s="34" t="s">
        <v>542</v>
      </c>
      <c r="E99" s="199">
        <v>3.3401224539033769E-2</v>
      </c>
      <c r="F99" s="199">
        <v>3.4130440136326406E-2</v>
      </c>
      <c r="G99" s="199">
        <v>3.2737213220976738E-2</v>
      </c>
      <c r="H99" s="199">
        <v>3.4295627686645042E-2</v>
      </c>
      <c r="I99" s="199">
        <v>3.8104608365981035E-2</v>
      </c>
      <c r="J99" s="199">
        <v>3.4269945014031668E-2</v>
      </c>
      <c r="K99" s="199">
        <v>3.6307664372468164E-2</v>
      </c>
      <c r="L99" s="199">
        <v>2.7046391359557467E-2</v>
      </c>
      <c r="M99" s="199">
        <v>3.283629766733169E-2</v>
      </c>
      <c r="N99" s="199">
        <v>3.9975251418324448E-2</v>
      </c>
    </row>
    <row r="100" spans="1:14">
      <c r="C100" s="29">
        <v>2</v>
      </c>
      <c r="D100" s="34" t="s">
        <v>543</v>
      </c>
      <c r="E100" s="199">
        <v>3.2509234760842123E-2</v>
      </c>
      <c r="F100" s="199">
        <v>3.3783390405358243E-2</v>
      </c>
      <c r="G100" s="199">
        <v>3.2575945485883342E-2</v>
      </c>
      <c r="H100" s="199">
        <v>3.3539097565908331E-2</v>
      </c>
      <c r="I100" s="199">
        <v>3.705915723474322E-2</v>
      </c>
      <c r="J100" s="199">
        <v>3.2465440855281018E-2</v>
      </c>
      <c r="K100" s="199">
        <v>3.6399249502060915E-2</v>
      </c>
      <c r="L100" s="199">
        <v>2.6027520557056753E-2</v>
      </c>
      <c r="M100" s="199">
        <v>3.3187023169277449E-2</v>
      </c>
      <c r="N100" s="199">
        <v>3.3331215433771537E-2</v>
      </c>
    </row>
    <row r="101" spans="1:14">
      <c r="C101" s="29">
        <v>3</v>
      </c>
      <c r="D101" s="34" t="s">
        <v>544</v>
      </c>
      <c r="E101" s="199">
        <v>3.2017762667481922E-2</v>
      </c>
      <c r="F101" s="199">
        <v>3.3605748196353424E-2</v>
      </c>
      <c r="G101" s="199">
        <v>3.2015197345263736E-2</v>
      </c>
      <c r="H101" s="199">
        <v>3.2979001804050036E-2</v>
      </c>
      <c r="I101" s="199">
        <v>3.824050317647943E-2</v>
      </c>
      <c r="J101" s="199">
        <v>3.2299749316627331E-2</v>
      </c>
      <c r="K101" s="199">
        <v>3.6466638312122712E-2</v>
      </c>
      <c r="L101" s="199">
        <v>2.5711706133193287E-2</v>
      </c>
      <c r="M101" s="199">
        <v>3.2144869227701676E-2</v>
      </c>
      <c r="N101" s="199">
        <v>3.0273626454745118E-2</v>
      </c>
    </row>
    <row r="102" spans="1:14">
      <c r="C102" s="29">
        <v>4</v>
      </c>
      <c r="D102" s="34" t="s">
        <v>545</v>
      </c>
      <c r="E102" s="199">
        <v>3.2260208436470185E-2</v>
      </c>
      <c r="F102" s="199">
        <v>3.4593670142294627E-2</v>
      </c>
      <c r="G102" s="199">
        <v>3.3404397457855839E-2</v>
      </c>
      <c r="H102" s="199">
        <v>3.3390720940097665E-2</v>
      </c>
      <c r="I102" s="199">
        <v>3.8925511853980778E-2</v>
      </c>
      <c r="J102" s="199">
        <v>3.1593962576197426E-2</v>
      </c>
      <c r="K102" s="199">
        <v>3.7763777001433796E-2</v>
      </c>
      <c r="L102" s="199">
        <v>2.641084252156763E-2</v>
      </c>
      <c r="M102" s="199">
        <v>3.357783892826921E-2</v>
      </c>
      <c r="N102" s="199">
        <v>2.6508288903707336E-2</v>
      </c>
    </row>
    <row r="103" spans="1:14">
      <c r="C103" s="29">
        <v>5</v>
      </c>
      <c r="D103" s="34" t="s">
        <v>546</v>
      </c>
      <c r="E103" s="199">
        <v>3.3904573507010635E-2</v>
      </c>
      <c r="F103" s="199">
        <v>3.4805453594652536E-2</v>
      </c>
      <c r="G103" s="199">
        <v>3.4442626369738709E-2</v>
      </c>
      <c r="H103" s="199">
        <v>3.4024701674796834E-2</v>
      </c>
      <c r="I103" s="199">
        <v>3.5579633370626168E-2</v>
      </c>
      <c r="J103" s="199">
        <v>3.294026048711967E-2</v>
      </c>
      <c r="K103" s="199">
        <v>3.7857450715272606E-2</v>
      </c>
      <c r="L103" s="199">
        <v>3.0743483217801997E-2</v>
      </c>
      <c r="M103" s="199">
        <v>3.5463622942394864E-2</v>
      </c>
      <c r="N103" s="199">
        <v>3.0079314310482847E-2</v>
      </c>
    </row>
    <row r="104" spans="1:14">
      <c r="C104" s="29">
        <v>6</v>
      </c>
      <c r="D104" s="34" t="s">
        <v>547</v>
      </c>
      <c r="E104" s="199">
        <v>3.7969402662569401E-2</v>
      </c>
      <c r="F104" s="199">
        <v>3.6153431459505933E-2</v>
      </c>
      <c r="G104" s="199">
        <v>3.698784244143296E-2</v>
      </c>
      <c r="H104" s="199">
        <v>3.5115079203607534E-2</v>
      </c>
      <c r="I104" s="199">
        <v>3.7683087371962389E-2</v>
      </c>
      <c r="J104" s="199">
        <v>3.7049520769765185E-2</v>
      </c>
      <c r="K104" s="199">
        <v>3.8539039582294508E-2</v>
      </c>
      <c r="L104" s="199">
        <v>3.824360875446934E-2</v>
      </c>
      <c r="M104" s="199">
        <v>4.3466126527549623E-2</v>
      </c>
      <c r="N104" s="199">
        <v>3.4941024722056534E-2</v>
      </c>
    </row>
    <row r="105" spans="1:14">
      <c r="C105" s="29">
        <v>7</v>
      </c>
      <c r="D105" s="34" t="s">
        <v>548</v>
      </c>
      <c r="E105" s="199">
        <v>4.3264858038861327E-2</v>
      </c>
      <c r="F105" s="199">
        <v>4.2688915841883245E-2</v>
      </c>
      <c r="G105" s="199">
        <v>4.215880696867607E-2</v>
      </c>
      <c r="H105" s="199">
        <v>4.1530028217992829E-2</v>
      </c>
      <c r="I105" s="199">
        <v>4.3290156669420807E-2</v>
      </c>
      <c r="J105" s="199">
        <v>4.418624420379183E-2</v>
      </c>
      <c r="K105" s="199">
        <v>4.1402886409219998E-2</v>
      </c>
      <c r="L105" s="199">
        <v>4.46868681663481E-2</v>
      </c>
      <c r="M105" s="199">
        <v>4.773548191412217E-2</v>
      </c>
      <c r="N105" s="199">
        <v>4.2832770856221565E-2</v>
      </c>
    </row>
    <row r="106" spans="1:14">
      <c r="C106" s="29">
        <v>8</v>
      </c>
      <c r="D106" s="34" t="s">
        <v>549</v>
      </c>
      <c r="E106" s="199">
        <v>4.5118692188599666E-2</v>
      </c>
      <c r="F106" s="199">
        <v>4.8069706625806216E-2</v>
      </c>
      <c r="G106" s="199">
        <v>4.7269069025498128E-2</v>
      </c>
      <c r="H106" s="199">
        <v>4.7864678783888892E-2</v>
      </c>
      <c r="I106" s="199">
        <v>4.4345589892193421E-2</v>
      </c>
      <c r="J106" s="199">
        <v>4.7145796029662991E-2</v>
      </c>
      <c r="K106" s="199">
        <v>4.5623503136890134E-2</v>
      </c>
      <c r="L106" s="199">
        <v>5.0888884844130421E-2</v>
      </c>
      <c r="M106" s="199">
        <v>5.3738483929107322E-2</v>
      </c>
      <c r="N106" s="199">
        <v>4.4158205863538601E-2</v>
      </c>
    </row>
    <row r="107" spans="1:14">
      <c r="C107" s="29">
        <v>9</v>
      </c>
      <c r="D107" s="34" t="s">
        <v>550</v>
      </c>
      <c r="E107" s="199">
        <v>4.4212176221286238E-2</v>
      </c>
      <c r="F107" s="199">
        <v>4.8837764351731962E-2</v>
      </c>
      <c r="G107" s="199">
        <v>4.7627052749330462E-2</v>
      </c>
      <c r="H107" s="199">
        <v>4.8935209205625614E-2</v>
      </c>
      <c r="I107" s="199">
        <v>4.591771989262828E-2</v>
      </c>
      <c r="J107" s="199">
        <v>4.4455244723699126E-2</v>
      </c>
      <c r="K107" s="199">
        <v>4.5888142389728256E-2</v>
      </c>
      <c r="L107" s="199">
        <v>5.3402507142064036E-2</v>
      </c>
      <c r="M107" s="199">
        <v>5.2527295586428914E-2</v>
      </c>
      <c r="N107" s="199">
        <v>4.3707689558693488E-2</v>
      </c>
    </row>
    <row r="108" spans="1:14">
      <c r="C108" s="29">
        <v>10</v>
      </c>
      <c r="D108" s="34" t="s">
        <v>551</v>
      </c>
      <c r="E108" s="199">
        <v>4.3564450006778166E-2</v>
      </c>
      <c r="F108" s="199">
        <v>5.0385087058727566E-2</v>
      </c>
      <c r="G108" s="199">
        <v>4.8928367984576344E-2</v>
      </c>
      <c r="H108" s="199">
        <v>4.9722723347231088E-2</v>
      </c>
      <c r="I108" s="199">
        <v>4.1023431230307612E-2</v>
      </c>
      <c r="J108" s="199">
        <v>4.2376121011329482E-2</v>
      </c>
      <c r="K108" s="199">
        <v>4.6607041612057407E-2</v>
      </c>
      <c r="L108" s="199">
        <v>5.5102700835520407E-2</v>
      </c>
      <c r="M108" s="199">
        <v>5.351393994132559E-2</v>
      </c>
      <c r="N108" s="199">
        <v>4.7582212028888168E-2</v>
      </c>
    </row>
    <row r="109" spans="1:14">
      <c r="C109" s="29">
        <v>11</v>
      </c>
      <c r="D109" s="34" t="s">
        <v>552</v>
      </c>
      <c r="E109" s="199">
        <v>4.2508593081624454E-2</v>
      </c>
      <c r="F109" s="199">
        <v>4.9855941076581443E-2</v>
      </c>
      <c r="G109" s="199">
        <v>4.9348718511379959E-2</v>
      </c>
      <c r="H109" s="199">
        <v>4.6708173121028228E-2</v>
      </c>
      <c r="I109" s="199">
        <v>4.2769901918538231E-2</v>
      </c>
      <c r="J109" s="199">
        <v>4.1938025939580847E-2</v>
      </c>
      <c r="K109" s="199">
        <v>4.7312841006666342E-2</v>
      </c>
      <c r="L109" s="199">
        <v>5.5434521886290743E-2</v>
      </c>
      <c r="M109" s="199">
        <v>5.219976332613957E-2</v>
      </c>
      <c r="N109" s="199">
        <v>4.891525502492234E-2</v>
      </c>
    </row>
    <row r="110" spans="1:14">
      <c r="C110" s="29">
        <v>12</v>
      </c>
      <c r="D110" s="34" t="s">
        <v>553</v>
      </c>
      <c r="E110" s="199">
        <v>4.0636539408942463E-2</v>
      </c>
      <c r="F110" s="199">
        <v>5.1011057953341654E-2</v>
      </c>
      <c r="G110" s="199">
        <v>4.9411460804011959E-2</v>
      </c>
      <c r="H110" s="199">
        <v>4.9603337364722805E-2</v>
      </c>
      <c r="I110" s="199">
        <v>4.4931568315062481E-2</v>
      </c>
      <c r="J110" s="199">
        <v>4.0735503079196621E-2</v>
      </c>
      <c r="K110" s="199">
        <v>4.8263288919186777E-2</v>
      </c>
      <c r="L110" s="199">
        <v>5.6607017515527117E-2</v>
      </c>
      <c r="M110" s="199">
        <v>5.2267094398870693E-2</v>
      </c>
      <c r="N110" s="199">
        <v>5.0233904528788946E-2</v>
      </c>
    </row>
    <row r="111" spans="1:14">
      <c r="C111" s="29">
        <v>13</v>
      </c>
      <c r="D111" s="34" t="s">
        <v>554</v>
      </c>
      <c r="E111" s="199">
        <v>4.0386124908443614E-2</v>
      </c>
      <c r="F111" s="199">
        <v>5.0048571185598696E-2</v>
      </c>
      <c r="G111" s="199">
        <v>4.9261645503570421E-2</v>
      </c>
      <c r="H111" s="199">
        <v>4.780860420626068E-2</v>
      </c>
      <c r="I111" s="199">
        <v>4.7948630773305717E-2</v>
      </c>
      <c r="J111" s="199">
        <v>4.0321599188728872E-2</v>
      </c>
      <c r="K111" s="199">
        <v>4.7140994568189105E-2</v>
      </c>
      <c r="L111" s="199">
        <v>5.605040952311819E-2</v>
      </c>
      <c r="M111" s="199">
        <v>5.3902571295286007E-2</v>
      </c>
      <c r="N111" s="199">
        <v>4.9245482859509866E-2</v>
      </c>
    </row>
    <row r="112" spans="1:14">
      <c r="C112" s="29">
        <v>14</v>
      </c>
      <c r="D112" s="34" t="s">
        <v>555</v>
      </c>
      <c r="E112" s="199">
        <v>3.912518055153421E-2</v>
      </c>
      <c r="F112" s="199">
        <v>4.9137224133174139E-2</v>
      </c>
      <c r="G112" s="199">
        <v>4.8005784814009737E-2</v>
      </c>
      <c r="H112" s="199">
        <v>4.9362268682075397E-2</v>
      </c>
      <c r="I112" s="199">
        <v>4.8999913027321283E-2</v>
      </c>
      <c r="J112" s="199">
        <v>3.8929987945705867E-2</v>
      </c>
      <c r="K112" s="199">
        <v>4.742865087190222E-2</v>
      </c>
      <c r="L112" s="199">
        <v>5.5960637662774405E-2</v>
      </c>
      <c r="M112" s="199">
        <v>5.3459394062748578E-2</v>
      </c>
      <c r="N112" s="199">
        <v>5.6443051428564386E-2</v>
      </c>
    </row>
    <row r="113" spans="1:14">
      <c r="C113" s="29">
        <v>15</v>
      </c>
      <c r="D113" s="34" t="s">
        <v>556</v>
      </c>
      <c r="E113" s="199">
        <v>3.9291904892953824E-2</v>
      </c>
      <c r="F113" s="199">
        <v>4.9457626570795422E-2</v>
      </c>
      <c r="G113" s="199">
        <v>4.7995108729602325E-2</v>
      </c>
      <c r="H113" s="199">
        <v>4.7747979527665733E-2</v>
      </c>
      <c r="I113" s="199">
        <v>4.5462991148553296E-2</v>
      </c>
      <c r="J113" s="199">
        <v>3.9483117500381193E-2</v>
      </c>
      <c r="K113" s="199">
        <v>4.7831889711953686E-2</v>
      </c>
      <c r="L113" s="199">
        <v>5.4128287214256575E-2</v>
      </c>
      <c r="M113" s="199">
        <v>5.5284400219237174E-2</v>
      </c>
      <c r="N113" s="199">
        <v>5.4056816048497033E-2</v>
      </c>
    </row>
    <row r="114" spans="1:14">
      <c r="C114" s="29">
        <v>16</v>
      </c>
      <c r="D114" s="34" t="s">
        <v>557</v>
      </c>
      <c r="E114" s="199">
        <v>4.2040040907910525E-2</v>
      </c>
      <c r="F114" s="199">
        <v>4.8395823320556745E-2</v>
      </c>
      <c r="G114" s="199">
        <v>4.5823276532014429E-2</v>
      </c>
      <c r="H114" s="199">
        <v>4.3864490019700213E-2</v>
      </c>
      <c r="I114" s="199">
        <v>4.3018169383245111E-2</v>
      </c>
      <c r="J114" s="199">
        <v>4.1704784137824372E-2</v>
      </c>
      <c r="K114" s="199">
        <v>4.566220588169477E-2</v>
      </c>
      <c r="L114" s="199">
        <v>4.8225128960789045E-2</v>
      </c>
      <c r="M114" s="199">
        <v>4.3879493056129766E-2</v>
      </c>
      <c r="N114" s="199">
        <v>5.6028930096771574E-2</v>
      </c>
    </row>
    <row r="115" spans="1:14">
      <c r="C115" s="29">
        <v>17</v>
      </c>
      <c r="D115" s="34" t="s">
        <v>558</v>
      </c>
      <c r="E115" s="199">
        <v>4.607334391379158E-2</v>
      </c>
      <c r="F115" s="199">
        <v>4.7801482859345004E-2</v>
      </c>
      <c r="G115" s="199">
        <v>4.6310723001840519E-2</v>
      </c>
      <c r="H115" s="199">
        <v>4.3003394245318315E-2</v>
      </c>
      <c r="I115" s="199">
        <v>3.9401983767735516E-2</v>
      </c>
      <c r="J115" s="199">
        <v>4.7509634104095505E-2</v>
      </c>
      <c r="K115" s="199">
        <v>4.7340930333567489E-2</v>
      </c>
      <c r="L115" s="199">
        <v>4.6781092339382505E-2</v>
      </c>
      <c r="M115" s="199">
        <v>3.5373548358454958E-2</v>
      </c>
      <c r="N115" s="199">
        <v>5.1502999295335757E-2</v>
      </c>
    </row>
    <row r="116" spans="1:14">
      <c r="C116" s="29">
        <v>18</v>
      </c>
      <c r="D116" s="34" t="s">
        <v>559</v>
      </c>
      <c r="E116" s="199">
        <v>5.1884198365970725E-2</v>
      </c>
      <c r="F116" s="199">
        <v>4.1402063212382205E-2</v>
      </c>
      <c r="G116" s="199">
        <v>4.4572784329765081E-2</v>
      </c>
      <c r="H116" s="199">
        <v>4.1550048662246486E-2</v>
      </c>
      <c r="I116" s="199">
        <v>3.820630710052856E-2</v>
      </c>
      <c r="J116" s="199">
        <v>5.354630418889484E-2</v>
      </c>
      <c r="K116" s="199">
        <v>4.2477285403119132E-2</v>
      </c>
      <c r="L116" s="199">
        <v>4.3337156310642777E-2</v>
      </c>
      <c r="M116" s="199">
        <v>3.4547522020569515E-2</v>
      </c>
      <c r="N116" s="199">
        <v>4.5897556581331773E-2</v>
      </c>
    </row>
    <row r="117" spans="1:14">
      <c r="C117" s="29">
        <v>19</v>
      </c>
      <c r="D117" s="34" t="s">
        <v>560</v>
      </c>
      <c r="E117" s="199">
        <v>5.2451181697169863E-2</v>
      </c>
      <c r="F117" s="199">
        <v>3.8775371205454295E-2</v>
      </c>
      <c r="G117" s="199">
        <v>4.3174080269409158E-2</v>
      </c>
      <c r="H117" s="199">
        <v>4.1670864676487174E-2</v>
      </c>
      <c r="I117" s="199">
        <v>3.7536222144034667E-2</v>
      </c>
      <c r="J117" s="199">
        <v>5.4367157005212087E-2</v>
      </c>
      <c r="K117" s="199">
        <v>3.8568691795366192E-2</v>
      </c>
      <c r="L117" s="199">
        <v>4.1448905167646599E-2</v>
      </c>
      <c r="M117" s="199">
        <v>3.4381378743773082E-2</v>
      </c>
      <c r="N117" s="199">
        <v>4.5849441193228729E-2</v>
      </c>
    </row>
    <row r="118" spans="1:14">
      <c r="C118" s="29">
        <v>20</v>
      </c>
      <c r="D118" s="34" t="s">
        <v>561</v>
      </c>
      <c r="E118" s="199">
        <v>5.2640109927288438E-2</v>
      </c>
      <c r="F118" s="199">
        <v>3.8352102519544878E-2</v>
      </c>
      <c r="G118" s="199">
        <v>4.1944930087605435E-2</v>
      </c>
      <c r="H118" s="199">
        <v>4.0702559856469894E-2</v>
      </c>
      <c r="I118" s="199">
        <v>4.1068301225919444E-2</v>
      </c>
      <c r="J118" s="199">
        <v>5.0617560012916091E-2</v>
      </c>
      <c r="K118" s="199">
        <v>3.7325430054769924E-2</v>
      </c>
      <c r="L118" s="199">
        <v>3.9483948798516355E-2</v>
      </c>
      <c r="M118" s="199">
        <v>3.4350026106852491E-2</v>
      </c>
      <c r="N118" s="199">
        <v>3.8154269037809448E-2</v>
      </c>
    </row>
    <row r="119" spans="1:14">
      <c r="C119" s="29">
        <v>21</v>
      </c>
      <c r="D119" s="34" t="s">
        <v>562</v>
      </c>
      <c r="E119" s="199">
        <v>5.0292004234163551E-2</v>
      </c>
      <c r="F119" s="199">
        <v>3.6965413929627294E-2</v>
      </c>
      <c r="G119" s="199">
        <v>4.0074732793819297E-2</v>
      </c>
      <c r="H119" s="199">
        <v>4.0414083455178544E-2</v>
      </c>
      <c r="I119" s="199">
        <v>4.2579550351251022E-2</v>
      </c>
      <c r="J119" s="199">
        <v>4.9893101832755027E-2</v>
      </c>
      <c r="K119" s="199">
        <v>3.7480056329259194E-2</v>
      </c>
      <c r="L119" s="199">
        <v>3.6508482231117995E-2</v>
      </c>
      <c r="M119" s="199">
        <v>3.3722909121233775E-2</v>
      </c>
      <c r="N119" s="199">
        <v>3.7397582592428334E-2</v>
      </c>
    </row>
    <row r="120" spans="1:14">
      <c r="C120" s="29">
        <v>22</v>
      </c>
      <c r="D120" s="34" t="s">
        <v>563</v>
      </c>
      <c r="E120" s="199">
        <v>4.6745655397342781E-2</v>
      </c>
      <c r="F120" s="199">
        <v>3.4933783881023403E-2</v>
      </c>
      <c r="G120" s="199">
        <v>3.8056156193834637E-2</v>
      </c>
      <c r="H120" s="199">
        <v>4.1108428862703134E-2</v>
      </c>
      <c r="I120" s="199">
        <v>4.1573039260257842E-2</v>
      </c>
      <c r="J120" s="199">
        <v>4.5234534743670174E-2</v>
      </c>
      <c r="K120" s="199">
        <v>3.7255966868518148E-2</v>
      </c>
      <c r="L120" s="199">
        <v>3.2228638903737158E-2</v>
      </c>
      <c r="M120" s="199">
        <v>3.3664636904662093E-2</v>
      </c>
      <c r="N120" s="199">
        <v>3.2846565990357596E-2</v>
      </c>
    </row>
    <row r="121" spans="1:14">
      <c r="C121" s="29">
        <v>23</v>
      </c>
      <c r="D121" s="34" t="s">
        <v>564</v>
      </c>
      <c r="E121" s="199">
        <v>4.1914763209454989E-2</v>
      </c>
      <c r="F121" s="199">
        <v>3.3581428933688838E-2</v>
      </c>
      <c r="G121" s="199">
        <v>3.4823885378350912E-2</v>
      </c>
      <c r="H121" s="199">
        <v>3.8261972366500148E-2</v>
      </c>
      <c r="I121" s="199">
        <v>4.1258257462848835E-2</v>
      </c>
      <c r="J121" s="199">
        <v>4.0457633963913026E-2</v>
      </c>
      <c r="K121" s="199">
        <v>3.6176580846929436E-2</v>
      </c>
      <c r="L121" s="199">
        <v>2.846605054151654E-2</v>
      </c>
      <c r="M121" s="199">
        <v>3.2404684932019062E-2</v>
      </c>
      <c r="N121" s="199">
        <v>2.9458337934110301E-2</v>
      </c>
    </row>
    <row r="122" spans="1:14">
      <c r="C122" s="29">
        <v>24</v>
      </c>
      <c r="D122" s="34" t="s">
        <v>565</v>
      </c>
      <c r="E122" s="199">
        <v>3.5787776474475702E-2</v>
      </c>
      <c r="F122" s="199">
        <v>3.3228501406245975E-2</v>
      </c>
      <c r="G122" s="199">
        <v>3.3050194001553679E-2</v>
      </c>
      <c r="H122" s="199">
        <v>3.6796926523799567E-2</v>
      </c>
      <c r="I122" s="199">
        <v>4.5075765063074959E-2</v>
      </c>
      <c r="J122" s="199">
        <v>3.6478771369619606E-2</v>
      </c>
      <c r="K122" s="199">
        <v>3.6879794375328956E-2</v>
      </c>
      <c r="L122" s="199">
        <v>2.7075209412974623E-2</v>
      </c>
      <c r="M122" s="199">
        <v>3.2371597620514753E-2</v>
      </c>
      <c r="N122" s="199">
        <v>3.0580207837914482E-2</v>
      </c>
    </row>
    <row r="123" spans="1:14">
      <c r="A123" s="16" t="s">
        <v>422</v>
      </c>
      <c r="B123" s="16" t="s">
        <v>420</v>
      </c>
      <c r="C123" s="29">
        <v>1</v>
      </c>
      <c r="D123" s="34" t="s">
        <v>566</v>
      </c>
      <c r="E123" s="199">
        <v>3.3774675350484472E-2</v>
      </c>
      <c r="F123" s="199">
        <v>3.4386011225147707E-2</v>
      </c>
      <c r="G123" s="199">
        <v>3.3881925775003853E-2</v>
      </c>
      <c r="H123" s="199">
        <v>3.5598767977658471E-2</v>
      </c>
      <c r="I123" s="199">
        <v>4.5993720895362661E-2</v>
      </c>
      <c r="J123" s="199">
        <v>3.3810114764849061E-2</v>
      </c>
      <c r="K123" s="199">
        <v>3.7692613228056997E-2</v>
      </c>
      <c r="L123" s="199">
        <v>2.793792696230174E-2</v>
      </c>
      <c r="M123" s="199">
        <v>3.3347843844823782E-2</v>
      </c>
      <c r="N123" s="199">
        <v>3.278706316260771E-2</v>
      </c>
    </row>
    <row r="124" spans="1:14">
      <c r="C124" s="29">
        <v>2</v>
      </c>
      <c r="D124" s="34" t="s">
        <v>567</v>
      </c>
      <c r="E124" s="199">
        <v>3.2640681297594391E-2</v>
      </c>
      <c r="F124" s="199">
        <v>3.3752951127718658E-2</v>
      </c>
      <c r="G124" s="199">
        <v>3.3552216951804666E-2</v>
      </c>
      <c r="H124" s="199">
        <v>3.4480773272017401E-2</v>
      </c>
      <c r="I124" s="199">
        <v>4.2689612167116947E-2</v>
      </c>
      <c r="J124" s="199">
        <v>3.2620328292399636E-2</v>
      </c>
      <c r="K124" s="199">
        <v>3.7523779390471808E-2</v>
      </c>
      <c r="L124" s="199">
        <v>2.665114863848423E-2</v>
      </c>
      <c r="M124" s="199">
        <v>3.3481669873370513E-2</v>
      </c>
      <c r="N124" s="199">
        <v>3.0523538896171314E-2</v>
      </c>
    </row>
    <row r="125" spans="1:14">
      <c r="C125" s="29">
        <v>3</v>
      </c>
      <c r="D125" s="34" t="s">
        <v>568</v>
      </c>
      <c r="E125" s="199">
        <v>3.2517267473167334E-2</v>
      </c>
      <c r="F125" s="199">
        <v>3.3118427111802254E-2</v>
      </c>
      <c r="G125" s="199">
        <v>3.3307096317913662E-2</v>
      </c>
      <c r="H125" s="199">
        <v>3.3807646229940029E-2</v>
      </c>
      <c r="I125" s="199">
        <v>4.5044404167304188E-2</v>
      </c>
      <c r="J125" s="199">
        <v>3.1965344970439243E-2</v>
      </c>
      <c r="K125" s="199">
        <v>3.7247021147616841E-2</v>
      </c>
      <c r="L125" s="199">
        <v>2.5679364129570604E-2</v>
      </c>
      <c r="M125" s="199">
        <v>3.2738177221949112E-2</v>
      </c>
      <c r="N125" s="199">
        <v>2.8011778771729768E-2</v>
      </c>
    </row>
    <row r="126" spans="1:14">
      <c r="C126" s="29">
        <v>4</v>
      </c>
      <c r="D126" s="34" t="s">
        <v>569</v>
      </c>
      <c r="E126" s="199">
        <v>3.2513955882075236E-2</v>
      </c>
      <c r="F126" s="199">
        <v>3.4418237349127641E-2</v>
      </c>
      <c r="G126" s="199">
        <v>3.4004054679633709E-2</v>
      </c>
      <c r="H126" s="199">
        <v>3.421671016833449E-2</v>
      </c>
      <c r="I126" s="199">
        <v>4.5843371529840055E-2</v>
      </c>
      <c r="J126" s="199">
        <v>3.1543368552160486E-2</v>
      </c>
      <c r="K126" s="199">
        <v>3.9072100978703103E-2</v>
      </c>
      <c r="L126" s="199">
        <v>2.667405211961996E-2</v>
      </c>
      <c r="M126" s="199">
        <v>3.3732105321150688E-2</v>
      </c>
      <c r="N126" s="199">
        <v>2.9632612903410401E-2</v>
      </c>
    </row>
    <row r="127" spans="1:14">
      <c r="C127" s="29">
        <v>5</v>
      </c>
      <c r="D127" s="34" t="s">
        <v>570</v>
      </c>
      <c r="E127" s="199">
        <v>3.3921563744678369E-2</v>
      </c>
      <c r="F127" s="199">
        <v>3.4381828600898147E-2</v>
      </c>
      <c r="G127" s="199">
        <v>3.5899596726748736E-2</v>
      </c>
      <c r="H127" s="199">
        <v>3.5101810571419791E-2</v>
      </c>
      <c r="I127" s="199">
        <v>3.9225137596243777E-2</v>
      </c>
      <c r="J127" s="199">
        <v>3.2630692479433718E-2</v>
      </c>
      <c r="K127" s="199">
        <v>3.9612075507192201E-2</v>
      </c>
      <c r="L127" s="199">
        <v>3.1302710065179179E-2</v>
      </c>
      <c r="M127" s="199">
        <v>3.6102170246308761E-2</v>
      </c>
      <c r="N127" s="199">
        <v>3.9822122629697816E-2</v>
      </c>
    </row>
    <row r="128" spans="1:14">
      <c r="C128" s="29">
        <v>6</v>
      </c>
      <c r="D128" s="34" t="s">
        <v>571</v>
      </c>
      <c r="E128" s="199">
        <v>3.8585224848220558E-2</v>
      </c>
      <c r="F128" s="199">
        <v>3.6871854361581316E-2</v>
      </c>
      <c r="G128" s="199">
        <v>3.8416790847612299E-2</v>
      </c>
      <c r="H128" s="199">
        <v>3.7866308890218033E-2</v>
      </c>
      <c r="I128" s="199">
        <v>3.9859241922350026E-2</v>
      </c>
      <c r="J128" s="199">
        <v>3.5136763078842101E-2</v>
      </c>
      <c r="K128" s="199">
        <v>3.9477948442831347E-2</v>
      </c>
      <c r="L128" s="199">
        <v>3.8815545894960425E-2</v>
      </c>
      <c r="M128" s="199">
        <v>4.3065560318523162E-2</v>
      </c>
      <c r="N128" s="199">
        <v>4.4576687811441779E-2</v>
      </c>
    </row>
    <row r="129" spans="3:14">
      <c r="C129" s="29">
        <v>7</v>
      </c>
      <c r="D129" s="34" t="s">
        <v>572</v>
      </c>
      <c r="E129" s="199">
        <v>4.405338134864064E-2</v>
      </c>
      <c r="F129" s="199">
        <v>4.1893762001330735E-2</v>
      </c>
      <c r="G129" s="199">
        <v>4.3373906607056603E-2</v>
      </c>
      <c r="H129" s="199">
        <v>4.4780680071774132E-2</v>
      </c>
      <c r="I129" s="199">
        <v>3.7322006946324662E-2</v>
      </c>
      <c r="J129" s="199">
        <v>4.3260741028828383E-2</v>
      </c>
      <c r="K129" s="199">
        <v>4.1812937307362165E-2</v>
      </c>
      <c r="L129" s="199">
        <v>4.5074418760311832E-2</v>
      </c>
      <c r="M129" s="199">
        <v>4.7540951691783483E-2</v>
      </c>
      <c r="N129" s="199">
        <v>4.7000835280116809E-2</v>
      </c>
    </row>
    <row r="130" spans="3:14">
      <c r="C130" s="29">
        <v>8</v>
      </c>
      <c r="D130" s="34" t="s">
        <v>573</v>
      </c>
      <c r="E130" s="199">
        <v>4.5524007252701219E-2</v>
      </c>
      <c r="F130" s="199">
        <v>4.514085270981321E-2</v>
      </c>
      <c r="G130" s="199">
        <v>4.717046571576524E-2</v>
      </c>
      <c r="H130" s="199">
        <v>4.8401958982538067E-2</v>
      </c>
      <c r="I130" s="199">
        <v>4.116506346818067E-2</v>
      </c>
      <c r="J130" s="199">
        <v>4.8498022338758766E-2</v>
      </c>
      <c r="K130" s="199">
        <v>4.447087688270842E-2</v>
      </c>
      <c r="L130" s="199">
        <v>5.0145810771459895E-2</v>
      </c>
      <c r="M130" s="199">
        <v>5.1991974941092707E-2</v>
      </c>
      <c r="N130" s="199">
        <v>5.3930720095126831E-2</v>
      </c>
    </row>
    <row r="131" spans="3:14">
      <c r="C131" s="29">
        <v>9</v>
      </c>
      <c r="D131" s="34" t="s">
        <v>574</v>
      </c>
      <c r="E131" s="199">
        <v>4.4630802201898814E-2</v>
      </c>
      <c r="F131" s="199">
        <v>4.9477507076676579E-2</v>
      </c>
      <c r="G131" s="199">
        <v>4.8822989283545511E-2</v>
      </c>
      <c r="H131" s="199">
        <v>4.939944566308456E-2</v>
      </c>
      <c r="I131" s="199">
        <v>4.37467593374775E-2</v>
      </c>
      <c r="J131" s="199">
        <v>4.6411093152429722E-2</v>
      </c>
      <c r="K131" s="199">
        <v>4.3936953640960084E-2</v>
      </c>
      <c r="L131" s="199">
        <v>5.1746952249847121E-2</v>
      </c>
      <c r="M131" s="199">
        <v>5.1191468825753081E-2</v>
      </c>
      <c r="N131" s="199">
        <v>5.2640209354782114E-2</v>
      </c>
    </row>
    <row r="132" spans="3:14">
      <c r="C132" s="29">
        <v>10</v>
      </c>
      <c r="D132" s="34" t="s">
        <v>575</v>
      </c>
      <c r="E132" s="199">
        <v>4.4313147956782893E-2</v>
      </c>
      <c r="F132" s="199">
        <v>4.9727140033971072E-2</v>
      </c>
      <c r="G132" s="199">
        <v>4.9000976931881469E-2</v>
      </c>
      <c r="H132" s="199">
        <v>5.101116608480652E-2</v>
      </c>
      <c r="I132" s="199">
        <v>4.3548473974381732E-2</v>
      </c>
      <c r="J132" s="199">
        <v>4.4951749945807695E-2</v>
      </c>
      <c r="K132" s="199">
        <v>4.6446622003568416E-2</v>
      </c>
      <c r="L132" s="199">
        <v>5.3207687715838246E-2</v>
      </c>
      <c r="M132" s="199">
        <v>5.1567386868335847E-2</v>
      </c>
      <c r="N132" s="199">
        <v>5.5112504318968476E-2</v>
      </c>
    </row>
    <row r="133" spans="3:14">
      <c r="C133" s="29">
        <v>11</v>
      </c>
      <c r="D133" s="34" t="s">
        <v>576</v>
      </c>
      <c r="E133" s="199">
        <v>4.2133534153930549E-2</v>
      </c>
      <c r="F133" s="199">
        <v>5.0031087354734848E-2</v>
      </c>
      <c r="G133" s="199">
        <v>4.9917840531297913E-2</v>
      </c>
      <c r="H133" s="199">
        <v>4.8273499298765753E-2</v>
      </c>
      <c r="I133" s="199">
        <v>4.3855509660330014E-2</v>
      </c>
      <c r="J133" s="199">
        <v>4.3615167551605293E-2</v>
      </c>
      <c r="K133" s="199">
        <v>4.7740921736990141E-2</v>
      </c>
      <c r="L133" s="199">
        <v>5.5009084872333754E-2</v>
      </c>
      <c r="M133" s="199">
        <v>5.037924217253479E-2</v>
      </c>
      <c r="N133" s="199">
        <v>5.1416986712672516E-2</v>
      </c>
    </row>
    <row r="134" spans="3:14">
      <c r="C134" s="29">
        <v>12</v>
      </c>
      <c r="D134" s="34" t="s">
        <v>577</v>
      </c>
      <c r="E134" s="199">
        <v>4.1441134485342111E-2</v>
      </c>
      <c r="F134" s="199">
        <v>5.057049650349045E-2</v>
      </c>
      <c r="G134" s="199">
        <v>4.8992965735910887E-2</v>
      </c>
      <c r="H134" s="199">
        <v>5.0035535835064059E-2</v>
      </c>
      <c r="I134" s="199">
        <v>4.1564598253923626E-2</v>
      </c>
      <c r="J134" s="199">
        <v>4.1808136162460104E-2</v>
      </c>
      <c r="K134" s="199">
        <v>4.7213314158587753E-2</v>
      </c>
      <c r="L134" s="199">
        <v>5.5789968498095879E-2</v>
      </c>
      <c r="M134" s="199">
        <v>5.0737082775338609E-2</v>
      </c>
      <c r="N134" s="199">
        <v>3.8904360327963378E-2</v>
      </c>
    </row>
    <row r="135" spans="3:14">
      <c r="C135" s="29">
        <v>13</v>
      </c>
      <c r="D135" s="34" t="s">
        <v>578</v>
      </c>
      <c r="E135" s="199">
        <v>4.1378845366537145E-2</v>
      </c>
      <c r="F135" s="199">
        <v>4.8288377043897844E-2</v>
      </c>
      <c r="G135" s="199">
        <v>4.7534729358137795E-2</v>
      </c>
      <c r="H135" s="199">
        <v>4.7890331403872569E-2</v>
      </c>
      <c r="I135" s="199">
        <v>4.1196543824795873E-2</v>
      </c>
      <c r="J135" s="199">
        <v>4.1412493381384377E-2</v>
      </c>
      <c r="K135" s="199">
        <v>4.5002876050274622E-2</v>
      </c>
      <c r="L135" s="199">
        <v>5.4273430103536781E-2</v>
      </c>
      <c r="M135" s="199">
        <v>5.0956197237714225E-2</v>
      </c>
      <c r="N135" s="199">
        <v>3.664182269053335E-2</v>
      </c>
    </row>
    <row r="136" spans="3:14">
      <c r="C136" s="29">
        <v>14</v>
      </c>
      <c r="D136" s="34" t="s">
        <v>579</v>
      </c>
      <c r="E136" s="199">
        <v>4.0442098249174135E-2</v>
      </c>
      <c r="F136" s="199">
        <v>4.7518515257620735E-2</v>
      </c>
      <c r="G136" s="199">
        <v>4.7118157626147919E-2</v>
      </c>
      <c r="H136" s="199">
        <v>5.00859246881823E-2</v>
      </c>
      <c r="I136" s="199">
        <v>4.2528428652889104E-2</v>
      </c>
      <c r="J136" s="199">
        <v>4.0902585553878129E-2</v>
      </c>
      <c r="K136" s="199">
        <v>4.504755569654989E-2</v>
      </c>
      <c r="L136" s="199">
        <v>5.3683016409697817E-2</v>
      </c>
      <c r="M136" s="199">
        <v>5.1098035611364438E-2</v>
      </c>
      <c r="N136" s="199">
        <v>3.8235228535836635E-2</v>
      </c>
    </row>
    <row r="137" spans="3:14">
      <c r="C137" s="29">
        <v>15</v>
      </c>
      <c r="D137" s="34" t="s">
        <v>580</v>
      </c>
      <c r="E137" s="199">
        <v>3.8935110050238586E-2</v>
      </c>
      <c r="F137" s="199">
        <v>4.7626397087371847E-2</v>
      </c>
      <c r="G137" s="199">
        <v>4.699336703826152E-2</v>
      </c>
      <c r="H137" s="199">
        <v>4.7109155352703679E-2</v>
      </c>
      <c r="I137" s="199">
        <v>4.4099891259898043E-2</v>
      </c>
      <c r="J137" s="199">
        <v>4.0804451825776411E-2</v>
      </c>
      <c r="K137" s="199">
        <v>4.4958519530961243E-2</v>
      </c>
      <c r="L137" s="199">
        <v>5.3213668478007244E-2</v>
      </c>
      <c r="M137" s="199">
        <v>5.2428747075825122E-2</v>
      </c>
      <c r="N137" s="199">
        <v>4.2544429384100795E-2</v>
      </c>
    </row>
    <row r="138" spans="3:14">
      <c r="C138" s="29">
        <v>16</v>
      </c>
      <c r="D138" s="34" t="s">
        <v>581</v>
      </c>
      <c r="E138" s="199">
        <v>4.0744284429568692E-2</v>
      </c>
      <c r="F138" s="199">
        <v>4.6455132835316243E-2</v>
      </c>
      <c r="G138" s="199">
        <v>4.4700977953152081E-2</v>
      </c>
      <c r="H138" s="199">
        <v>4.2773715439306179E-2</v>
      </c>
      <c r="I138" s="199">
        <v>3.9098296289232524E-2</v>
      </c>
      <c r="J138" s="199">
        <v>4.4105470832553111E-2</v>
      </c>
      <c r="K138" s="199">
        <v>4.4318610645714455E-2</v>
      </c>
      <c r="L138" s="199">
        <v>4.8362334879460213E-2</v>
      </c>
      <c r="M138" s="199">
        <v>4.4181130384295907E-2</v>
      </c>
      <c r="N138" s="199">
        <v>4.8083561951717931E-2</v>
      </c>
    </row>
    <row r="139" spans="3:14">
      <c r="C139" s="29">
        <v>17</v>
      </c>
      <c r="D139" s="34" t="s">
        <v>582</v>
      </c>
      <c r="E139" s="199">
        <v>4.4542313786479056E-2</v>
      </c>
      <c r="F139" s="199">
        <v>4.7204788563016326E-2</v>
      </c>
      <c r="G139" s="199">
        <v>4.4993491190882112E-2</v>
      </c>
      <c r="H139" s="199">
        <v>4.0391236914950335E-2</v>
      </c>
      <c r="I139" s="199">
        <v>3.9717989153381802E-2</v>
      </c>
      <c r="J139" s="199">
        <v>4.7810859626622966E-2</v>
      </c>
      <c r="K139" s="199">
        <v>4.5466739491650497E-2</v>
      </c>
      <c r="L139" s="199">
        <v>4.6421761498220242E-2</v>
      </c>
      <c r="M139" s="199">
        <v>3.683036660253259E-2</v>
      </c>
      <c r="N139" s="199">
        <v>4.7756001121599854E-2</v>
      </c>
    </row>
    <row r="140" spans="3:14">
      <c r="C140" s="29">
        <v>18</v>
      </c>
      <c r="D140" s="34" t="s">
        <v>583</v>
      </c>
      <c r="E140" s="199">
        <v>5.0092675528784082E-2</v>
      </c>
      <c r="F140" s="199">
        <v>4.3831631567926306E-2</v>
      </c>
      <c r="G140" s="199">
        <v>4.4043950069520388E-2</v>
      </c>
      <c r="H140" s="199">
        <v>4.0491972098947893E-2</v>
      </c>
      <c r="I140" s="199">
        <v>4.052002278441915E-2</v>
      </c>
      <c r="J140" s="199">
        <v>5.1523694356045278E-2</v>
      </c>
      <c r="K140" s="199">
        <v>4.4913516757724085E-2</v>
      </c>
      <c r="L140" s="199">
        <v>4.4098871311404358E-2</v>
      </c>
      <c r="M140" s="199">
        <v>3.679414550524656E-2</v>
      </c>
      <c r="N140" s="199">
        <v>4.5101574442835808E-2</v>
      </c>
    </row>
    <row r="141" spans="3:14">
      <c r="C141" s="29">
        <v>19</v>
      </c>
      <c r="D141" s="34" t="s">
        <v>584</v>
      </c>
      <c r="E141" s="199">
        <v>5.0028141421362526E-2</v>
      </c>
      <c r="F141" s="199">
        <v>4.1033734786588123E-2</v>
      </c>
      <c r="G141" s="199">
        <v>4.2419397707514697E-2</v>
      </c>
      <c r="H141" s="199">
        <v>4.110458999504446E-2</v>
      </c>
      <c r="I141" s="199">
        <v>3.9157781898161249E-2</v>
      </c>
      <c r="J141" s="199">
        <v>5.1648226468613979E-2</v>
      </c>
      <c r="K141" s="199">
        <v>4.0893626413208622E-2</v>
      </c>
      <c r="L141" s="199">
        <v>4.2610334235682147E-2</v>
      </c>
      <c r="M141" s="199">
        <v>3.7679013006221292E-2</v>
      </c>
      <c r="N141" s="199">
        <v>3.8391115918844636E-2</v>
      </c>
    </row>
    <row r="142" spans="3:14">
      <c r="C142" s="29">
        <v>20</v>
      </c>
      <c r="D142" s="34" t="s">
        <v>585</v>
      </c>
      <c r="E142" s="199">
        <v>4.9840936385124601E-2</v>
      </c>
      <c r="F142" s="199">
        <v>3.9328927018355463E-2</v>
      </c>
      <c r="G142" s="199">
        <v>4.0867688661351174E-2</v>
      </c>
      <c r="H142" s="199">
        <v>3.9301094275800773E-2</v>
      </c>
      <c r="I142" s="199">
        <v>4.0730879848370975E-2</v>
      </c>
      <c r="J142" s="199">
        <v>4.9517565130301811E-2</v>
      </c>
      <c r="K142" s="199">
        <v>3.8775866992599946E-2</v>
      </c>
      <c r="L142" s="199">
        <v>4.0776426538960485E-2</v>
      </c>
      <c r="M142" s="199">
        <v>3.6831889610279535E-2</v>
      </c>
      <c r="N142" s="199">
        <v>3.9102080780841875E-2</v>
      </c>
    </row>
    <row r="143" spans="3:14">
      <c r="C143" s="29">
        <v>21</v>
      </c>
      <c r="D143" s="34" t="s">
        <v>586</v>
      </c>
      <c r="E143" s="199">
        <v>4.8273878438910657E-2</v>
      </c>
      <c r="F143" s="199">
        <v>3.7730646706307394E-2</v>
      </c>
      <c r="G143" s="199">
        <v>3.9683396489394569E-2</v>
      </c>
      <c r="H143" s="199">
        <v>3.8320148746193515E-2</v>
      </c>
      <c r="I143" s="199">
        <v>4.0699808327555966E-2</v>
      </c>
      <c r="J143" s="199">
        <v>4.8138323538775764E-2</v>
      </c>
      <c r="K143" s="199">
        <v>3.7646215133848068E-2</v>
      </c>
      <c r="L143" s="199">
        <v>3.7558156342714956E-2</v>
      </c>
      <c r="M143" s="199">
        <v>3.5073544057568101E-2</v>
      </c>
      <c r="N143" s="199">
        <v>4.2946974018703725E-2</v>
      </c>
    </row>
    <row r="144" spans="3:14">
      <c r="C144" s="29">
        <v>22</v>
      </c>
      <c r="D144" s="34" t="s">
        <v>587</v>
      </c>
      <c r="E144" s="199">
        <v>4.7119164817844415E-2</v>
      </c>
      <c r="F144" s="199">
        <v>3.6745668571423799E-2</v>
      </c>
      <c r="G144" s="199">
        <v>3.7689858481125028E-2</v>
      </c>
      <c r="H144" s="199">
        <v>3.9296757007431099E-2</v>
      </c>
      <c r="I144" s="199">
        <v>3.9175157419669641E-2</v>
      </c>
      <c r="J144" s="199">
        <v>4.1859994096066985E-2</v>
      </c>
      <c r="K144" s="199">
        <v>3.7645510129567593E-2</v>
      </c>
      <c r="L144" s="199">
        <v>3.392092797547859E-2</v>
      </c>
      <c r="M144" s="199">
        <v>3.4866348786255524E-2</v>
      </c>
      <c r="N144" s="199">
        <v>4.3205470818375218E-2</v>
      </c>
    </row>
    <row r="145" spans="1:14">
      <c r="C145" s="29">
        <v>23</v>
      </c>
      <c r="D145" s="34" t="s">
        <v>588</v>
      </c>
      <c r="E145" s="199">
        <v>4.343497082251873E-2</v>
      </c>
      <c r="F145" s="199">
        <v>3.5598912505744762E-2</v>
      </c>
      <c r="G145" s="199">
        <v>3.5109683391417033E-2</v>
      </c>
      <c r="H145" s="199">
        <v>3.6538509457753859E-2</v>
      </c>
      <c r="I145" s="199">
        <v>4.032470148087481E-2</v>
      </c>
      <c r="J145" s="199">
        <v>4.0003172060956237E-2</v>
      </c>
      <c r="K145" s="199">
        <v>3.6553047246610924E-2</v>
      </c>
      <c r="L145" s="199">
        <v>2.9589584333455519E-2</v>
      </c>
      <c r="M145" s="199">
        <v>3.3889637296367243E-2</v>
      </c>
      <c r="N145" s="199">
        <v>4.1418093710417679E-2</v>
      </c>
    </row>
    <row r="146" spans="1:14">
      <c r="C146" s="29">
        <v>24</v>
      </c>
      <c r="D146" s="34" t="s">
        <v>589</v>
      </c>
      <c r="E146" s="199">
        <v>3.9118204707940946E-2</v>
      </c>
      <c r="F146" s="199">
        <v>3.4867112600138625E-2</v>
      </c>
      <c r="G146" s="199">
        <v>3.2504475928921042E-2</v>
      </c>
      <c r="H146" s="199">
        <v>3.3722261574191996E-2</v>
      </c>
      <c r="I146" s="199">
        <v>4.2892599141914983E-2</v>
      </c>
      <c r="J146" s="199">
        <v>3.6021640811010718E-2</v>
      </c>
      <c r="K146" s="199">
        <v>3.6530751486240819E-2</v>
      </c>
      <c r="L146" s="199">
        <v>2.7456817215379001E-2</v>
      </c>
      <c r="M146" s="199">
        <v>3.3495310725364887E-2</v>
      </c>
      <c r="N146" s="199">
        <v>3.2214226361503638E-2</v>
      </c>
    </row>
    <row r="147" spans="1:14">
      <c r="A147" s="16" t="s">
        <v>422</v>
      </c>
      <c r="B147" s="16" t="s">
        <v>424</v>
      </c>
      <c r="C147" s="29">
        <v>1</v>
      </c>
      <c r="D147" s="34" t="s">
        <v>590</v>
      </c>
      <c r="E147" s="199">
        <v>3.4540611270297374E-2</v>
      </c>
      <c r="F147" s="199">
        <v>3.9873904028341629E-2</v>
      </c>
      <c r="G147" s="199">
        <v>3.702791033211511E-2</v>
      </c>
      <c r="H147" s="199">
        <v>4.5757302514355544E-2</v>
      </c>
      <c r="I147" s="199">
        <v>4.3028971758749618E-2</v>
      </c>
      <c r="J147" s="199">
        <v>3.1729525863410428E-2</v>
      </c>
      <c r="K147" s="199">
        <v>4.107361198394123E-2</v>
      </c>
      <c r="L147" s="199">
        <v>3.4137307703445842E-2</v>
      </c>
      <c r="M147" s="199">
        <v>3.8258173473401567E-2</v>
      </c>
      <c r="N147" s="199">
        <v>2.74529344518692E-2</v>
      </c>
    </row>
    <row r="148" spans="1:14">
      <c r="C148" s="29">
        <v>2</v>
      </c>
      <c r="D148" s="34" t="s">
        <v>591</v>
      </c>
      <c r="E148" s="199">
        <v>3.2136555715965721E-2</v>
      </c>
      <c r="F148" s="199">
        <v>3.9529258110494167E-2</v>
      </c>
      <c r="G148" s="199">
        <v>3.7328480536183144E-2</v>
      </c>
      <c r="H148" s="199">
        <v>4.4000809371420944E-2</v>
      </c>
      <c r="I148" s="199">
        <v>3.9997931216154144E-2</v>
      </c>
      <c r="J148" s="199">
        <v>3.1840691199190529E-2</v>
      </c>
      <c r="K148" s="199">
        <v>4.1019970550832029E-2</v>
      </c>
      <c r="L148" s="199">
        <v>3.3982630986493172E-2</v>
      </c>
      <c r="M148" s="199">
        <v>3.9016498820699193E-2</v>
      </c>
      <c r="N148" s="199">
        <v>2.6119546565314573E-2</v>
      </c>
    </row>
    <row r="149" spans="1:14">
      <c r="C149" s="29">
        <v>3</v>
      </c>
      <c r="D149" s="34" t="s">
        <v>592</v>
      </c>
      <c r="E149" s="199">
        <v>3.1540853603503304E-2</v>
      </c>
      <c r="F149" s="199">
        <v>3.8933644109673454E-2</v>
      </c>
      <c r="G149" s="199">
        <v>3.6639287290542867E-2</v>
      </c>
      <c r="H149" s="199">
        <v>4.2864939090871593E-2</v>
      </c>
      <c r="I149" s="199">
        <v>4.3309222680453459E-2</v>
      </c>
      <c r="J149" s="199">
        <v>3.0469471319252078E-2</v>
      </c>
      <c r="K149" s="199">
        <v>4.1555515937333927E-2</v>
      </c>
      <c r="L149" s="199">
        <v>3.2835350378820405E-2</v>
      </c>
      <c r="M149" s="199">
        <v>3.7595243917070774E-2</v>
      </c>
      <c r="N149" s="199">
        <v>2.746121485153E-2</v>
      </c>
    </row>
    <row r="150" spans="1:14">
      <c r="C150" s="29">
        <v>4</v>
      </c>
      <c r="D150" s="34" t="s">
        <v>593</v>
      </c>
      <c r="E150" s="199">
        <v>3.1705597964428019E-2</v>
      </c>
      <c r="F150" s="199">
        <v>3.9169505719747311E-2</v>
      </c>
      <c r="G150" s="199">
        <v>3.7269677920608965E-2</v>
      </c>
      <c r="H150" s="199">
        <v>4.231692391712194E-2</v>
      </c>
      <c r="I150" s="199">
        <v>4.3750324020795241E-2</v>
      </c>
      <c r="J150" s="199">
        <v>2.9563494857344504E-2</v>
      </c>
      <c r="K150" s="199">
        <v>4.1717563506497468E-2</v>
      </c>
      <c r="L150" s="199">
        <v>3.2880425081961005E-2</v>
      </c>
      <c r="M150" s="199">
        <v>3.7650582967950048E-2</v>
      </c>
      <c r="N150" s="199">
        <v>3.1689820125365246E-2</v>
      </c>
    </row>
    <row r="151" spans="1:14">
      <c r="C151" s="29">
        <v>5</v>
      </c>
      <c r="D151" s="34" t="s">
        <v>594</v>
      </c>
      <c r="E151" s="199">
        <v>3.2222074679903338E-2</v>
      </c>
      <c r="F151" s="199">
        <v>3.9418246188064499E-2</v>
      </c>
      <c r="G151" s="199">
        <v>3.7341881851705831E-2</v>
      </c>
      <c r="H151" s="199">
        <v>4.3768841950585134E-2</v>
      </c>
      <c r="I151" s="199">
        <v>4.3790041701089702E-2</v>
      </c>
      <c r="J151" s="199">
        <v>3.0884205661514664E-2</v>
      </c>
      <c r="K151" s="199">
        <v>4.2358844613972005E-2</v>
      </c>
      <c r="L151" s="199">
        <v>3.5040592382850504E-2</v>
      </c>
      <c r="M151" s="199">
        <v>4.0101827650465265E-2</v>
      </c>
      <c r="N151" s="199">
        <v>3.614248327237498E-2</v>
      </c>
    </row>
    <row r="152" spans="1:14">
      <c r="C152" s="29">
        <v>6</v>
      </c>
      <c r="D152" s="34" t="s">
        <v>595</v>
      </c>
      <c r="E152" s="199">
        <v>3.4591776678329245E-2</v>
      </c>
      <c r="F152" s="199">
        <v>4.0216927180545599E-2</v>
      </c>
      <c r="G152" s="199">
        <v>3.9068279506176466E-2</v>
      </c>
      <c r="H152" s="199">
        <v>4.4769869380811227E-2</v>
      </c>
      <c r="I152" s="199">
        <v>4.3783360222161657E-2</v>
      </c>
      <c r="J152" s="199">
        <v>3.2040077283478158E-2</v>
      </c>
      <c r="K152" s="199">
        <v>4.267937919885683E-2</v>
      </c>
      <c r="L152" s="199">
        <v>3.7610745770160728E-2</v>
      </c>
      <c r="M152" s="199">
        <v>4.5969190861443916E-2</v>
      </c>
      <c r="N152" s="199">
        <v>3.9047442306315357E-2</v>
      </c>
    </row>
    <row r="153" spans="1:14">
      <c r="C153" s="29">
        <v>7</v>
      </c>
      <c r="D153" s="34" t="s">
        <v>596</v>
      </c>
      <c r="E153" s="199">
        <v>3.716137381616097E-2</v>
      </c>
      <c r="F153" s="199">
        <v>4.163711266206855E-2</v>
      </c>
      <c r="G153" s="199">
        <v>4.1011236073887743E-2</v>
      </c>
      <c r="H153" s="199">
        <v>4.4071138247317988E-2</v>
      </c>
      <c r="I153" s="199">
        <v>4.7888510367984936E-2</v>
      </c>
      <c r="J153" s="199">
        <v>3.6722958549333308E-2</v>
      </c>
      <c r="K153" s="199">
        <v>4.2516208359857345E-2</v>
      </c>
      <c r="L153" s="199">
        <v>4.1806599962074746E-2</v>
      </c>
      <c r="M153" s="199">
        <v>4.5742803835119618E-2</v>
      </c>
      <c r="N153" s="199">
        <v>4.4983027616107035E-2</v>
      </c>
    </row>
    <row r="154" spans="1:14">
      <c r="C154" s="29">
        <v>8</v>
      </c>
      <c r="D154" s="34" t="s">
        <v>597</v>
      </c>
      <c r="E154" s="199">
        <v>4.0484093646749146E-2</v>
      </c>
      <c r="F154" s="199">
        <v>4.1650139044461298E-2</v>
      </c>
      <c r="G154" s="199">
        <v>4.2617354277539751E-2</v>
      </c>
      <c r="H154" s="199">
        <v>4.4044106813453651E-2</v>
      </c>
      <c r="I154" s="199">
        <v>3.9314193205851548E-2</v>
      </c>
      <c r="J154" s="199">
        <v>4.3114306951604106E-2</v>
      </c>
      <c r="K154" s="199">
        <v>4.2336591154957914E-2</v>
      </c>
      <c r="L154" s="199">
        <v>4.4665628640801716E-2</v>
      </c>
      <c r="M154" s="199">
        <v>4.6385515179036538E-2</v>
      </c>
      <c r="N154" s="199">
        <v>4.2792374823493545E-2</v>
      </c>
    </row>
    <row r="155" spans="1:14">
      <c r="C155" s="29">
        <v>9</v>
      </c>
      <c r="D155" s="34" t="s">
        <v>598</v>
      </c>
      <c r="E155" s="199">
        <v>4.5816252278231932E-2</v>
      </c>
      <c r="F155" s="199">
        <v>3.8383069231667087E-2</v>
      </c>
      <c r="G155" s="199">
        <v>4.2513437425042516E-2</v>
      </c>
      <c r="H155" s="199">
        <v>4.199506126273729E-2</v>
      </c>
      <c r="I155" s="199">
        <v>3.7775102161668787E-2</v>
      </c>
      <c r="J155" s="199">
        <v>4.4419896570094035E-2</v>
      </c>
      <c r="K155" s="199">
        <v>3.9311053254943516E-2</v>
      </c>
      <c r="L155" s="199">
        <v>4.5235158665640991E-2</v>
      </c>
      <c r="M155" s="199">
        <v>4.5975360738471624E-2</v>
      </c>
      <c r="N155" s="199">
        <v>4.2043729277690997E-2</v>
      </c>
    </row>
    <row r="156" spans="1:14">
      <c r="C156" s="29">
        <v>10</v>
      </c>
      <c r="D156" s="34" t="s">
        <v>599</v>
      </c>
      <c r="E156" s="199">
        <v>4.7696532600553287E-2</v>
      </c>
      <c r="F156" s="199">
        <v>3.917581975334198E-2</v>
      </c>
      <c r="G156" s="199">
        <v>4.3762985451701063E-2</v>
      </c>
      <c r="H156" s="199">
        <v>4.1362101379663958E-2</v>
      </c>
      <c r="I156" s="199">
        <v>4.0970086400183722E-2</v>
      </c>
      <c r="J156" s="199">
        <v>4.7537472309294143E-2</v>
      </c>
      <c r="K156" s="199">
        <v>4.0247012547305554E-2</v>
      </c>
      <c r="L156" s="199">
        <v>4.6005644707190492E-2</v>
      </c>
      <c r="M156" s="199">
        <v>4.6580103608371885E-2</v>
      </c>
      <c r="N156" s="199">
        <v>4.4238278728968392E-2</v>
      </c>
    </row>
    <row r="157" spans="1:14">
      <c r="C157" s="29">
        <v>11</v>
      </c>
      <c r="D157" s="34" t="s">
        <v>600</v>
      </c>
      <c r="E157" s="199">
        <v>4.8245338937156781E-2</v>
      </c>
      <c r="F157" s="199">
        <v>4.0272174974498975E-2</v>
      </c>
      <c r="G157" s="199">
        <v>4.4510951095744121E-2</v>
      </c>
      <c r="H157" s="199">
        <v>4.1396440730241624E-2</v>
      </c>
      <c r="I157" s="199">
        <v>4.435771994779044E-2</v>
      </c>
      <c r="J157" s="199">
        <v>4.8786505484306866E-2</v>
      </c>
      <c r="K157" s="199">
        <v>4.2259276280211831E-2</v>
      </c>
      <c r="L157" s="199">
        <v>4.6692167108870301E-2</v>
      </c>
      <c r="M157" s="199">
        <v>4.4073994480902608E-2</v>
      </c>
      <c r="N157" s="199">
        <v>4.2510597693859987E-2</v>
      </c>
    </row>
    <row r="158" spans="1:14">
      <c r="C158" s="29">
        <v>12</v>
      </c>
      <c r="D158" s="34" t="s">
        <v>601</v>
      </c>
      <c r="E158" s="199">
        <v>4.7072253988734727E-2</v>
      </c>
      <c r="F158" s="199">
        <v>4.120175414474999E-2</v>
      </c>
      <c r="G158" s="199">
        <v>4.4782898084189018E-2</v>
      </c>
      <c r="H158" s="199">
        <v>4.1160544321925528E-2</v>
      </c>
      <c r="I158" s="199">
        <v>4.7857948788443724E-2</v>
      </c>
      <c r="J158" s="199">
        <v>4.7484949288561493E-2</v>
      </c>
      <c r="K158" s="199">
        <v>4.2501139589039227E-2</v>
      </c>
      <c r="L158" s="199">
        <v>4.6788941796544851E-2</v>
      </c>
      <c r="M158" s="199">
        <v>4.6225193297501216E-2</v>
      </c>
      <c r="N158" s="199">
        <v>5.6273352553602198E-2</v>
      </c>
    </row>
    <row r="159" spans="1:14">
      <c r="C159" s="29">
        <v>13</v>
      </c>
      <c r="D159" s="34" t="s">
        <v>602</v>
      </c>
      <c r="E159" s="199">
        <v>4.5093443693191286E-2</v>
      </c>
      <c r="F159" s="199">
        <v>4.1783722161750428E-2</v>
      </c>
      <c r="G159" s="199">
        <v>4.600465386743835E-2</v>
      </c>
      <c r="H159" s="199">
        <v>4.2422770839840723E-2</v>
      </c>
      <c r="I159" s="199">
        <v>4.7753519747420314E-2</v>
      </c>
      <c r="J159" s="199">
        <v>4.4741513621834081E-2</v>
      </c>
      <c r="K159" s="199">
        <v>4.268703015000358E-2</v>
      </c>
      <c r="L159" s="199">
        <v>4.8408131268083909E-2</v>
      </c>
      <c r="M159" s="199">
        <v>4.6162545315373733E-2</v>
      </c>
      <c r="N159" s="199">
        <v>7.0162505278754783E-2</v>
      </c>
    </row>
    <row r="160" spans="1:14">
      <c r="C160" s="29">
        <v>14</v>
      </c>
      <c r="D160" s="34" t="s">
        <v>603</v>
      </c>
      <c r="E160" s="199">
        <v>4.3829349050699913E-2</v>
      </c>
      <c r="F160" s="199">
        <v>3.9599951682890586E-2</v>
      </c>
      <c r="G160" s="199">
        <v>4.5130999898893333E-2</v>
      </c>
      <c r="H160" s="199">
        <v>4.1652139235458331E-2</v>
      </c>
      <c r="I160" s="199">
        <v>4.6705393673357104E-2</v>
      </c>
      <c r="J160" s="199">
        <v>4.3891601182794303E-2</v>
      </c>
      <c r="K160" s="199">
        <v>4.0060443785685546E-2</v>
      </c>
      <c r="L160" s="199">
        <v>4.7259564672130869E-2</v>
      </c>
      <c r="M160" s="199">
        <v>4.5830795773653225E-2</v>
      </c>
      <c r="N160" s="199">
        <v>5.7865137617806942E-2</v>
      </c>
    </row>
    <row r="161" spans="1:14">
      <c r="C161" s="29">
        <v>15</v>
      </c>
      <c r="D161" s="34" t="s">
        <v>604</v>
      </c>
      <c r="E161" s="199">
        <v>4.2603071952346652E-2</v>
      </c>
      <c r="F161" s="199">
        <v>4.0658658741118597E-2</v>
      </c>
      <c r="G161" s="199">
        <v>4.3831110064656877E-2</v>
      </c>
      <c r="H161" s="199">
        <v>4.1146399966996511E-2</v>
      </c>
      <c r="I161" s="199">
        <v>4.2277800303710346E-2</v>
      </c>
      <c r="J161" s="199">
        <v>4.4130735016048903E-2</v>
      </c>
      <c r="K161" s="199">
        <v>3.9470324440172913E-2</v>
      </c>
      <c r="L161" s="199">
        <v>4.6384897301545679E-2</v>
      </c>
      <c r="M161" s="199">
        <v>4.5467057792573672E-2</v>
      </c>
      <c r="N161" s="199">
        <v>5.6291374599922742E-2</v>
      </c>
    </row>
    <row r="162" spans="1:14">
      <c r="C162" s="29">
        <v>16</v>
      </c>
      <c r="D162" s="34" t="s">
        <v>605</v>
      </c>
      <c r="E162" s="199">
        <v>4.3953909463856133E-2</v>
      </c>
      <c r="F162" s="199">
        <v>4.0809487431473557E-2</v>
      </c>
      <c r="G162" s="199">
        <v>4.3656756985590572E-2</v>
      </c>
      <c r="H162" s="199">
        <v>4.0583376061072186E-2</v>
      </c>
      <c r="I162" s="199">
        <v>3.9510059523316078E-2</v>
      </c>
      <c r="J162" s="199">
        <v>4.375361828865635E-2</v>
      </c>
      <c r="K162" s="199">
        <v>3.8859625943514872E-2</v>
      </c>
      <c r="L162" s="199">
        <v>4.5538244941471503E-2</v>
      </c>
      <c r="M162" s="199">
        <v>4.303128526322024E-2</v>
      </c>
      <c r="N162" s="199">
        <v>4.4116021063388411E-2</v>
      </c>
    </row>
    <row r="163" spans="1:14">
      <c r="C163" s="29">
        <v>17</v>
      </c>
      <c r="D163" s="34" t="s">
        <v>606</v>
      </c>
      <c r="E163" s="199">
        <v>4.6544515100821596E-2</v>
      </c>
      <c r="F163" s="199">
        <v>4.7107337626954855E-2</v>
      </c>
      <c r="G163" s="199">
        <v>4.4398528109493483E-2</v>
      </c>
      <c r="H163" s="199">
        <v>4.0919697389384273E-2</v>
      </c>
      <c r="I163" s="199">
        <v>3.6977655278498278E-2</v>
      </c>
      <c r="J163" s="199">
        <v>4.5859585046004944E-2</v>
      </c>
      <c r="K163" s="199">
        <v>4.2947967852271618E-2</v>
      </c>
      <c r="L163" s="199">
        <v>4.8575879486164014E-2</v>
      </c>
      <c r="M163" s="199">
        <v>3.8550151038589636E-2</v>
      </c>
      <c r="N163" s="199">
        <v>4.5091403435196867E-2</v>
      </c>
    </row>
    <row r="164" spans="1:14">
      <c r="C164" s="29">
        <v>18</v>
      </c>
      <c r="D164" s="34" t="s">
        <v>607</v>
      </c>
      <c r="E164" s="199">
        <v>4.889315526480062E-2</v>
      </c>
      <c r="F164" s="199">
        <v>4.8770200334254311E-2</v>
      </c>
      <c r="G164" s="199">
        <v>4.542599503483525E-2</v>
      </c>
      <c r="H164" s="199">
        <v>4.1860611311162067E-2</v>
      </c>
      <c r="I164" s="199">
        <v>3.9162127694693044E-2</v>
      </c>
      <c r="J164" s="199">
        <v>5.2075155889160993E-2</v>
      </c>
      <c r="K164" s="199">
        <v>4.4586543023905141E-2</v>
      </c>
      <c r="L164" s="199">
        <v>4.8316614481859137E-2</v>
      </c>
      <c r="M164" s="199">
        <v>3.8685508648459009E-2</v>
      </c>
      <c r="N164" s="199">
        <v>3.853137857451458E-2</v>
      </c>
    </row>
    <row r="165" spans="1:14">
      <c r="C165" s="29">
        <v>19</v>
      </c>
      <c r="D165" s="34" t="s">
        <v>608</v>
      </c>
      <c r="E165" s="199">
        <v>4.9156233100425321E-2</v>
      </c>
      <c r="F165" s="199">
        <v>4.6900494017069611E-2</v>
      </c>
      <c r="G165" s="199">
        <v>4.4441625350224563E-2</v>
      </c>
      <c r="H165" s="199">
        <v>4.1503623508703701E-2</v>
      </c>
      <c r="I165" s="199">
        <v>4.0176970105207321E-2</v>
      </c>
      <c r="J165" s="199">
        <v>5.1294829674892566E-2</v>
      </c>
      <c r="K165" s="199">
        <v>4.3162385228314983E-2</v>
      </c>
      <c r="L165" s="199">
        <v>4.5921274109004248E-2</v>
      </c>
      <c r="M165" s="199">
        <v>3.8877818969353363E-2</v>
      </c>
      <c r="N165" s="199">
        <v>3.7904990694292026E-2</v>
      </c>
    </row>
    <row r="166" spans="1:14">
      <c r="C166" s="29">
        <v>20</v>
      </c>
      <c r="D166" s="34" t="s">
        <v>609</v>
      </c>
      <c r="E166" s="199">
        <v>4.7617694586366902E-2</v>
      </c>
      <c r="F166" s="199">
        <v>4.6242019976186058E-2</v>
      </c>
      <c r="G166" s="199">
        <v>4.3882698330555657E-2</v>
      </c>
      <c r="H166" s="199">
        <v>4.0314790476920152E-2</v>
      </c>
      <c r="I166" s="199">
        <v>4.0232772827365572E-2</v>
      </c>
      <c r="J166" s="199">
        <v>5.0430791957023081E-2</v>
      </c>
      <c r="K166" s="199">
        <v>4.2329915117253689E-2</v>
      </c>
      <c r="L166" s="199">
        <v>4.5512883299184376E-2</v>
      </c>
      <c r="M166" s="199">
        <v>3.9017163268994487E-2</v>
      </c>
      <c r="N166" s="199">
        <v>3.64171977081802E-2</v>
      </c>
    </row>
    <row r="167" spans="1:14">
      <c r="C167" s="29">
        <v>21</v>
      </c>
      <c r="D167" s="34" t="s">
        <v>610</v>
      </c>
      <c r="E167" s="199">
        <v>4.6459711952928737E-2</v>
      </c>
      <c r="F167" s="199">
        <v>4.3536707371923368E-2</v>
      </c>
      <c r="G167" s="199">
        <v>4.257507290043689E-2</v>
      </c>
      <c r="H167" s="199">
        <v>3.8981763604610281E-2</v>
      </c>
      <c r="I167" s="199">
        <v>3.8495217112801815E-2</v>
      </c>
      <c r="J167" s="199">
        <v>4.8721743874944635E-2</v>
      </c>
      <c r="K167" s="199">
        <v>4.1671191536666201E-2</v>
      </c>
      <c r="L167" s="199">
        <v>4.2156095764324129E-2</v>
      </c>
      <c r="M167" s="199">
        <v>3.7945787853429537E-2</v>
      </c>
      <c r="N167" s="199">
        <v>3.5918181858034005E-2</v>
      </c>
    </row>
    <row r="168" spans="1:14">
      <c r="C168" s="29">
        <v>22</v>
      </c>
      <c r="D168" s="34" t="s">
        <v>611</v>
      </c>
      <c r="E168" s="199">
        <v>4.3538115783980702E-2</v>
      </c>
      <c r="F168" s="199">
        <v>4.2995500277404411E-2</v>
      </c>
      <c r="G168" s="199">
        <v>4.1422174496550175E-2</v>
      </c>
      <c r="H168" s="199">
        <v>3.8470602333425676E-2</v>
      </c>
      <c r="I168" s="199">
        <v>3.8020955840002348E-2</v>
      </c>
      <c r="J168" s="199">
        <v>4.4192625093992174E-2</v>
      </c>
      <c r="K168" s="199">
        <v>4.2031358472366588E-2</v>
      </c>
      <c r="L168" s="199">
        <v>3.8384080519926048E-2</v>
      </c>
      <c r="M168" s="199">
        <v>3.7766766498441011E-2</v>
      </c>
      <c r="N168" s="199">
        <v>4.7394085164397588E-2</v>
      </c>
    </row>
    <row r="169" spans="1:14">
      <c r="C169" s="29">
        <v>23</v>
      </c>
      <c r="D169" s="34" t="s">
        <v>612</v>
      </c>
      <c r="E169" s="199">
        <v>4.1494376762493485E-2</v>
      </c>
      <c r="F169" s="199">
        <v>4.1154384140375005E-2</v>
      </c>
      <c r="G169" s="199">
        <v>3.8448547983327121E-2</v>
      </c>
      <c r="H169" s="199">
        <v>3.7711443372485706E-2</v>
      </c>
      <c r="I169" s="199">
        <v>3.740786828280919E-2</v>
      </c>
      <c r="J169" s="199">
        <v>4.0214735221980304E-2</v>
      </c>
      <c r="K169" s="199">
        <v>4.123407002031805E-2</v>
      </c>
      <c r="L169" s="199">
        <v>3.3312256690813898E-2</v>
      </c>
      <c r="M169" s="199">
        <v>3.7634351445307926E-2</v>
      </c>
      <c r="N169" s="199">
        <v>3.4212419527910057E-2</v>
      </c>
    </row>
    <row r="170" spans="1:14">
      <c r="C170" s="29">
        <v>24</v>
      </c>
      <c r="D170" s="34" t="s">
        <v>613</v>
      </c>
      <c r="E170" s="199">
        <v>3.7603108108074726E-2</v>
      </c>
      <c r="F170" s="199">
        <v>4.0979981090944625E-2</v>
      </c>
      <c r="G170" s="199">
        <v>3.6907457132560849E-2</v>
      </c>
      <c r="H170" s="199">
        <v>3.6924702919434151E-2</v>
      </c>
      <c r="I170" s="199">
        <v>3.745624713949184E-2</v>
      </c>
      <c r="J170" s="199">
        <v>3.609950979528332E-2</v>
      </c>
      <c r="K170" s="199">
        <v>4.1382977451778026E-2</v>
      </c>
      <c r="L170" s="199">
        <v>3.2548884280637617E-2</v>
      </c>
      <c r="M170" s="199">
        <v>3.7456279302169819E-2</v>
      </c>
      <c r="N170" s="199">
        <v>3.5340502211110243E-2</v>
      </c>
    </row>
    <row r="171" spans="1:14">
      <c r="A171" s="16" t="s">
        <v>432</v>
      </c>
      <c r="B171" s="16" t="s">
        <v>423</v>
      </c>
      <c r="C171" s="29">
        <v>1</v>
      </c>
      <c r="D171" s="34" t="s">
        <v>614</v>
      </c>
      <c r="E171" s="199">
        <v>3.3666790198623557E-2</v>
      </c>
      <c r="F171" s="199">
        <v>4.169178283045611E-2</v>
      </c>
      <c r="G171" s="199">
        <v>3.7576849100741105E-2</v>
      </c>
      <c r="H171" s="199">
        <v>4.120702221337131E-2</v>
      </c>
      <c r="I171" s="199">
        <v>3.7811749620090054E-2</v>
      </c>
      <c r="J171" s="199">
        <v>3.2645482933429476E-2</v>
      </c>
      <c r="K171" s="199">
        <v>4.1251794869626761E-2</v>
      </c>
      <c r="L171" s="199">
        <v>3.570384515145493E-2</v>
      </c>
      <c r="M171" s="199">
        <v>4.1597634487658922E-2</v>
      </c>
      <c r="N171" s="199">
        <v>2.3352905886034919E-2</v>
      </c>
    </row>
    <row r="172" spans="1:14">
      <c r="C172" s="29">
        <v>2</v>
      </c>
      <c r="D172" s="34" t="s">
        <v>615</v>
      </c>
      <c r="E172" s="199">
        <v>3.2482240996298005E-2</v>
      </c>
      <c r="F172" s="199">
        <v>4.163945728497187E-2</v>
      </c>
      <c r="G172" s="199">
        <v>3.8355138230151173E-2</v>
      </c>
      <c r="H172" s="199">
        <v>4.0606833671923165E-2</v>
      </c>
      <c r="I172" s="199">
        <v>3.4957724424278476E-2</v>
      </c>
      <c r="J172" s="199">
        <v>3.0863582981916545E-2</v>
      </c>
      <c r="K172" s="199">
        <v>4.104121382554976E-2</v>
      </c>
      <c r="L172" s="199">
        <v>3.5288954309945268E-2</v>
      </c>
      <c r="M172" s="199">
        <v>4.2472164432934736E-2</v>
      </c>
      <c r="N172" s="199">
        <v>2.8310972781734917E-2</v>
      </c>
    </row>
    <row r="173" spans="1:14">
      <c r="C173" s="29">
        <v>3</v>
      </c>
      <c r="D173" s="34" t="s">
        <v>616</v>
      </c>
      <c r="E173" s="199">
        <v>3.1229619706763412E-2</v>
      </c>
      <c r="F173" s="199">
        <v>4.2685144633513826E-2</v>
      </c>
      <c r="G173" s="199">
        <v>3.8284611665862708E-2</v>
      </c>
      <c r="H173" s="199">
        <v>4.1240262738464518E-2</v>
      </c>
      <c r="I173" s="199">
        <v>3.5199078968864331E-2</v>
      </c>
      <c r="J173" s="199">
        <v>3.1635073837306828E-2</v>
      </c>
      <c r="K173" s="199">
        <v>4.2361643955436998E-2</v>
      </c>
      <c r="L173" s="199">
        <v>3.6003332116361655E-2</v>
      </c>
      <c r="M173" s="199">
        <v>4.2676405790498563E-2</v>
      </c>
      <c r="N173" s="199">
        <v>2.8660853578161252E-2</v>
      </c>
    </row>
    <row r="174" spans="1:14">
      <c r="C174" s="29">
        <v>4</v>
      </c>
      <c r="D174" s="34" t="s">
        <v>617</v>
      </c>
      <c r="E174" s="199">
        <v>3.1538694196929638E-2</v>
      </c>
      <c r="F174" s="199">
        <v>4.1890437543328884E-2</v>
      </c>
      <c r="G174" s="199">
        <v>3.8843860972779143E-2</v>
      </c>
      <c r="H174" s="199">
        <v>4.1298638157252383E-2</v>
      </c>
      <c r="I174" s="199">
        <v>3.6875460438506986E-2</v>
      </c>
      <c r="J174" s="199">
        <v>3.1278704063734661E-2</v>
      </c>
      <c r="K174" s="199">
        <v>4.3022860342348132E-2</v>
      </c>
      <c r="L174" s="199">
        <v>3.6289639443811694E-2</v>
      </c>
      <c r="M174" s="199">
        <v>4.3498595046850039E-2</v>
      </c>
      <c r="N174" s="199">
        <v>3.5551699303354195E-2</v>
      </c>
    </row>
    <row r="175" spans="1:14">
      <c r="C175" s="29">
        <v>5</v>
      </c>
      <c r="D175" s="34" t="s">
        <v>618</v>
      </c>
      <c r="E175" s="199">
        <v>3.2419893283122475E-2</v>
      </c>
      <c r="F175" s="199">
        <v>4.2479121989700198E-2</v>
      </c>
      <c r="G175" s="199">
        <v>3.9618144303631128E-2</v>
      </c>
      <c r="H175" s="199">
        <v>4.1569470354991714E-2</v>
      </c>
      <c r="I175" s="199">
        <v>3.8279354785015665E-2</v>
      </c>
      <c r="J175" s="199">
        <v>3.1001130823480775E-2</v>
      </c>
      <c r="K175" s="199">
        <v>4.4083917739559546E-2</v>
      </c>
      <c r="L175" s="199">
        <v>3.689287991419106E-2</v>
      </c>
      <c r="M175" s="199">
        <v>4.2905025003177832E-2</v>
      </c>
      <c r="N175" s="199">
        <v>4.1485582351083856E-2</v>
      </c>
    </row>
    <row r="176" spans="1:14">
      <c r="C176" s="29">
        <v>6</v>
      </c>
      <c r="D176" s="34" t="s">
        <v>619</v>
      </c>
      <c r="E176" s="199">
        <v>3.4583578938131271E-2</v>
      </c>
      <c r="F176" s="199">
        <v>4.38952794945923E-2</v>
      </c>
      <c r="G176" s="199">
        <v>4.1140860926838843E-2</v>
      </c>
      <c r="H176" s="199">
        <v>4.0489487925620946E-2</v>
      </c>
      <c r="I176" s="199">
        <v>4.0057764804157577E-2</v>
      </c>
      <c r="J176" s="199">
        <v>3.2638995309616559E-2</v>
      </c>
      <c r="K176" s="199">
        <v>4.426209236359703E-2</v>
      </c>
      <c r="L176" s="199">
        <v>3.7244480858398939E-2</v>
      </c>
      <c r="M176" s="199">
        <v>4.3423105638362311E-2</v>
      </c>
      <c r="N176" s="199">
        <v>4.0795743639581904E-2</v>
      </c>
    </row>
    <row r="177" spans="3:14">
      <c r="C177" s="29">
        <v>7</v>
      </c>
      <c r="D177" s="34" t="s">
        <v>620</v>
      </c>
      <c r="E177" s="199">
        <v>3.7074064831679639E-2</v>
      </c>
      <c r="F177" s="199">
        <v>4.4469257491979851E-2</v>
      </c>
      <c r="G177" s="199">
        <v>4.2049855510156664E-2</v>
      </c>
      <c r="H177" s="199">
        <v>4.0589878773217895E-2</v>
      </c>
      <c r="I177" s="199">
        <v>3.6506339024533076E-2</v>
      </c>
      <c r="J177" s="199">
        <v>3.7106081890373843E-2</v>
      </c>
      <c r="K177" s="199">
        <v>4.5625306250278018E-2</v>
      </c>
      <c r="L177" s="199">
        <v>4.0396625211323312E-2</v>
      </c>
      <c r="M177" s="199">
        <v>4.3361853716685696E-2</v>
      </c>
      <c r="N177" s="199">
        <v>5.423469876811398E-2</v>
      </c>
    </row>
    <row r="178" spans="3:14">
      <c r="C178" s="29">
        <v>8</v>
      </c>
      <c r="D178" s="34" t="s">
        <v>621</v>
      </c>
      <c r="E178" s="199">
        <v>4.1257406615980735E-2</v>
      </c>
      <c r="F178" s="199">
        <v>3.9502992615303711E-2</v>
      </c>
      <c r="G178" s="199">
        <v>4.3805919473461283E-2</v>
      </c>
      <c r="H178" s="199">
        <v>3.9187307086902261E-2</v>
      </c>
      <c r="I178" s="199">
        <v>4.1665408006312812E-2</v>
      </c>
      <c r="J178" s="199">
        <v>4.1338209213434209E-2</v>
      </c>
      <c r="K178" s="199">
        <v>4.2175377840752946E-2</v>
      </c>
      <c r="L178" s="199">
        <v>4.1094351418122073E-2</v>
      </c>
      <c r="M178" s="199">
        <v>4.2819804938236457E-2</v>
      </c>
      <c r="N178" s="199">
        <v>6.4614826491473584E-2</v>
      </c>
    </row>
    <row r="179" spans="3:14">
      <c r="C179" s="29">
        <v>9</v>
      </c>
      <c r="D179" s="34" t="s">
        <v>622</v>
      </c>
      <c r="E179" s="199">
        <v>4.4812459249188752E-2</v>
      </c>
      <c r="F179" s="199">
        <v>3.7631714633710893E-2</v>
      </c>
      <c r="G179" s="199">
        <v>4.4300241142945763E-2</v>
      </c>
      <c r="H179" s="199">
        <v>3.8384998305625584E-2</v>
      </c>
      <c r="I179" s="199">
        <v>4.4568906260114227E-2</v>
      </c>
      <c r="J179" s="199">
        <v>4.4501819786142073E-2</v>
      </c>
      <c r="K179" s="199">
        <v>3.9189638020895014E-2</v>
      </c>
      <c r="L179" s="199">
        <v>4.3200105105449541E-2</v>
      </c>
      <c r="M179" s="199">
        <v>4.2159144579015449E-2</v>
      </c>
      <c r="N179" s="199">
        <v>5.5379402360732868E-2</v>
      </c>
    </row>
    <row r="180" spans="3:14">
      <c r="C180" s="29">
        <v>10</v>
      </c>
      <c r="D180" s="34" t="s">
        <v>623</v>
      </c>
      <c r="E180" s="199">
        <v>4.618801381714787E-2</v>
      </c>
      <c r="F180" s="199">
        <v>3.8111850780133003E-2</v>
      </c>
      <c r="G180" s="199">
        <v>4.5502256444115874E-2</v>
      </c>
      <c r="H180" s="199">
        <v>4.0689600348497536E-2</v>
      </c>
      <c r="I180" s="199">
        <v>4.7667368434031292E-2</v>
      </c>
      <c r="J180" s="199">
        <v>4.8150648428038782E-2</v>
      </c>
      <c r="K180" s="199">
        <v>4.1669639446615676E-2</v>
      </c>
      <c r="L180" s="199">
        <v>4.4851601773333166E-2</v>
      </c>
      <c r="M180" s="199">
        <v>4.3753435817972815E-2</v>
      </c>
      <c r="N180" s="199">
        <v>4.8726705787957167E-2</v>
      </c>
    </row>
    <row r="181" spans="3:14">
      <c r="C181" s="29">
        <v>11</v>
      </c>
      <c r="D181" s="34" t="s">
        <v>624</v>
      </c>
      <c r="E181" s="199">
        <v>4.6509584959917298E-2</v>
      </c>
      <c r="F181" s="199">
        <v>3.8198751187178102E-2</v>
      </c>
      <c r="G181" s="199">
        <v>4.5209419548759566E-2</v>
      </c>
      <c r="H181" s="199">
        <v>3.9115248767404888E-2</v>
      </c>
      <c r="I181" s="199">
        <v>5.2304119055912257E-2</v>
      </c>
      <c r="J181" s="199">
        <v>4.6799935366920051E-2</v>
      </c>
      <c r="K181" s="199">
        <v>4.1707790825014253E-2</v>
      </c>
      <c r="L181" s="199">
        <v>4.5846603944259559E-2</v>
      </c>
      <c r="M181" s="199">
        <v>4.1745233181866279E-2</v>
      </c>
      <c r="N181" s="199">
        <v>4.4747431908692036E-2</v>
      </c>
    </row>
    <row r="182" spans="3:14">
      <c r="C182" s="29">
        <v>12</v>
      </c>
      <c r="D182" s="34" t="s">
        <v>625</v>
      </c>
      <c r="E182" s="199">
        <v>4.7608907200027202E-2</v>
      </c>
      <c r="F182" s="199">
        <v>3.8585692566390058E-2</v>
      </c>
      <c r="G182" s="199">
        <v>4.451445562492011E-2</v>
      </c>
      <c r="H182" s="199">
        <v>3.9399912593035366E-2</v>
      </c>
      <c r="I182" s="199">
        <v>5.0432773666153945E-2</v>
      </c>
      <c r="J182" s="199">
        <v>4.5529117137639123E-2</v>
      </c>
      <c r="K182" s="199">
        <v>4.2507573989247906E-2</v>
      </c>
      <c r="L182" s="199">
        <v>4.5446723725226769E-2</v>
      </c>
      <c r="M182" s="199">
        <v>4.0725153101636512E-2</v>
      </c>
      <c r="N182" s="199">
        <v>4.0880683503944047E-2</v>
      </c>
    </row>
    <row r="183" spans="3:14">
      <c r="C183" s="29">
        <v>13</v>
      </c>
      <c r="D183" s="34" t="s">
        <v>626</v>
      </c>
      <c r="E183" s="199">
        <v>4.6118554950801388E-2</v>
      </c>
      <c r="F183" s="199">
        <v>3.9887742733617094E-2</v>
      </c>
      <c r="G183" s="199">
        <v>4.4758901248211413E-2</v>
      </c>
      <c r="H183" s="199">
        <v>4.0928976747323154E-2</v>
      </c>
      <c r="I183" s="199">
        <v>4.4612368572740792E-2</v>
      </c>
      <c r="J183" s="199">
        <v>4.6355017190849383E-2</v>
      </c>
      <c r="K183" s="199">
        <v>4.081908217857478E-2</v>
      </c>
      <c r="L183" s="199">
        <v>4.6089295826653116E-2</v>
      </c>
      <c r="M183" s="199">
        <v>4.0792038561259972E-2</v>
      </c>
      <c r="N183" s="199">
        <v>3.8840936013490368E-2</v>
      </c>
    </row>
    <row r="184" spans="3:14">
      <c r="C184" s="29">
        <v>14</v>
      </c>
      <c r="D184" s="34" t="s">
        <v>627</v>
      </c>
      <c r="E184" s="199">
        <v>4.673142009408196E-2</v>
      </c>
      <c r="F184" s="199">
        <v>3.73959408436031E-2</v>
      </c>
      <c r="G184" s="199">
        <v>4.2420556551099026E-2</v>
      </c>
      <c r="H184" s="199">
        <v>4.0501163009378512E-2</v>
      </c>
      <c r="I184" s="199">
        <v>4.5151177951969518E-2</v>
      </c>
      <c r="J184" s="199">
        <v>4.7299160573506555E-2</v>
      </c>
      <c r="K184" s="199">
        <v>3.847087090676015E-2</v>
      </c>
      <c r="L184" s="199">
        <v>4.5426133780471389E-2</v>
      </c>
      <c r="M184" s="199">
        <v>4.0586158356293423E-2</v>
      </c>
      <c r="N184" s="199">
        <v>3.1586912830861118E-2</v>
      </c>
    </row>
    <row r="185" spans="3:14">
      <c r="C185" s="29">
        <v>15</v>
      </c>
      <c r="D185" s="34" t="s">
        <v>628</v>
      </c>
      <c r="E185" s="199">
        <v>4.4189493036063072E-2</v>
      </c>
      <c r="F185" s="199">
        <v>3.7874753409616671E-2</v>
      </c>
      <c r="G185" s="199">
        <v>4.2467055983309639E-2</v>
      </c>
      <c r="H185" s="199">
        <v>4.1521059657372732E-2</v>
      </c>
      <c r="I185" s="199">
        <v>5.1229428609298466E-2</v>
      </c>
      <c r="J185" s="199">
        <v>4.7276745066978147E-2</v>
      </c>
      <c r="K185" s="199">
        <v>3.869108082470657E-2</v>
      </c>
      <c r="L185" s="199">
        <v>4.5601010123343444E-2</v>
      </c>
      <c r="M185" s="199">
        <v>4.0305198454689821E-2</v>
      </c>
      <c r="N185" s="199">
        <v>3.7390607675269347E-2</v>
      </c>
    </row>
    <row r="186" spans="3:14">
      <c r="C186" s="29">
        <v>16</v>
      </c>
      <c r="D186" s="34" t="s">
        <v>629</v>
      </c>
      <c r="E186" s="199">
        <v>4.3653088429736447E-2</v>
      </c>
      <c r="F186" s="199">
        <v>3.8260885934134521E-2</v>
      </c>
      <c r="G186" s="199">
        <v>4.1755073160051309E-2</v>
      </c>
      <c r="H186" s="199">
        <v>4.13479412179611E-2</v>
      </c>
      <c r="I186" s="199">
        <v>5.0650855837666708E-2</v>
      </c>
      <c r="J186" s="199">
        <v>4.6942259529952853E-2</v>
      </c>
      <c r="K186" s="199">
        <v>3.7361163422036221E-2</v>
      </c>
      <c r="L186" s="199">
        <v>4.4910521489407502E-2</v>
      </c>
      <c r="M186" s="199">
        <v>4.0720646271279033E-2</v>
      </c>
      <c r="N186" s="199">
        <v>3.8136212979962343E-2</v>
      </c>
    </row>
    <row r="187" spans="3:14">
      <c r="C187" s="29">
        <v>17</v>
      </c>
      <c r="D187" s="34" t="s">
        <v>630</v>
      </c>
      <c r="E187" s="199">
        <v>4.4850290688327334E-2</v>
      </c>
      <c r="F187" s="199">
        <v>3.8736463081371665E-2</v>
      </c>
      <c r="G187" s="199">
        <v>4.0405509668779885E-2</v>
      </c>
      <c r="H187" s="199">
        <v>4.0209434642620855E-2</v>
      </c>
      <c r="I187" s="199">
        <v>4.6488029369426573E-2</v>
      </c>
      <c r="J187" s="199">
        <v>4.8243651324997798E-2</v>
      </c>
      <c r="K187" s="199">
        <v>3.6113839910140756E-2</v>
      </c>
      <c r="L187" s="199">
        <v>4.6791564949115204E-2</v>
      </c>
      <c r="M187" s="199">
        <v>3.9273441586715668E-2</v>
      </c>
      <c r="N187" s="199">
        <v>4.2685457164012737E-2</v>
      </c>
    </row>
    <row r="188" spans="3:14">
      <c r="C188" s="29">
        <v>18</v>
      </c>
      <c r="D188" s="34" t="s">
        <v>631</v>
      </c>
      <c r="E188" s="199">
        <v>4.7993271806409193E-2</v>
      </c>
      <c r="F188" s="199">
        <v>4.5525665841830966E-2</v>
      </c>
      <c r="G188" s="199">
        <v>4.206895773119658E-2</v>
      </c>
      <c r="H188" s="199">
        <v>4.1683990284843049E-2</v>
      </c>
      <c r="I188" s="199">
        <v>4.1776067369666998E-2</v>
      </c>
      <c r="J188" s="199">
        <v>5.0818548349422572E-2</v>
      </c>
      <c r="K188" s="199">
        <v>4.138318044900046E-2</v>
      </c>
      <c r="L188" s="199">
        <v>4.822028601506078E-2</v>
      </c>
      <c r="M188" s="199">
        <v>4.0130866062225601E-2</v>
      </c>
      <c r="N188" s="199">
        <v>3.9526408657197996E-2</v>
      </c>
    </row>
    <row r="189" spans="3:14">
      <c r="C189" s="29">
        <v>19</v>
      </c>
      <c r="D189" s="34" t="s">
        <v>632</v>
      </c>
      <c r="E189" s="199">
        <v>4.8990939486325685E-2</v>
      </c>
      <c r="F189" s="199">
        <v>4.8084499726312992E-2</v>
      </c>
      <c r="G189" s="199">
        <v>4.311331460498681E-2</v>
      </c>
      <c r="H189" s="199">
        <v>4.3133187942598149E-2</v>
      </c>
      <c r="I189" s="199">
        <v>3.9026690791846341E-2</v>
      </c>
      <c r="J189" s="199">
        <v>4.9685993132834866E-2</v>
      </c>
      <c r="K189" s="199">
        <v>4.3356978219871653E-2</v>
      </c>
      <c r="L189" s="199">
        <v>4.5764261438681619E-2</v>
      </c>
      <c r="M189" s="199">
        <v>4.1531978163587495E-2</v>
      </c>
      <c r="N189" s="199">
        <v>4.1199406452929133E-2</v>
      </c>
    </row>
    <row r="190" spans="3:14">
      <c r="C190" s="29">
        <v>20</v>
      </c>
      <c r="D190" s="34" t="s">
        <v>633</v>
      </c>
      <c r="E190" s="199">
        <v>4.9303261959208561E-2</v>
      </c>
      <c r="F190" s="199">
        <v>4.7495329967125209E-2</v>
      </c>
      <c r="G190" s="199">
        <v>4.1746571369612545E-2</v>
      </c>
      <c r="H190" s="199">
        <v>4.3184498820258821E-2</v>
      </c>
      <c r="I190" s="199">
        <v>3.6234930753130973E-2</v>
      </c>
      <c r="J190" s="199">
        <v>4.8658195161547527E-2</v>
      </c>
      <c r="K190" s="199">
        <v>4.2825023396039483E-2</v>
      </c>
      <c r="L190" s="199">
        <v>4.3352076862125576E-2</v>
      </c>
      <c r="M190" s="199">
        <v>4.1046674476457393E-2</v>
      </c>
      <c r="N190" s="199">
        <v>5.1725202074517279E-2</v>
      </c>
    </row>
    <row r="191" spans="3:14">
      <c r="C191" s="29">
        <v>21</v>
      </c>
      <c r="D191" s="34" t="s">
        <v>634</v>
      </c>
      <c r="E191" s="199">
        <v>4.8988405746999385E-2</v>
      </c>
      <c r="F191" s="199">
        <v>4.5696363595185585E-2</v>
      </c>
      <c r="G191" s="199">
        <v>4.1605326759268965E-2</v>
      </c>
      <c r="H191" s="199">
        <v>4.503302896067736E-2</v>
      </c>
      <c r="I191" s="199">
        <v>3.7904684990706455E-2</v>
      </c>
      <c r="J191" s="199">
        <v>4.6600816399515597E-2</v>
      </c>
      <c r="K191" s="199">
        <v>4.3380888574732268E-2</v>
      </c>
      <c r="L191" s="199">
        <v>4.2481840774226141E-2</v>
      </c>
      <c r="M191" s="199">
        <v>4.1529519892483421E-2</v>
      </c>
      <c r="N191" s="199">
        <v>5.4412318344291839E-2</v>
      </c>
    </row>
    <row r="192" spans="3:14">
      <c r="C192" s="29">
        <v>22</v>
      </c>
      <c r="D192" s="34" t="s">
        <v>635</v>
      </c>
      <c r="E192" s="199">
        <v>4.4796894478080336E-2</v>
      </c>
      <c r="F192" s="199">
        <v>4.4208350380558779E-2</v>
      </c>
      <c r="G192" s="199">
        <v>4.1231485417353719E-2</v>
      </c>
      <c r="H192" s="199">
        <v>4.6954807238046264E-2</v>
      </c>
      <c r="I192" s="199">
        <v>3.6513428621628194E-2</v>
      </c>
      <c r="J192" s="199">
        <v>4.3050706915244548E-2</v>
      </c>
      <c r="K192" s="199">
        <v>4.3448351377998046E-2</v>
      </c>
      <c r="L192" s="199">
        <v>3.9602806837851556E-2</v>
      </c>
      <c r="M192" s="199">
        <v>4.1440305136997917E-2</v>
      </c>
      <c r="N192" s="199">
        <v>5.6685452004114435E-2</v>
      </c>
    </row>
    <row r="193" spans="1:14">
      <c r="C193" s="29">
        <v>23</v>
      </c>
      <c r="D193" s="34" t="s">
        <v>636</v>
      </c>
      <c r="E193" s="199">
        <v>3.9678957397339419E-2</v>
      </c>
      <c r="F193" s="199">
        <v>4.3314654182264087E-2</v>
      </c>
      <c r="G193" s="199">
        <v>4.087522210161592E-2</v>
      </c>
      <c r="H193" s="199">
        <v>4.7066278260674291E-2</v>
      </c>
      <c r="I193" s="199">
        <v>3.777707224299439E-2</v>
      </c>
      <c r="J193" s="199">
        <v>3.8185872802738233E-2</v>
      </c>
      <c r="K193" s="199">
        <v>4.3096594050865009E-2</v>
      </c>
      <c r="L193" s="199">
        <v>3.7079467651814906E-2</v>
      </c>
      <c r="M193" s="199">
        <v>4.0509849524104323E-2</v>
      </c>
      <c r="N193" s="199">
        <v>3.3549857219660251E-2</v>
      </c>
    </row>
    <row r="194" spans="1:14">
      <c r="C194" s="29">
        <v>24</v>
      </c>
      <c r="D194" s="34" t="s">
        <v>637</v>
      </c>
      <c r="E194" s="199">
        <v>3.5334167932817309E-2</v>
      </c>
      <c r="F194" s="199">
        <v>4.2737867253120641E-2</v>
      </c>
      <c r="G194" s="199">
        <v>3.8350412460150522E-2</v>
      </c>
      <c r="H194" s="199">
        <v>4.4656972281938261E-2</v>
      </c>
      <c r="I194" s="199">
        <v>3.6309217400953699E-2</v>
      </c>
      <c r="J194" s="199">
        <v>3.3394251780378935E-2</v>
      </c>
      <c r="K194" s="199">
        <v>4.2154097220352467E-2</v>
      </c>
      <c r="L194" s="199">
        <v>3.6421591279370724E-2</v>
      </c>
      <c r="M194" s="199">
        <v>4.0995767779010442E-2</v>
      </c>
      <c r="N194" s="199">
        <v>2.7519722222828627E-2</v>
      </c>
    </row>
    <row r="195" spans="1:14">
      <c r="A195" s="16" t="s">
        <v>432</v>
      </c>
      <c r="B195" s="16" t="s">
        <v>308</v>
      </c>
      <c r="C195" s="29">
        <v>1</v>
      </c>
      <c r="D195" s="34" t="s">
        <v>638</v>
      </c>
      <c r="E195" s="199">
        <v>3.3665980302765047E-2</v>
      </c>
      <c r="F195" s="199">
        <v>3.4371177997007729E-2</v>
      </c>
      <c r="G195" s="199">
        <v>3.2529603690019199E-2</v>
      </c>
      <c r="H195" s="199">
        <v>3.3257683077705352E-2</v>
      </c>
      <c r="I195" s="199">
        <v>3.4161725586739133E-2</v>
      </c>
      <c r="J195" s="199">
        <v>3.2244713651396119E-2</v>
      </c>
      <c r="K195" s="199">
        <v>3.5737305157159067E-2</v>
      </c>
      <c r="L195" s="199">
        <v>2.7217528411788903E-2</v>
      </c>
      <c r="M195" s="199">
        <v>3.2467372203684328E-2</v>
      </c>
      <c r="N195" s="199">
        <v>2.7939637750056142E-2</v>
      </c>
    </row>
    <row r="196" spans="1:14">
      <c r="C196" s="29">
        <v>2</v>
      </c>
      <c r="D196" s="34" t="s">
        <v>639</v>
      </c>
      <c r="E196" s="199">
        <v>3.2513033393595729E-2</v>
      </c>
      <c r="F196" s="199">
        <v>3.4154643775063574E-2</v>
      </c>
      <c r="G196" s="199">
        <v>3.2638694419565982E-2</v>
      </c>
      <c r="H196" s="199">
        <v>3.1698367971095383E-2</v>
      </c>
      <c r="I196" s="199">
        <v>3.9069020125528764E-2</v>
      </c>
      <c r="J196" s="199">
        <v>3.0786528474222762E-2</v>
      </c>
      <c r="K196" s="199">
        <v>3.6112971773099307E-2</v>
      </c>
      <c r="L196" s="199">
        <v>2.6706313714171516E-2</v>
      </c>
      <c r="M196" s="199">
        <v>3.3058831622036655E-2</v>
      </c>
      <c r="N196" s="199">
        <v>2.5692894989560591E-2</v>
      </c>
    </row>
    <row r="197" spans="1:14">
      <c r="C197" s="29">
        <v>3</v>
      </c>
      <c r="D197" s="34" t="s">
        <v>640</v>
      </c>
      <c r="E197" s="199">
        <v>3.2472338635897303E-2</v>
      </c>
      <c r="F197" s="199">
        <v>3.3175684577041155E-2</v>
      </c>
      <c r="G197" s="199">
        <v>3.2492320008752143E-2</v>
      </c>
      <c r="H197" s="199">
        <v>3.0546752884803085E-2</v>
      </c>
      <c r="I197" s="199">
        <v>3.8826657069811539E-2</v>
      </c>
      <c r="J197" s="199">
        <v>3.0995800596191413E-2</v>
      </c>
      <c r="K197" s="199">
        <v>3.6214182083481289E-2</v>
      </c>
      <c r="L197" s="199">
        <v>2.5993101339368246E-2</v>
      </c>
      <c r="M197" s="199">
        <v>3.2387279570104788E-2</v>
      </c>
      <c r="N197" s="199">
        <v>2.5406229246594646E-2</v>
      </c>
    </row>
    <row r="198" spans="1:14">
      <c r="C198" s="29">
        <v>4</v>
      </c>
      <c r="D198" s="34" t="s">
        <v>641</v>
      </c>
      <c r="E198" s="199">
        <v>3.2708283293996943E-2</v>
      </c>
      <c r="F198" s="199">
        <v>3.4477630239667538E-2</v>
      </c>
      <c r="G198" s="199">
        <v>3.30820617971639E-2</v>
      </c>
      <c r="H198" s="199">
        <v>3.1671659299244127E-2</v>
      </c>
      <c r="I198" s="199">
        <v>4.2047283089444221E-2</v>
      </c>
      <c r="J198" s="199">
        <v>3.1823743568378991E-2</v>
      </c>
      <c r="K198" s="199">
        <v>3.6900166925981276E-2</v>
      </c>
      <c r="L198" s="199">
        <v>2.7007368311916503E-2</v>
      </c>
      <c r="M198" s="199">
        <v>3.25699162514482E-2</v>
      </c>
      <c r="N198" s="199">
        <v>2.4107872319078086E-2</v>
      </c>
    </row>
    <row r="199" spans="1:14">
      <c r="C199" s="29">
        <v>5</v>
      </c>
      <c r="D199" s="34" t="s">
        <v>643</v>
      </c>
      <c r="E199" s="199">
        <v>3.4294211634396179E-2</v>
      </c>
      <c r="F199" s="199">
        <v>3.5007091027027842E-2</v>
      </c>
      <c r="G199" s="199">
        <v>3.5072624192013582E-2</v>
      </c>
      <c r="H199" s="199">
        <v>3.4618871460981748E-2</v>
      </c>
      <c r="I199" s="199">
        <v>3.6781061922805294E-2</v>
      </c>
      <c r="J199" s="199">
        <v>3.1826353648401591E-2</v>
      </c>
      <c r="K199" s="199">
        <v>3.7678630480706361E-2</v>
      </c>
      <c r="L199" s="199">
        <v>3.1026616552532398E-2</v>
      </c>
      <c r="M199" s="199">
        <v>3.539592830069227E-2</v>
      </c>
      <c r="N199" s="199">
        <v>2.4199844244946325E-2</v>
      </c>
    </row>
    <row r="200" spans="1:14">
      <c r="C200" s="29">
        <v>6</v>
      </c>
      <c r="D200" s="34" t="s">
        <v>644</v>
      </c>
      <c r="E200" s="199">
        <v>3.8318473380983667E-2</v>
      </c>
      <c r="F200" s="199">
        <v>3.7094742459910242E-2</v>
      </c>
      <c r="G200" s="199">
        <v>3.8474854061990992E-2</v>
      </c>
      <c r="H200" s="199">
        <v>3.6894158527301789E-2</v>
      </c>
      <c r="I200" s="199">
        <v>3.542163130082239E-2</v>
      </c>
      <c r="J200" s="199">
        <v>3.4224336521240732E-2</v>
      </c>
      <c r="K200" s="199">
        <v>3.9725168097124203E-2</v>
      </c>
      <c r="L200" s="199">
        <v>3.7966802395488969E-2</v>
      </c>
      <c r="M200" s="199">
        <v>4.4106599314547176E-2</v>
      </c>
      <c r="N200" s="199">
        <v>3.0908061518468439E-2</v>
      </c>
    </row>
    <row r="201" spans="1:14">
      <c r="C201" s="29">
        <v>7</v>
      </c>
      <c r="D201" s="34" t="s">
        <v>645</v>
      </c>
      <c r="E201" s="199">
        <v>4.288970247895979E-2</v>
      </c>
      <c r="F201" s="199">
        <v>4.4023416897282133E-2</v>
      </c>
      <c r="G201" s="199">
        <v>4.2944392484444434E-2</v>
      </c>
      <c r="H201" s="199">
        <v>4.2955568160502514E-2</v>
      </c>
      <c r="I201" s="199">
        <v>4.0029714156502513E-2</v>
      </c>
      <c r="J201" s="199">
        <v>4.1868293642477634E-2</v>
      </c>
      <c r="K201" s="199">
        <v>4.1691925932763371E-2</v>
      </c>
      <c r="L201" s="199">
        <v>4.3596047125881089E-2</v>
      </c>
      <c r="M201" s="199">
        <v>4.715736435046626E-2</v>
      </c>
      <c r="N201" s="199">
        <v>4.0697696640755274E-2</v>
      </c>
    </row>
    <row r="202" spans="1:14">
      <c r="C202" s="29">
        <v>8</v>
      </c>
      <c r="D202" s="34" t="s">
        <v>646</v>
      </c>
      <c r="E202" s="199">
        <v>4.4928956958477435E-2</v>
      </c>
      <c r="F202" s="199">
        <v>4.3902926467942104E-2</v>
      </c>
      <c r="G202" s="199">
        <v>4.5091333809377403E-2</v>
      </c>
      <c r="H202" s="199">
        <v>4.7278389143889994E-2</v>
      </c>
      <c r="I202" s="199">
        <v>4.0546288238464859E-2</v>
      </c>
      <c r="J202" s="199">
        <v>4.5262247227312001E-2</v>
      </c>
      <c r="K202" s="199">
        <v>4.106768596294421E-2</v>
      </c>
      <c r="L202" s="199">
        <v>4.833430166067991E-2</v>
      </c>
      <c r="M202" s="199">
        <v>5.2359006711221318E-2</v>
      </c>
      <c r="N202" s="199">
        <v>5.041662087977717E-2</v>
      </c>
    </row>
    <row r="203" spans="1:14">
      <c r="C203" s="29">
        <v>9</v>
      </c>
      <c r="D203" s="34" t="s">
        <v>647</v>
      </c>
      <c r="E203" s="199">
        <v>4.4297891737510649E-2</v>
      </c>
      <c r="F203" s="199">
        <v>4.7795097857999867E-2</v>
      </c>
      <c r="G203" s="199">
        <v>4.7252329410408411E-2</v>
      </c>
      <c r="H203" s="199">
        <v>4.9633633893798358E-2</v>
      </c>
      <c r="I203" s="199">
        <v>4.1045027456931588E-2</v>
      </c>
      <c r="J203" s="199">
        <v>4.3428543184142465E-2</v>
      </c>
      <c r="K203" s="199">
        <v>4.3733647310515315E-2</v>
      </c>
      <c r="L203" s="199">
        <v>5.2383232595963919E-2</v>
      </c>
      <c r="M203" s="199">
        <v>5.3248783324427076E-2</v>
      </c>
      <c r="N203" s="199">
        <v>6.4322537182935749E-2</v>
      </c>
    </row>
    <row r="204" spans="1:14">
      <c r="C204" s="29">
        <v>10</v>
      </c>
      <c r="D204" s="34" t="s">
        <v>648</v>
      </c>
      <c r="E204" s="199">
        <v>4.2022227852726156E-2</v>
      </c>
      <c r="F204" s="199">
        <v>4.8812722164370118E-2</v>
      </c>
      <c r="G204" s="199">
        <v>4.8349035957654822E-2</v>
      </c>
      <c r="H204" s="199">
        <v>5.0777898484266039E-2</v>
      </c>
      <c r="I204" s="199">
        <v>4.4049883476237818E-2</v>
      </c>
      <c r="J204" s="199">
        <v>4.4740205633772775E-2</v>
      </c>
      <c r="K204" s="199">
        <v>4.7055725891018023E-2</v>
      </c>
      <c r="L204" s="199">
        <v>5.5072349753674379E-2</v>
      </c>
      <c r="M204" s="199">
        <v>5.3387472556728842E-2</v>
      </c>
      <c r="N204" s="199">
        <v>6.0627176867985653E-2</v>
      </c>
    </row>
    <row r="205" spans="1:14">
      <c r="C205" s="29">
        <v>11</v>
      </c>
      <c r="D205" s="34" t="s">
        <v>649</v>
      </c>
      <c r="E205" s="199">
        <v>4.2657510520687295E-2</v>
      </c>
      <c r="F205" s="199">
        <v>5.0118766304443389E-2</v>
      </c>
      <c r="G205" s="199">
        <v>4.8809956601250724E-2</v>
      </c>
      <c r="H205" s="199">
        <v>4.8526458446384618E-2</v>
      </c>
      <c r="I205" s="199">
        <v>4.7849027880509591E-2</v>
      </c>
      <c r="J205" s="199">
        <v>4.2713253312851751E-2</v>
      </c>
      <c r="K205" s="199">
        <v>4.7455768218479556E-2</v>
      </c>
      <c r="L205" s="199">
        <v>5.4419788890970738E-2</v>
      </c>
      <c r="M205" s="199">
        <v>5.2454783488752328E-2</v>
      </c>
      <c r="N205" s="199">
        <v>5.1514789563455857E-2</v>
      </c>
    </row>
    <row r="206" spans="1:14">
      <c r="C206" s="29">
        <v>12</v>
      </c>
      <c r="D206" s="34" t="s">
        <v>650</v>
      </c>
      <c r="E206" s="199">
        <v>4.1334522238496506E-2</v>
      </c>
      <c r="F206" s="199">
        <v>5.0259292399190879E-2</v>
      </c>
      <c r="G206" s="199">
        <v>4.900278334279163E-2</v>
      </c>
      <c r="H206" s="199">
        <v>5.0813416528975801E-2</v>
      </c>
      <c r="I206" s="199">
        <v>4.3119604257118214E-2</v>
      </c>
      <c r="J206" s="199">
        <v>4.3033131414130919E-2</v>
      </c>
      <c r="K206" s="199">
        <v>4.7453152203952388E-2</v>
      </c>
      <c r="L206" s="199">
        <v>5.5313937090973167E-2</v>
      </c>
      <c r="M206" s="199">
        <v>5.1038911326149308E-2</v>
      </c>
      <c r="N206" s="199">
        <v>5.2197054031714783E-2</v>
      </c>
    </row>
    <row r="207" spans="1:14">
      <c r="C207" s="29">
        <v>13</v>
      </c>
      <c r="D207" s="34" t="s">
        <v>651</v>
      </c>
      <c r="E207" s="199">
        <v>4.2437730516932025E-2</v>
      </c>
      <c r="F207" s="199">
        <v>4.8778071400501055E-2</v>
      </c>
      <c r="G207" s="199">
        <v>4.8082620274829603E-2</v>
      </c>
      <c r="H207" s="199">
        <v>4.8704834219105486E-2</v>
      </c>
      <c r="I207" s="199">
        <v>5.0810252180192625E-2</v>
      </c>
      <c r="J207" s="199">
        <v>4.0560413249978097E-2</v>
      </c>
      <c r="K207" s="199">
        <v>4.6488916968599796E-2</v>
      </c>
      <c r="L207" s="199">
        <v>5.4438431304095619E-2</v>
      </c>
      <c r="M207" s="199">
        <v>5.2823161834251876E-2</v>
      </c>
      <c r="N207" s="199">
        <v>5.3157384270650684E-2</v>
      </c>
    </row>
    <row r="208" spans="1:14">
      <c r="C208" s="29">
        <v>14</v>
      </c>
      <c r="D208" s="34" t="s">
        <v>652</v>
      </c>
      <c r="E208" s="199">
        <v>4.1104541835709323E-2</v>
      </c>
      <c r="F208" s="199">
        <v>4.8413907857501194E-2</v>
      </c>
      <c r="G208" s="199">
        <v>4.8424076331786518E-2</v>
      </c>
      <c r="H208" s="199">
        <v>4.9283054520423072E-2</v>
      </c>
      <c r="I208" s="199">
        <v>4.6486412461473899E-2</v>
      </c>
      <c r="J208" s="199">
        <v>4.0716844045999082E-2</v>
      </c>
      <c r="K208" s="199">
        <v>4.6666598061252576E-2</v>
      </c>
      <c r="L208" s="199">
        <v>5.4228487680331915E-2</v>
      </c>
      <c r="M208" s="199">
        <v>5.1498846857152322E-2</v>
      </c>
      <c r="N208" s="199">
        <v>5.4854684357128182E-2</v>
      </c>
    </row>
    <row r="209" spans="1:14">
      <c r="C209" s="29">
        <v>15</v>
      </c>
      <c r="D209" s="34" t="s">
        <v>653</v>
      </c>
      <c r="E209" s="199">
        <v>4.0612134199174046E-2</v>
      </c>
      <c r="F209" s="199">
        <v>4.7859519673587154E-2</v>
      </c>
      <c r="G209" s="199">
        <v>4.724859067490423E-2</v>
      </c>
      <c r="H209" s="199">
        <v>4.6348242813473536E-2</v>
      </c>
      <c r="I209" s="199">
        <v>4.1513511103396815E-2</v>
      </c>
      <c r="J209" s="199">
        <v>4.120673047722069E-2</v>
      </c>
      <c r="K209" s="199">
        <v>4.7432310710732693E-2</v>
      </c>
      <c r="L209" s="199">
        <v>5.2427495593246796E-2</v>
      </c>
      <c r="M209" s="199">
        <v>5.4222712933352103E-2</v>
      </c>
      <c r="N209" s="199">
        <v>5.3683893685231465E-2</v>
      </c>
    </row>
    <row r="210" spans="1:14">
      <c r="C210" s="29">
        <v>16</v>
      </c>
      <c r="D210" s="34" t="s">
        <v>654</v>
      </c>
      <c r="E210" s="199">
        <v>4.1142218407781657E-2</v>
      </c>
      <c r="F210" s="199">
        <v>4.6204612171716009E-2</v>
      </c>
      <c r="G210" s="199">
        <v>4.4938862084682382E-2</v>
      </c>
      <c r="H210" s="199">
        <v>4.1431490545326549E-2</v>
      </c>
      <c r="I210" s="199">
        <v>4.1227516328056379E-2</v>
      </c>
      <c r="J210" s="199">
        <v>4.423379381354535E-2</v>
      </c>
      <c r="K210" s="199">
        <v>4.5086057522659886E-2</v>
      </c>
      <c r="L210" s="199">
        <v>4.8362316215922234E-2</v>
      </c>
      <c r="M210" s="199">
        <v>4.6229213334292966E-2</v>
      </c>
      <c r="N210" s="199">
        <v>5.1764188759836217E-2</v>
      </c>
    </row>
    <row r="211" spans="1:14">
      <c r="C211" s="29">
        <v>17</v>
      </c>
      <c r="D211" s="34" t="s">
        <v>655</v>
      </c>
      <c r="E211" s="199">
        <v>4.3474901962252822E-2</v>
      </c>
      <c r="F211" s="199">
        <v>4.3415279765736309E-2</v>
      </c>
      <c r="G211" s="199">
        <v>4.3823202675478019E-2</v>
      </c>
      <c r="H211" s="199">
        <v>3.9797323824746898E-2</v>
      </c>
      <c r="I211" s="199">
        <v>4.1225764689677355E-2</v>
      </c>
      <c r="J211" s="199">
        <v>4.824153074581123E-2</v>
      </c>
      <c r="K211" s="199">
        <v>4.3534674285055364E-2</v>
      </c>
      <c r="L211" s="199">
        <v>4.6732034641372815E-2</v>
      </c>
      <c r="M211" s="199">
        <v>3.5422360462072408E-2</v>
      </c>
      <c r="N211" s="199">
        <v>4.2345546886571148E-2</v>
      </c>
    </row>
    <row r="212" spans="1:14">
      <c r="C212" s="29">
        <v>18</v>
      </c>
      <c r="D212" s="34" t="s">
        <v>656</v>
      </c>
      <c r="E212" s="199">
        <v>4.953872000692057E-2</v>
      </c>
      <c r="F212" s="199">
        <v>4.2538638275940482E-2</v>
      </c>
      <c r="G212" s="199">
        <v>4.4463297520394164E-2</v>
      </c>
      <c r="H212" s="199">
        <v>4.0826393240192264E-2</v>
      </c>
      <c r="I212" s="199">
        <v>3.9076185918897548E-2</v>
      </c>
      <c r="J212" s="199">
        <v>5.3118127492971887E-2</v>
      </c>
      <c r="K212" s="199">
        <v>4.3913979066894308E-2</v>
      </c>
      <c r="L212" s="199">
        <v>4.4508328383458542E-2</v>
      </c>
      <c r="M212" s="199">
        <v>3.5366470771443337E-2</v>
      </c>
      <c r="N212" s="199">
        <v>4.0750968691323101E-2</v>
      </c>
    </row>
    <row r="213" spans="1:14">
      <c r="C213" s="29">
        <v>19</v>
      </c>
      <c r="D213" s="34" t="s">
        <v>657</v>
      </c>
      <c r="E213" s="199">
        <v>5.2442222592108748E-2</v>
      </c>
      <c r="F213" s="199">
        <v>4.1415198733669015E-2</v>
      </c>
      <c r="G213" s="199">
        <v>4.3937619645205803E-2</v>
      </c>
      <c r="H213" s="199">
        <v>4.1519191499325522E-2</v>
      </c>
      <c r="I213" s="199">
        <v>4.3767073497950178E-2</v>
      </c>
      <c r="J213" s="199">
        <v>5.3895455383936933E-2</v>
      </c>
      <c r="K213" s="199">
        <v>4.1738147964276405E-2</v>
      </c>
      <c r="L213" s="199">
        <v>4.2786159067714311E-2</v>
      </c>
      <c r="M213" s="199">
        <v>3.5043313714088094E-2</v>
      </c>
      <c r="N213" s="199">
        <v>3.7806433734824632E-2</v>
      </c>
    </row>
    <row r="214" spans="1:14">
      <c r="C214" s="29">
        <v>20</v>
      </c>
      <c r="D214" s="34" t="s">
        <v>658</v>
      </c>
      <c r="E214" s="199">
        <v>5.2752983531246099E-2</v>
      </c>
      <c r="F214" s="199">
        <v>3.9378243423575272E-2</v>
      </c>
      <c r="G214" s="199">
        <v>4.2443751825873371E-2</v>
      </c>
      <c r="H214" s="199">
        <v>4.0342494950181308E-2</v>
      </c>
      <c r="I214" s="199">
        <v>4.7243120241216525E-2</v>
      </c>
      <c r="J214" s="199">
        <v>5.2134751696536669E-2</v>
      </c>
      <c r="K214" s="199">
        <v>4.0074570620195718E-2</v>
      </c>
      <c r="L214" s="199">
        <v>4.0900741298239819E-2</v>
      </c>
      <c r="M214" s="199">
        <v>3.4404244559273961E-2</v>
      </c>
      <c r="N214" s="199">
        <v>3.7775139391217509E-2</v>
      </c>
    </row>
    <row r="215" spans="1:14">
      <c r="C215" s="29">
        <v>21</v>
      </c>
      <c r="D215" s="34" t="s">
        <v>659</v>
      </c>
      <c r="E215" s="199">
        <v>5.104424441643271E-2</v>
      </c>
      <c r="F215" s="199">
        <v>3.8191692136220062E-2</v>
      </c>
      <c r="G215" s="199">
        <v>4.046076409619595E-2</v>
      </c>
      <c r="H215" s="199">
        <v>4.0676970565528638E-2</v>
      </c>
      <c r="I215" s="199">
        <v>4.4219155439593552E-2</v>
      </c>
      <c r="J215" s="199">
        <v>4.992631181137773E-2</v>
      </c>
      <c r="K215" s="199">
        <v>3.8664919931244907E-2</v>
      </c>
      <c r="L215" s="199">
        <v>3.785955758446586E-2</v>
      </c>
      <c r="M215" s="199">
        <v>3.3258028211714606E-2</v>
      </c>
      <c r="N215" s="199">
        <v>3.3914707385942863E-2</v>
      </c>
    </row>
    <row r="216" spans="1:14">
      <c r="C216" s="29">
        <v>22</v>
      </c>
      <c r="D216" s="34" t="s">
        <v>660</v>
      </c>
      <c r="E216" s="199">
        <v>4.5985824068229077E-2</v>
      </c>
      <c r="F216" s="199">
        <v>3.7564276535979838E-2</v>
      </c>
      <c r="G216" s="199">
        <v>3.8555499299573505E-2</v>
      </c>
      <c r="H216" s="199">
        <v>4.2207613127357109E-2</v>
      </c>
      <c r="I216" s="199">
        <v>4.1136590372199258E-2</v>
      </c>
      <c r="J216" s="199">
        <v>4.6378291855954622E-2</v>
      </c>
      <c r="K216" s="199">
        <v>3.8356282190838364E-2</v>
      </c>
      <c r="L216" s="199">
        <v>3.3741150552180889E-2</v>
      </c>
      <c r="M216" s="199">
        <v>3.4042633484007274E-2</v>
      </c>
      <c r="N216" s="199">
        <v>3.9187923727801319E-2</v>
      </c>
    </row>
    <row r="217" spans="1:14">
      <c r="C217" s="29">
        <v>23</v>
      </c>
      <c r="D217" s="34" t="s">
        <v>661</v>
      </c>
      <c r="E217" s="199">
        <v>4.0533380922018747E-2</v>
      </c>
      <c r="F217" s="199">
        <v>3.6758102416480323E-2</v>
      </c>
      <c r="G217" s="199">
        <v>3.6935123556525742E-2</v>
      </c>
      <c r="H217" s="199">
        <v>4.0647231918299297E-2</v>
      </c>
      <c r="I217" s="199">
        <v>4.2400636322451141E-2</v>
      </c>
      <c r="J217" s="199">
        <v>4.1186586800810998E-2</v>
      </c>
      <c r="K217" s="199">
        <v>3.8140521628445834E-2</v>
      </c>
      <c r="L217" s="199">
        <v>3.0424430953709943E-2</v>
      </c>
      <c r="M217" s="199">
        <v>3.3775764192000679E-2</v>
      </c>
      <c r="N217" s="199">
        <v>3.9327912165616347E-2</v>
      </c>
    </row>
    <row r="218" spans="1:14">
      <c r="C218" s="29">
        <v>24</v>
      </c>
      <c r="D218" s="34" t="s">
        <v>662</v>
      </c>
      <c r="E218" s="199">
        <v>3.6827965112701533E-2</v>
      </c>
      <c r="F218" s="199">
        <v>3.6289265442146564E-2</v>
      </c>
      <c r="G218" s="199">
        <v>3.4946602239117691E-2</v>
      </c>
      <c r="H218" s="199">
        <v>3.9542300897091542E-2</v>
      </c>
      <c r="I218" s="199">
        <v>3.7946856883978634E-2</v>
      </c>
      <c r="J218" s="199">
        <v>3.5454011751337708E-2</v>
      </c>
      <c r="K218" s="199">
        <v>3.9076691012579885E-2</v>
      </c>
      <c r="L218" s="199">
        <v>2.8553478881851491E-2</v>
      </c>
      <c r="M218" s="199">
        <v>3.428100062609192E-2</v>
      </c>
      <c r="N218" s="199">
        <v>3.7400801708527824E-2</v>
      </c>
    </row>
    <row r="219" spans="1:14">
      <c r="A219" s="16" t="s">
        <v>432</v>
      </c>
      <c r="B219" s="16" t="s">
        <v>309</v>
      </c>
      <c r="C219" s="29">
        <v>1</v>
      </c>
      <c r="D219" s="34" t="s">
        <v>663</v>
      </c>
      <c r="E219" s="199">
        <v>3.4380576924096379E-2</v>
      </c>
      <c r="F219" s="199">
        <v>3.4738202400961836E-2</v>
      </c>
      <c r="G219" s="199">
        <v>3.3921165862757667E-2</v>
      </c>
      <c r="H219" s="199">
        <v>3.5199849678745947E-2</v>
      </c>
      <c r="I219" s="199">
        <v>3.8373973236732931E-2</v>
      </c>
      <c r="J219" s="199">
        <v>3.4870334166649856E-2</v>
      </c>
      <c r="K219" s="199">
        <v>3.7840234799527951E-2</v>
      </c>
      <c r="L219" s="199">
        <v>2.7632347791200464E-2</v>
      </c>
      <c r="M219" s="199">
        <v>3.3831467819189116E-2</v>
      </c>
      <c r="N219" s="199">
        <v>4.2117484157114971E-2</v>
      </c>
    </row>
    <row r="220" spans="1:14">
      <c r="C220" s="29">
        <v>2</v>
      </c>
      <c r="D220" s="34" t="s">
        <v>664</v>
      </c>
      <c r="E220" s="199">
        <v>3.3945027995223663E-2</v>
      </c>
      <c r="F220" s="199">
        <v>3.4705079358563345E-2</v>
      </c>
      <c r="G220" s="199">
        <v>3.2922829460733986E-2</v>
      </c>
      <c r="H220" s="199">
        <v>3.4021451649716088E-2</v>
      </c>
      <c r="I220" s="199">
        <v>3.7516871927784468E-2</v>
      </c>
      <c r="J220" s="199">
        <v>3.4029559581430051E-2</v>
      </c>
      <c r="K220" s="199">
        <v>3.703851903472765E-2</v>
      </c>
      <c r="L220" s="199">
        <v>2.6526875379770297E-2</v>
      </c>
      <c r="M220" s="199">
        <v>3.3077716087328991E-2</v>
      </c>
      <c r="N220" s="199">
        <v>3.8795332791323973E-2</v>
      </c>
    </row>
    <row r="221" spans="1:14">
      <c r="C221" s="29">
        <v>3</v>
      </c>
      <c r="D221" s="34" t="s">
        <v>665</v>
      </c>
      <c r="E221" s="199">
        <v>3.3985157396155513E-2</v>
      </c>
      <c r="F221" s="199">
        <v>3.4221737008336459E-2</v>
      </c>
      <c r="G221" s="199">
        <v>3.3047490677606227E-2</v>
      </c>
      <c r="H221" s="199">
        <v>3.3974733516268098E-2</v>
      </c>
      <c r="I221" s="199">
        <v>3.9829799484526029E-2</v>
      </c>
      <c r="J221" s="199">
        <v>3.3836983221872986E-2</v>
      </c>
      <c r="K221" s="199">
        <v>3.7668973777817978E-2</v>
      </c>
      <c r="L221" s="199">
        <v>2.6250124867676923E-2</v>
      </c>
      <c r="M221" s="199">
        <v>3.2761486912468142E-2</v>
      </c>
      <c r="N221" s="199">
        <v>3.8947999767710281E-2</v>
      </c>
    </row>
    <row r="222" spans="1:14">
      <c r="C222" s="29">
        <v>4</v>
      </c>
      <c r="D222" s="34" t="s">
        <v>666</v>
      </c>
      <c r="E222" s="199">
        <v>3.3966720644341919E-2</v>
      </c>
      <c r="F222" s="199">
        <v>3.4797085195793817E-2</v>
      </c>
      <c r="G222" s="199">
        <v>3.3637664992390577E-2</v>
      </c>
      <c r="H222" s="199">
        <v>3.3951786063054663E-2</v>
      </c>
      <c r="I222" s="199">
        <v>4.1143485939882582E-2</v>
      </c>
      <c r="J222" s="199">
        <v>3.3972875104756849E-2</v>
      </c>
      <c r="K222" s="199">
        <v>3.843642365244896E-2</v>
      </c>
      <c r="L222" s="199">
        <v>2.6957246950833097E-2</v>
      </c>
      <c r="M222" s="199">
        <v>3.2749453838843298E-2</v>
      </c>
      <c r="N222" s="199">
        <v>4.3708351178507396E-2</v>
      </c>
    </row>
    <row r="223" spans="1:14">
      <c r="C223" s="29">
        <v>5</v>
      </c>
      <c r="D223" s="34" t="s">
        <v>667</v>
      </c>
      <c r="E223" s="199">
        <v>3.5406840554373133E-2</v>
      </c>
      <c r="F223" s="199">
        <v>3.5028840630586977E-2</v>
      </c>
      <c r="G223" s="199">
        <v>3.4822206633579107E-2</v>
      </c>
      <c r="H223" s="199">
        <v>3.4045222329950629E-2</v>
      </c>
      <c r="I223" s="199">
        <v>3.9116313467589592E-2</v>
      </c>
      <c r="J223" s="199">
        <v>3.6358037406740061E-2</v>
      </c>
      <c r="K223" s="199">
        <v>3.7987271906869589E-2</v>
      </c>
      <c r="L223" s="199">
        <v>3.1185011762655264E-2</v>
      </c>
      <c r="M223" s="199">
        <v>3.4991295675642242E-2</v>
      </c>
      <c r="N223" s="199">
        <v>4.2667811177491126E-2</v>
      </c>
    </row>
    <row r="224" spans="1:14">
      <c r="C224" s="29">
        <v>6</v>
      </c>
      <c r="D224" s="34" t="s">
        <v>668</v>
      </c>
      <c r="E224" s="199">
        <v>4.0081189119186934E-2</v>
      </c>
      <c r="F224" s="199">
        <v>3.7877116453312598E-2</v>
      </c>
      <c r="G224" s="199">
        <v>3.8285539079994262E-2</v>
      </c>
      <c r="H224" s="199">
        <v>3.7724995662622635E-2</v>
      </c>
      <c r="I224" s="199">
        <v>3.9063851260461913E-2</v>
      </c>
      <c r="J224" s="199">
        <v>3.8231833592012363E-2</v>
      </c>
      <c r="K224" s="199">
        <v>4.0626720565104232E-2</v>
      </c>
      <c r="L224" s="199">
        <v>3.9293136817377707E-2</v>
      </c>
      <c r="M224" s="199">
        <v>4.4270239409230645E-2</v>
      </c>
      <c r="N224" s="199">
        <v>4.1152483685276464E-2</v>
      </c>
    </row>
    <row r="225" spans="3:14">
      <c r="C225" s="29">
        <v>7</v>
      </c>
      <c r="D225" s="34" t="s">
        <v>669</v>
      </c>
      <c r="E225" s="199">
        <v>4.6491202938804377E-2</v>
      </c>
      <c r="F225" s="199">
        <v>4.4326758578012264E-2</v>
      </c>
      <c r="G225" s="199">
        <v>4.3727795394734786E-2</v>
      </c>
      <c r="H225" s="199">
        <v>4.4776603970382765E-2</v>
      </c>
      <c r="I225" s="199">
        <v>4.4340401686725546E-2</v>
      </c>
      <c r="J225" s="199">
        <v>4.4858913447770848E-2</v>
      </c>
      <c r="K225" s="199">
        <v>4.374443756655589E-2</v>
      </c>
      <c r="L225" s="199">
        <v>4.4771575775597358E-2</v>
      </c>
      <c r="M225" s="199">
        <v>4.8887490200064297E-2</v>
      </c>
      <c r="N225" s="199">
        <v>4.4895433329219872E-2</v>
      </c>
    </row>
    <row r="226" spans="3:14">
      <c r="C226" s="29">
        <v>8</v>
      </c>
      <c r="D226" s="34" t="s">
        <v>670</v>
      </c>
      <c r="E226" s="199">
        <v>4.760227456079065E-2</v>
      </c>
      <c r="F226" s="199">
        <v>4.6215642415584908E-2</v>
      </c>
      <c r="G226" s="199">
        <v>4.6803550205811228E-2</v>
      </c>
      <c r="H226" s="199">
        <v>4.7089563189568397E-2</v>
      </c>
      <c r="I226" s="199">
        <v>4.6484630458672169E-2</v>
      </c>
      <c r="J226" s="199">
        <v>4.8297139569887897E-2</v>
      </c>
      <c r="K226" s="199">
        <v>4.4085283096128289E-2</v>
      </c>
      <c r="L226" s="199">
        <v>4.9628008729498976E-2</v>
      </c>
      <c r="M226" s="199">
        <v>5.353610720281337E-2</v>
      </c>
      <c r="N226" s="199">
        <v>4.7877543390994419E-2</v>
      </c>
    </row>
    <row r="227" spans="3:14">
      <c r="C227" s="29">
        <v>9</v>
      </c>
      <c r="D227" s="34" t="s">
        <v>671</v>
      </c>
      <c r="E227" s="199">
        <v>4.4323196653946607E-2</v>
      </c>
      <c r="F227" s="199">
        <v>4.8536701971838479E-2</v>
      </c>
      <c r="G227" s="199">
        <v>4.7792485634732693E-2</v>
      </c>
      <c r="H227" s="199">
        <v>4.8906065063336009E-2</v>
      </c>
      <c r="I227" s="199">
        <v>4.6363147660292134E-2</v>
      </c>
      <c r="J227" s="199">
        <v>4.5804462151433363E-2</v>
      </c>
      <c r="K227" s="199">
        <v>4.4855470136224616E-2</v>
      </c>
      <c r="L227" s="199">
        <v>5.2734246262799878E-2</v>
      </c>
      <c r="M227" s="199">
        <v>5.2354379152363024E-2</v>
      </c>
      <c r="N227" s="199">
        <v>5.1179051822385475E-2</v>
      </c>
    </row>
    <row r="228" spans="3:14">
      <c r="C228" s="29">
        <v>10</v>
      </c>
      <c r="D228" s="34" t="s">
        <v>672</v>
      </c>
      <c r="E228" s="199">
        <v>4.3210031764651435E-2</v>
      </c>
      <c r="F228" s="199">
        <v>4.8100609359294381E-2</v>
      </c>
      <c r="G228" s="199">
        <v>4.8721063264013431E-2</v>
      </c>
      <c r="H228" s="199">
        <v>4.8536333227480064E-2</v>
      </c>
      <c r="I228" s="199">
        <v>4.6647755133959794E-2</v>
      </c>
      <c r="J228" s="199">
        <v>4.1629529064985328E-2</v>
      </c>
      <c r="K228" s="199">
        <v>4.6314995191484562E-2</v>
      </c>
      <c r="L228" s="199">
        <v>5.4142435089477067E-2</v>
      </c>
      <c r="M228" s="199">
        <v>5.1995552896870231E-2</v>
      </c>
      <c r="N228" s="199">
        <v>4.3006945099775699E-2</v>
      </c>
    </row>
    <row r="229" spans="3:14">
      <c r="C229" s="29">
        <v>11</v>
      </c>
      <c r="D229" s="34" t="s">
        <v>673</v>
      </c>
      <c r="E229" s="199">
        <v>4.0089287530418911E-2</v>
      </c>
      <c r="F229" s="199">
        <v>4.9977883664605899E-2</v>
      </c>
      <c r="G229" s="199">
        <v>5.0083151353351611E-2</v>
      </c>
      <c r="H229" s="199">
        <v>4.7961772218434236E-2</v>
      </c>
      <c r="I229" s="199">
        <v>4.1439569521359423E-2</v>
      </c>
      <c r="J229" s="199">
        <v>3.8676337417664748E-2</v>
      </c>
      <c r="K229" s="199">
        <v>4.8311860042160558E-2</v>
      </c>
      <c r="L229" s="199">
        <v>5.4543440159553522E-2</v>
      </c>
      <c r="M229" s="199">
        <v>5.1063631454871611E-2</v>
      </c>
      <c r="N229" s="199">
        <v>4.632886962013371E-2</v>
      </c>
    </row>
    <row r="230" spans="3:14">
      <c r="C230" s="29">
        <v>12</v>
      </c>
      <c r="D230" s="34" t="s">
        <v>674</v>
      </c>
      <c r="E230" s="199">
        <v>3.8233660726029156E-2</v>
      </c>
      <c r="F230" s="199">
        <v>5.0378853619265807E-2</v>
      </c>
      <c r="G230" s="199">
        <v>4.8039270693820683E-2</v>
      </c>
      <c r="H230" s="199">
        <v>4.9419450014375615E-2</v>
      </c>
      <c r="I230" s="199">
        <v>4.204714745765685E-2</v>
      </c>
      <c r="J230" s="199">
        <v>3.8585555137996025E-2</v>
      </c>
      <c r="K230" s="199">
        <v>4.7070008070532375E-2</v>
      </c>
      <c r="L230" s="199">
        <v>5.4636798579606946E-2</v>
      </c>
      <c r="M230" s="199">
        <v>4.8863905375759603E-2</v>
      </c>
      <c r="N230" s="199">
        <v>4.9042394689276202E-2</v>
      </c>
    </row>
    <row r="231" spans="3:14">
      <c r="C231" s="29">
        <v>13</v>
      </c>
      <c r="D231" s="34" t="s">
        <v>675</v>
      </c>
      <c r="E231" s="199">
        <v>3.787715197079064E-2</v>
      </c>
      <c r="F231" s="199">
        <v>4.7782258811526188E-2</v>
      </c>
      <c r="G231" s="199">
        <v>4.7351267899156238E-2</v>
      </c>
      <c r="H231" s="199">
        <v>4.7606549758825362E-2</v>
      </c>
      <c r="I231" s="199">
        <v>4.5625725761353687E-2</v>
      </c>
      <c r="J231" s="199">
        <v>3.7754347485817963E-2</v>
      </c>
      <c r="K231" s="199">
        <v>4.4811641274210744E-2</v>
      </c>
      <c r="L231" s="199">
        <v>5.3089564490618635E-2</v>
      </c>
      <c r="M231" s="199">
        <v>5.1508935399481606E-2</v>
      </c>
      <c r="N231" s="199">
        <v>4.3864420836388182E-2</v>
      </c>
    </row>
    <row r="232" spans="3:14">
      <c r="C232" s="29">
        <v>14</v>
      </c>
      <c r="D232" s="34" t="s">
        <v>676</v>
      </c>
      <c r="E232" s="199">
        <v>3.7652889710988E-2</v>
      </c>
      <c r="F232" s="199">
        <v>4.7713236789937274E-2</v>
      </c>
      <c r="G232" s="199">
        <v>4.6492011345490178E-2</v>
      </c>
      <c r="H232" s="199">
        <v>4.8519199815103213E-2</v>
      </c>
      <c r="I232" s="199">
        <v>4.1953699151210687E-2</v>
      </c>
      <c r="J232" s="199">
        <v>3.6509270379365494E-2</v>
      </c>
      <c r="K232" s="199">
        <v>4.5235268951825752E-2</v>
      </c>
      <c r="L232" s="199">
        <v>5.2686903367322541E-2</v>
      </c>
      <c r="M232" s="199">
        <v>5.2173080843082059E-2</v>
      </c>
      <c r="N232" s="199">
        <v>4.0418865555063556E-2</v>
      </c>
    </row>
    <row r="233" spans="3:14">
      <c r="C233" s="29">
        <v>15</v>
      </c>
      <c r="D233" s="34" t="s">
        <v>677</v>
      </c>
      <c r="E233" s="199">
        <v>3.6499483424293488E-2</v>
      </c>
      <c r="F233" s="199">
        <v>4.8011673519956666E-2</v>
      </c>
      <c r="G233" s="199">
        <v>4.6937250819897122E-2</v>
      </c>
      <c r="H233" s="199">
        <v>4.7146365854024971E-2</v>
      </c>
      <c r="I233" s="199">
        <v>3.8805474890358092E-2</v>
      </c>
      <c r="J233" s="199">
        <v>3.8118119357906551E-2</v>
      </c>
      <c r="K233" s="199">
        <v>4.5877852759384413E-2</v>
      </c>
      <c r="L233" s="199">
        <v>5.2678559893086216E-2</v>
      </c>
      <c r="M233" s="199">
        <v>5.3776848895801053E-2</v>
      </c>
      <c r="N233" s="199">
        <v>3.8709358372229767E-2</v>
      </c>
    </row>
    <row r="234" spans="3:14">
      <c r="C234" s="29">
        <v>16</v>
      </c>
      <c r="D234" s="34" t="s">
        <v>678</v>
      </c>
      <c r="E234" s="199">
        <v>3.8454792417907419E-2</v>
      </c>
      <c r="F234" s="199">
        <v>4.7083534348600846E-2</v>
      </c>
      <c r="G234" s="199">
        <v>4.5947427309845898E-2</v>
      </c>
      <c r="H234" s="199">
        <v>4.2807908001087483E-2</v>
      </c>
      <c r="I234" s="199">
        <v>4.4081861372224446E-2</v>
      </c>
      <c r="J234" s="199">
        <v>3.9813655055108456E-2</v>
      </c>
      <c r="K234" s="199">
        <v>4.5846426678385378E-2</v>
      </c>
      <c r="L234" s="199">
        <v>4.9391724067451771E-2</v>
      </c>
      <c r="M234" s="199">
        <v>4.6391028525363677E-2</v>
      </c>
      <c r="N234" s="199">
        <v>4.0079277941913051E-2</v>
      </c>
    </row>
    <row r="235" spans="3:14">
      <c r="C235" s="29">
        <v>17</v>
      </c>
      <c r="D235" s="34" t="s">
        <v>679</v>
      </c>
      <c r="E235" s="199">
        <v>4.276903234102792E-2</v>
      </c>
      <c r="F235" s="199">
        <v>4.3601980301552601E-2</v>
      </c>
      <c r="G235" s="199">
        <v>4.3867382718023686E-2</v>
      </c>
      <c r="H235" s="199">
        <v>3.9923783584318105E-2</v>
      </c>
      <c r="I235" s="199">
        <v>4.2190762749668875E-2</v>
      </c>
      <c r="J235" s="199">
        <v>4.5248629184920994E-2</v>
      </c>
      <c r="K235" s="199">
        <v>4.3317799006928989E-2</v>
      </c>
      <c r="L235" s="199">
        <v>4.6387441260993256E-2</v>
      </c>
      <c r="M235" s="199">
        <v>3.591631815542929E-2</v>
      </c>
      <c r="N235" s="199">
        <v>3.7170438954986604E-2</v>
      </c>
    </row>
    <row r="236" spans="3:14">
      <c r="C236" s="29">
        <v>18</v>
      </c>
      <c r="D236" s="34" t="s">
        <v>680</v>
      </c>
      <c r="E236" s="199">
        <v>4.8058806827820912E-2</v>
      </c>
      <c r="F236" s="199">
        <v>4.2765176508117356E-2</v>
      </c>
      <c r="G236" s="199">
        <v>4.4280143796827855E-2</v>
      </c>
      <c r="H236" s="199">
        <v>4.1836397212800282E-2</v>
      </c>
      <c r="I236" s="199">
        <v>4.0492298793910267E-2</v>
      </c>
      <c r="J236" s="199">
        <v>5.2770751137256544E-2</v>
      </c>
      <c r="K236" s="199">
        <v>4.2649964847952505E-2</v>
      </c>
      <c r="L236" s="199">
        <v>4.5252374799279391E-2</v>
      </c>
      <c r="M236" s="199">
        <v>3.6580624040011417E-2</v>
      </c>
      <c r="N236" s="199">
        <v>4.0237842899556474E-2</v>
      </c>
    </row>
    <row r="237" spans="3:14">
      <c r="C237" s="29">
        <v>19</v>
      </c>
      <c r="D237" s="34" t="s">
        <v>681</v>
      </c>
      <c r="E237" s="199">
        <v>5.3111439461050826E-2</v>
      </c>
      <c r="F237" s="199">
        <v>3.9735065063076988E-2</v>
      </c>
      <c r="G237" s="199">
        <v>4.2948250465901644E-2</v>
      </c>
      <c r="H237" s="199">
        <v>4.1685335054426627E-2</v>
      </c>
      <c r="I237" s="199">
        <v>3.7214722403608486E-2</v>
      </c>
      <c r="J237" s="199">
        <v>5.2724148858758375E-2</v>
      </c>
      <c r="K237" s="199">
        <v>4.0225383678747645E-2</v>
      </c>
      <c r="L237" s="199">
        <v>4.2536624501866141E-2</v>
      </c>
      <c r="M237" s="199">
        <v>3.5038304883269963E-2</v>
      </c>
      <c r="N237" s="199">
        <v>4.2446410034916046E-2</v>
      </c>
    </row>
    <row r="238" spans="3:14">
      <c r="C238" s="29">
        <v>20</v>
      </c>
      <c r="D238" s="34" t="s">
        <v>682</v>
      </c>
      <c r="E238" s="199">
        <v>5.3896422701632765E-2</v>
      </c>
      <c r="F238" s="199">
        <v>3.8189809265500647E-2</v>
      </c>
      <c r="G238" s="199">
        <v>4.0888403376344917E-2</v>
      </c>
      <c r="H238" s="199">
        <v>3.9866826564795073E-2</v>
      </c>
      <c r="I238" s="199">
        <v>3.5933496938912186E-2</v>
      </c>
      <c r="J238" s="199">
        <v>5.1762642871999033E-2</v>
      </c>
      <c r="K238" s="199">
        <v>3.677493000041468E-2</v>
      </c>
      <c r="L238" s="199">
        <v>3.9863590264217354E-2</v>
      </c>
      <c r="M238" s="199">
        <v>3.4089216256233235E-2</v>
      </c>
      <c r="N238" s="199">
        <v>4.1242314476731108E-2</v>
      </c>
    </row>
    <row r="239" spans="3:14">
      <c r="C239" s="29">
        <v>21</v>
      </c>
      <c r="D239" s="34" t="s">
        <v>683</v>
      </c>
      <c r="E239" s="199">
        <v>5.1600268458732453E-2</v>
      </c>
      <c r="F239" s="199">
        <v>3.7360086463373604E-2</v>
      </c>
      <c r="G239" s="199">
        <v>3.9603311920957236E-2</v>
      </c>
      <c r="H239" s="199">
        <v>3.9608641990299516E-2</v>
      </c>
      <c r="I239" s="199">
        <v>3.7599335959613282E-2</v>
      </c>
      <c r="J239" s="199">
        <v>5.1022116571267706E-2</v>
      </c>
      <c r="K239" s="199">
        <v>3.7169766118791067E-2</v>
      </c>
      <c r="L239" s="199">
        <v>3.6824669398050444E-2</v>
      </c>
      <c r="M239" s="199">
        <v>3.3785020154997222E-2</v>
      </c>
      <c r="N239" s="199">
        <v>3.9338173912412254E-2</v>
      </c>
    </row>
    <row r="240" spans="3:14">
      <c r="C240" s="29">
        <v>22</v>
      </c>
      <c r="D240" s="34" t="s">
        <v>684</v>
      </c>
      <c r="E240" s="199">
        <v>4.7530116836741486E-2</v>
      </c>
      <c r="F240" s="199">
        <v>3.6635096462921339E-2</v>
      </c>
      <c r="G240" s="199">
        <v>3.874716365124535E-2</v>
      </c>
      <c r="H240" s="199">
        <v>4.0340902425576676E-2</v>
      </c>
      <c r="I240" s="199">
        <v>4.3254761887977132E-2</v>
      </c>
      <c r="J240" s="199">
        <v>4.626411052239502E-2</v>
      </c>
      <c r="K240" s="199">
        <v>3.7878144541223013E-2</v>
      </c>
      <c r="L240" s="199">
        <v>3.3452312961493674E-2</v>
      </c>
      <c r="M240" s="199">
        <v>3.4320572151793544E-2</v>
      </c>
      <c r="N240" s="199">
        <v>3.3006917878323744E-2</v>
      </c>
    </row>
    <row r="241" spans="1:14">
      <c r="C241" s="29">
        <v>23</v>
      </c>
      <c r="D241" s="34" t="s">
        <v>685</v>
      </c>
      <c r="E241" s="199">
        <v>4.2659131807437287E-2</v>
      </c>
      <c r="F241" s="199">
        <v>3.6132110831158408E-2</v>
      </c>
      <c r="G241" s="199">
        <v>3.6664727583809412E-2</v>
      </c>
      <c r="H241" s="199">
        <v>3.8179365526586427E-2</v>
      </c>
      <c r="I241" s="199">
        <v>4.6161496051645115E-2</v>
      </c>
      <c r="J241" s="199">
        <v>4.042598126587342E-2</v>
      </c>
      <c r="K241" s="199">
        <v>3.8082097582959717E-2</v>
      </c>
      <c r="L241" s="199">
        <v>3.0631788854276389E-2</v>
      </c>
      <c r="M241" s="199">
        <v>3.4406969620419905E-2</v>
      </c>
      <c r="N241" s="199">
        <v>3.6961060620358741E-2</v>
      </c>
    </row>
    <row r="242" spans="1:14">
      <c r="C242" s="29">
        <v>24</v>
      </c>
      <c r="D242" s="34" t="s">
        <v>686</v>
      </c>
      <c r="E242" s="199">
        <v>3.8175297233558197E-2</v>
      </c>
      <c r="F242" s="199">
        <v>3.6085460978121327E-2</v>
      </c>
      <c r="G242" s="199">
        <v>3.4468445858974441E-2</v>
      </c>
      <c r="H242" s="199">
        <v>3.6870897628221211E-2</v>
      </c>
      <c r="I242" s="199">
        <v>4.4319416803874474E-2</v>
      </c>
      <c r="J242" s="199">
        <v>3.8434667446130014E-2</v>
      </c>
      <c r="K242" s="199">
        <v>3.815052671959341E-2</v>
      </c>
      <c r="L242" s="199">
        <v>2.8903197975296693E-2</v>
      </c>
      <c r="M242" s="199">
        <v>3.3630355048672587E-2</v>
      </c>
      <c r="N242" s="199">
        <v>3.6805217807910913E-2</v>
      </c>
    </row>
    <row r="243" spans="1:14">
      <c r="A243" s="16" t="s">
        <v>432</v>
      </c>
      <c r="B243" s="16" t="s">
        <v>310</v>
      </c>
      <c r="C243" s="29">
        <v>1</v>
      </c>
      <c r="D243" s="34" t="s">
        <v>687</v>
      </c>
      <c r="E243" s="199">
        <v>3.5982754381023163E-2</v>
      </c>
      <c r="F243" s="199">
        <v>3.4232833530549192E-2</v>
      </c>
      <c r="G243" s="199">
        <v>3.326645408463666E-2</v>
      </c>
      <c r="H243" s="199">
        <v>3.5113101343539926E-2</v>
      </c>
      <c r="I243" s="199">
        <v>3.8783639861146003E-2</v>
      </c>
      <c r="J243" s="199">
        <v>3.5235070901647216E-2</v>
      </c>
      <c r="K243" s="199">
        <v>3.8366318251605872E-2</v>
      </c>
      <c r="L243" s="199">
        <v>2.7402523711264861E-2</v>
      </c>
      <c r="M243" s="199">
        <v>3.3991586451453872E-2</v>
      </c>
      <c r="N243" s="199">
        <v>3.1759360266520764E-2</v>
      </c>
    </row>
    <row r="244" spans="1:14">
      <c r="C244" s="29">
        <v>2</v>
      </c>
      <c r="D244" s="34" t="s">
        <v>688</v>
      </c>
      <c r="E244" s="199">
        <v>3.5079730011240595E-2</v>
      </c>
      <c r="F244" s="199">
        <v>3.4475436339875924E-2</v>
      </c>
      <c r="G244" s="199">
        <v>3.2862015511310384E-2</v>
      </c>
      <c r="H244" s="199">
        <v>3.4096852724949327E-2</v>
      </c>
      <c r="I244" s="199">
        <v>3.7433342656074967E-2</v>
      </c>
      <c r="J244" s="199">
        <v>3.5004653868717185E-2</v>
      </c>
      <c r="K244" s="199">
        <v>3.8287825844912478E-2</v>
      </c>
      <c r="L244" s="199">
        <v>2.6388257909003787E-2</v>
      </c>
      <c r="M244" s="199">
        <v>3.489521795983324E-2</v>
      </c>
      <c r="N244" s="199">
        <v>3.5499579810634056E-2</v>
      </c>
    </row>
    <row r="245" spans="1:14">
      <c r="C245" s="29">
        <v>3</v>
      </c>
      <c r="D245" s="34" t="s">
        <v>689</v>
      </c>
      <c r="E245" s="199">
        <v>3.5142249942731595E-2</v>
      </c>
      <c r="F245" s="199">
        <v>3.4570532058205816E-2</v>
      </c>
      <c r="G245" s="199">
        <v>3.2837196625490672E-2</v>
      </c>
      <c r="H245" s="199">
        <v>3.4601932535336902E-2</v>
      </c>
      <c r="I245" s="199">
        <v>3.6779767767505522E-2</v>
      </c>
      <c r="J245" s="199">
        <v>3.5042040315897457E-2</v>
      </c>
      <c r="K245" s="199">
        <v>3.9148388674319294E-2</v>
      </c>
      <c r="L245" s="199">
        <v>2.5854155960739107E-2</v>
      </c>
      <c r="M245" s="199">
        <v>3.4319074363107667E-2</v>
      </c>
      <c r="N245" s="199">
        <v>3.7997530009385792E-2</v>
      </c>
    </row>
    <row r="246" spans="1:14">
      <c r="C246" s="29">
        <v>4</v>
      </c>
      <c r="D246" s="34" t="s">
        <v>690</v>
      </c>
      <c r="E246" s="199">
        <v>3.553272266768772E-2</v>
      </c>
      <c r="F246" s="199">
        <v>3.5519291307518304E-2</v>
      </c>
      <c r="G246" s="199">
        <v>3.3551231287715186E-2</v>
      </c>
      <c r="H246" s="199">
        <v>3.4786342183461397E-2</v>
      </c>
      <c r="I246" s="199">
        <v>3.9858755808218078E-2</v>
      </c>
      <c r="J246" s="199">
        <v>3.5024918831958955E-2</v>
      </c>
      <c r="K246" s="199">
        <v>4.052798812994024E-2</v>
      </c>
      <c r="L246" s="199">
        <v>2.6963655820695993E-2</v>
      </c>
      <c r="M246" s="199">
        <v>3.4830638342142964E-2</v>
      </c>
      <c r="N246" s="199">
        <v>3.8139146441620052E-2</v>
      </c>
    </row>
    <row r="247" spans="1:14">
      <c r="C247" s="29">
        <v>5</v>
      </c>
      <c r="D247" s="34" t="s">
        <v>691</v>
      </c>
      <c r="E247" s="199">
        <v>3.7730238144277659E-2</v>
      </c>
      <c r="F247" s="199">
        <v>3.5819379443502053E-2</v>
      </c>
      <c r="G247" s="199">
        <v>3.5354637090696618E-2</v>
      </c>
      <c r="H247" s="199">
        <v>3.5552737219423841E-2</v>
      </c>
      <c r="I247" s="199">
        <v>4.1858282117750271E-2</v>
      </c>
      <c r="J247" s="199">
        <v>3.6624923601664888E-2</v>
      </c>
      <c r="K247" s="199">
        <v>4.0182198651044561E-2</v>
      </c>
      <c r="L247" s="199">
        <v>3.1315431685026186E-2</v>
      </c>
      <c r="M247" s="199">
        <v>3.6867634088665231E-2</v>
      </c>
      <c r="N247" s="199">
        <v>3.4915838240846597E-2</v>
      </c>
    </row>
    <row r="248" spans="1:14">
      <c r="C248" s="29">
        <v>6</v>
      </c>
      <c r="D248" s="34" t="s">
        <v>692</v>
      </c>
      <c r="E248" s="199">
        <v>4.2337958677146487E-2</v>
      </c>
      <c r="F248" s="199">
        <v>3.8454012516135082E-2</v>
      </c>
      <c r="G248" s="199">
        <v>3.8338691340547758E-2</v>
      </c>
      <c r="H248" s="199">
        <v>3.7989410874622619E-2</v>
      </c>
      <c r="I248" s="199">
        <v>4.3217581304188443E-2</v>
      </c>
      <c r="J248" s="199">
        <v>3.8498877353519034E-2</v>
      </c>
      <c r="K248" s="199">
        <v>4.1256647271971134E-2</v>
      </c>
      <c r="L248" s="199">
        <v>3.9709344807279695E-2</v>
      </c>
      <c r="M248" s="199">
        <v>4.5220790224224122E-2</v>
      </c>
      <c r="N248" s="199">
        <v>3.392293201933895E-2</v>
      </c>
    </row>
    <row r="249" spans="1:14">
      <c r="C249" s="29">
        <v>7</v>
      </c>
      <c r="D249" s="34" t="s">
        <v>693</v>
      </c>
      <c r="E249" s="199">
        <v>4.8654409685775939E-2</v>
      </c>
      <c r="F249" s="199">
        <v>4.3700855058283757E-2</v>
      </c>
      <c r="G249" s="199">
        <v>4.3412739282468339E-2</v>
      </c>
      <c r="H249" s="199">
        <v>4.401081569749777E-2</v>
      </c>
      <c r="I249" s="199">
        <v>4.4668762783201567E-2</v>
      </c>
      <c r="J249" s="199">
        <v>4.5360369672327809E-2</v>
      </c>
      <c r="K249" s="199">
        <v>4.3952309622735858E-2</v>
      </c>
      <c r="L249" s="199">
        <v>4.4797509193219016E-2</v>
      </c>
      <c r="M249" s="199">
        <v>4.7160272358498359E-2</v>
      </c>
      <c r="N249" s="199">
        <v>3.5541405530587676E-2</v>
      </c>
    </row>
    <row r="250" spans="1:14">
      <c r="C250" s="29">
        <v>8</v>
      </c>
      <c r="D250" s="34" t="s">
        <v>694</v>
      </c>
      <c r="E250" s="199">
        <v>5.0112823138261736E-2</v>
      </c>
      <c r="F250" s="199">
        <v>4.4613114574054827E-2</v>
      </c>
      <c r="G250" s="199">
        <v>4.5944665235750193E-2</v>
      </c>
      <c r="H250" s="199">
        <v>4.765674385162167E-2</v>
      </c>
      <c r="I250" s="199">
        <v>4.6590064978784825E-2</v>
      </c>
      <c r="J250" s="199">
        <v>4.9306269219952847E-2</v>
      </c>
      <c r="K250" s="199">
        <v>4.3157139941612382E-2</v>
      </c>
      <c r="L250" s="199">
        <v>4.9370603466562128E-2</v>
      </c>
      <c r="M250" s="199">
        <v>5.2694713385269189E-2</v>
      </c>
      <c r="N250" s="199">
        <v>4.2105997740047252E-2</v>
      </c>
    </row>
    <row r="251" spans="1:14">
      <c r="C251" s="29">
        <v>9</v>
      </c>
      <c r="D251" s="34" t="s">
        <v>695</v>
      </c>
      <c r="E251" s="199">
        <v>4.6907701093736785E-2</v>
      </c>
      <c r="F251" s="199">
        <v>4.9832938895763339E-2</v>
      </c>
      <c r="G251" s="199">
        <v>4.7861994407452764E-2</v>
      </c>
      <c r="H251" s="199">
        <v>5.0749954741860767E-2</v>
      </c>
      <c r="I251" s="199">
        <v>4.7262264656389726E-2</v>
      </c>
      <c r="J251" s="199">
        <v>4.4483852381667049E-2</v>
      </c>
      <c r="K251" s="199">
        <v>4.5387383234379491E-2</v>
      </c>
      <c r="L251" s="199">
        <v>5.3628243503713764E-2</v>
      </c>
      <c r="M251" s="199">
        <v>5.2749952310126448E-2</v>
      </c>
      <c r="N251" s="199">
        <v>5.6411757846357324E-2</v>
      </c>
    </row>
    <row r="252" spans="1:14">
      <c r="C252" s="29">
        <v>10</v>
      </c>
      <c r="D252" s="34" t="s">
        <v>696</v>
      </c>
      <c r="E252" s="199">
        <v>4.3819445338154454E-2</v>
      </c>
      <c r="F252" s="199">
        <v>4.9598812161650414E-2</v>
      </c>
      <c r="G252" s="199">
        <v>4.8597014296152756E-2</v>
      </c>
      <c r="H252" s="199">
        <v>5.0285604698373045E-2</v>
      </c>
      <c r="I252" s="199">
        <v>5.0124739524565018E-2</v>
      </c>
      <c r="J252" s="199">
        <v>4.1237780392197873E-2</v>
      </c>
      <c r="K252" s="199">
        <v>4.6416036022754334E-2</v>
      </c>
      <c r="L252" s="199">
        <v>5.3988537992729381E-2</v>
      </c>
      <c r="M252" s="199">
        <v>5.095251312548519E-2</v>
      </c>
      <c r="N252" s="199">
        <v>5.545317599285509E-2</v>
      </c>
    </row>
    <row r="253" spans="1:14">
      <c r="C253" s="29">
        <v>11</v>
      </c>
      <c r="D253" s="34" t="s">
        <v>697</v>
      </c>
      <c r="E253" s="199">
        <v>4.0479425045701289E-2</v>
      </c>
      <c r="F253" s="199">
        <v>5.0236785883502416E-2</v>
      </c>
      <c r="G253" s="199">
        <v>4.9703586953999804E-2</v>
      </c>
      <c r="H253" s="199">
        <v>4.9045291193784347E-2</v>
      </c>
      <c r="I253" s="199">
        <v>4.5025893112956558E-2</v>
      </c>
      <c r="J253" s="199">
        <v>4.1246079177558521E-2</v>
      </c>
      <c r="K253" s="199">
        <v>4.7800259757262833E-2</v>
      </c>
      <c r="L253" s="199">
        <v>5.5418546445235604E-2</v>
      </c>
      <c r="M253" s="199">
        <v>5.1525113700791346E-2</v>
      </c>
      <c r="N253" s="199">
        <v>4.8338484640527278E-2</v>
      </c>
    </row>
    <row r="254" spans="1:14">
      <c r="C254" s="29">
        <v>12</v>
      </c>
      <c r="D254" s="34" t="s">
        <v>698</v>
      </c>
      <c r="E254" s="199">
        <v>3.9495740683333835E-2</v>
      </c>
      <c r="F254" s="199">
        <v>4.9502208286489373E-2</v>
      </c>
      <c r="G254" s="199">
        <v>4.7927847184494395E-2</v>
      </c>
      <c r="H254" s="199">
        <v>4.8405588246821972E-2</v>
      </c>
      <c r="I254" s="199">
        <v>4.4559962973919405E-2</v>
      </c>
      <c r="J254" s="199">
        <v>3.909235576771293E-2</v>
      </c>
      <c r="K254" s="199">
        <v>4.7243059937255576E-2</v>
      </c>
      <c r="L254" s="199">
        <v>5.4822257193930926E-2</v>
      </c>
      <c r="M254" s="199">
        <v>4.8830001725612471E-2</v>
      </c>
      <c r="N254" s="199">
        <v>4.4075898224384548E-2</v>
      </c>
    </row>
    <row r="255" spans="1:14">
      <c r="C255" s="29">
        <v>13</v>
      </c>
      <c r="D255" s="34" t="s">
        <v>699</v>
      </c>
      <c r="E255" s="199">
        <v>3.8389832386072791E-2</v>
      </c>
      <c r="F255" s="199">
        <v>4.8427254891165963E-2</v>
      </c>
      <c r="G255" s="199">
        <v>4.7994305604787485E-2</v>
      </c>
      <c r="H255" s="199">
        <v>4.6933841657198022E-2</v>
      </c>
      <c r="I255" s="199">
        <v>4.6084091543321423E-2</v>
      </c>
      <c r="J255" s="199">
        <v>3.6938145118575343E-2</v>
      </c>
      <c r="K255" s="199">
        <v>4.5338802520118536E-2</v>
      </c>
      <c r="L255" s="199">
        <v>5.404789236023054E-2</v>
      </c>
      <c r="M255" s="199">
        <v>5.1744942075223316E-2</v>
      </c>
      <c r="N255" s="199">
        <v>4.2169418261063879E-2</v>
      </c>
    </row>
    <row r="256" spans="1:14">
      <c r="C256" s="29">
        <v>14</v>
      </c>
      <c r="D256" s="34" t="s">
        <v>700</v>
      </c>
      <c r="E256" s="199">
        <v>3.6106446922607061E-2</v>
      </c>
      <c r="F256" s="199">
        <v>4.8504439785733697E-2</v>
      </c>
      <c r="G256" s="199">
        <v>4.7669481022174956E-2</v>
      </c>
      <c r="H256" s="199">
        <v>4.8616809952553915E-2</v>
      </c>
      <c r="I256" s="199">
        <v>4.2857657256078138E-2</v>
      </c>
      <c r="J256" s="199">
        <v>3.6550884185808423E-2</v>
      </c>
      <c r="K256" s="199">
        <v>4.5810221107230452E-2</v>
      </c>
      <c r="L256" s="199">
        <v>5.503694878016354E-2</v>
      </c>
      <c r="M256" s="199">
        <v>5.3206921550017099E-2</v>
      </c>
      <c r="N256" s="199">
        <v>4.3559896135826309E-2</v>
      </c>
    </row>
    <row r="257" spans="1:14">
      <c r="C257" s="29">
        <v>15</v>
      </c>
      <c r="D257" s="34" t="s">
        <v>701</v>
      </c>
      <c r="E257" s="199">
        <v>3.5361048609855797E-2</v>
      </c>
      <c r="F257" s="199">
        <v>4.8302650739953754E-2</v>
      </c>
      <c r="G257" s="199">
        <v>4.6307164574849805E-2</v>
      </c>
      <c r="H257" s="199">
        <v>4.6477064484942938E-2</v>
      </c>
      <c r="I257" s="199">
        <v>4.6901564575402933E-2</v>
      </c>
      <c r="J257" s="199">
        <v>3.6385783413668271E-2</v>
      </c>
      <c r="K257" s="199">
        <v>4.4541690298049726E-2</v>
      </c>
      <c r="L257" s="199">
        <v>5.2628516775914187E-2</v>
      </c>
      <c r="M257" s="199">
        <v>5.4075525460272701E-2</v>
      </c>
      <c r="N257" s="199">
        <v>4.4390727692513676E-2</v>
      </c>
    </row>
    <row r="258" spans="1:14">
      <c r="C258" s="29">
        <v>16</v>
      </c>
      <c r="D258" s="34" t="s">
        <v>702</v>
      </c>
      <c r="E258" s="199">
        <v>3.6555645458717839E-2</v>
      </c>
      <c r="F258" s="199">
        <v>4.6028525605656193E-2</v>
      </c>
      <c r="G258" s="199">
        <v>4.57144646064956E-2</v>
      </c>
      <c r="H258" s="199">
        <v>4.2787643489280235E-2</v>
      </c>
      <c r="I258" s="199">
        <v>4.1866508066240933E-2</v>
      </c>
      <c r="J258" s="199">
        <v>3.7432886847853397E-2</v>
      </c>
      <c r="K258" s="199">
        <v>4.417179955892974E-2</v>
      </c>
      <c r="L258" s="199">
        <v>4.8703216269156926E-2</v>
      </c>
      <c r="M258" s="199">
        <v>4.4566297540201E-2</v>
      </c>
      <c r="N258" s="199">
        <v>4.9530517659205409E-2</v>
      </c>
    </row>
    <row r="259" spans="1:14">
      <c r="C259" s="29">
        <v>17</v>
      </c>
      <c r="D259" s="34" t="s">
        <v>703</v>
      </c>
      <c r="E259" s="199">
        <v>3.9332145280616973E-2</v>
      </c>
      <c r="F259" s="199">
        <v>4.3080114074176834E-2</v>
      </c>
      <c r="G259" s="199">
        <v>4.5013217133744989E-2</v>
      </c>
      <c r="H259" s="199">
        <v>4.0445630724489423E-2</v>
      </c>
      <c r="I259" s="199">
        <v>3.8917427929050737E-2</v>
      </c>
      <c r="J259" s="199">
        <v>4.2578652445538358E-2</v>
      </c>
      <c r="K259" s="199">
        <v>4.2093813656894873E-2</v>
      </c>
      <c r="L259" s="199">
        <v>4.5584591037113611E-2</v>
      </c>
      <c r="M259" s="199">
        <v>3.490995370800945E-2</v>
      </c>
      <c r="N259" s="199">
        <v>4.2316717535683147E-2</v>
      </c>
    </row>
    <row r="260" spans="1:14">
      <c r="C260" s="29">
        <v>18</v>
      </c>
      <c r="D260" s="34" t="s">
        <v>704</v>
      </c>
      <c r="E260" s="199">
        <v>4.5529430853025646E-2</v>
      </c>
      <c r="F260" s="199">
        <v>4.1420673914385156E-2</v>
      </c>
      <c r="G260" s="199">
        <v>4.4664279208481969E-2</v>
      </c>
      <c r="H260" s="199">
        <v>4.0537682044405068E-2</v>
      </c>
      <c r="I260" s="199">
        <v>3.8918824788228397E-2</v>
      </c>
      <c r="J260" s="199">
        <v>5.1600427567672233E-2</v>
      </c>
      <c r="K260" s="199">
        <v>4.1141899831174278E-2</v>
      </c>
      <c r="L260" s="199">
        <v>4.4060346918290909E-2</v>
      </c>
      <c r="M260" s="199">
        <v>3.4524569605433826E-2</v>
      </c>
      <c r="N260" s="199">
        <v>4.1821400993406324E-2</v>
      </c>
    </row>
    <row r="261" spans="1:14">
      <c r="C261" s="29">
        <v>19</v>
      </c>
      <c r="D261" s="34" t="s">
        <v>705</v>
      </c>
      <c r="E261" s="199">
        <v>5.0341780766925873E-2</v>
      </c>
      <c r="F261" s="199">
        <v>3.9579986038676553E-2</v>
      </c>
      <c r="G261" s="199">
        <v>4.4348439374723422E-2</v>
      </c>
      <c r="H261" s="199">
        <v>4.0864543540581333E-2</v>
      </c>
      <c r="I261" s="199">
        <v>3.6719702822866157E-2</v>
      </c>
      <c r="J261" s="199">
        <v>5.3359088976946599E-2</v>
      </c>
      <c r="K261" s="199">
        <v>3.9260712236591444E-2</v>
      </c>
      <c r="L261" s="199">
        <v>4.2153332024525432E-2</v>
      </c>
      <c r="M261" s="199">
        <v>3.4435430407449868E-2</v>
      </c>
      <c r="N261" s="199">
        <v>4.0544352652648545E-2</v>
      </c>
    </row>
    <row r="262" spans="1:14">
      <c r="C262" s="29">
        <v>20</v>
      </c>
      <c r="D262" s="34" t="s">
        <v>706</v>
      </c>
      <c r="E262" s="199">
        <v>5.099545575913441E-2</v>
      </c>
      <c r="F262" s="199">
        <v>3.9319168435993777E-2</v>
      </c>
      <c r="G262" s="199">
        <v>4.2214458500113128E-2</v>
      </c>
      <c r="H262" s="199">
        <v>3.9604376833031384E-2</v>
      </c>
      <c r="I262" s="199">
        <v>3.7771848196794494E-2</v>
      </c>
      <c r="J262" s="199">
        <v>5.1118773190560143E-2</v>
      </c>
      <c r="K262" s="199">
        <v>3.7478920852149045E-2</v>
      </c>
      <c r="L262" s="199">
        <v>4.0525579679450724E-2</v>
      </c>
      <c r="M262" s="199">
        <v>3.4039417240615995E-2</v>
      </c>
      <c r="N262" s="199">
        <v>4.3149367601933719E-2</v>
      </c>
    </row>
    <row r="263" spans="1:14">
      <c r="C263" s="29">
        <v>21</v>
      </c>
      <c r="D263" s="34" t="s">
        <v>707</v>
      </c>
      <c r="E263" s="199">
        <v>4.9862258271128945E-2</v>
      </c>
      <c r="F263" s="199">
        <v>3.7490382138999183E-2</v>
      </c>
      <c r="G263" s="199">
        <v>4.1077016767676722E-2</v>
      </c>
      <c r="H263" s="199">
        <v>3.9871627552275066E-2</v>
      </c>
      <c r="I263" s="199">
        <v>4.1330734968320793E-2</v>
      </c>
      <c r="J263" s="199">
        <v>5.0450207534075343E-2</v>
      </c>
      <c r="K263" s="199">
        <v>3.7229055076571184E-2</v>
      </c>
      <c r="L263" s="199">
        <v>3.7332761488030962E-2</v>
      </c>
      <c r="M263" s="199">
        <v>3.4329139764867372E-2</v>
      </c>
      <c r="N263" s="199">
        <v>4.3939282693449079E-2</v>
      </c>
    </row>
    <row r="264" spans="1:14">
      <c r="C264" s="29">
        <v>22</v>
      </c>
      <c r="D264" s="34" t="s">
        <v>708</v>
      </c>
      <c r="E264" s="199">
        <v>4.6457890857891461E-2</v>
      </c>
      <c r="F264" s="199">
        <v>3.6257668524454771E-2</v>
      </c>
      <c r="G264" s="199">
        <v>3.7386120649680131E-2</v>
      </c>
      <c r="H264" s="199">
        <v>3.8824064087776528E-2</v>
      </c>
      <c r="I264" s="199">
        <v>3.9238860746487761E-2</v>
      </c>
      <c r="J264" s="199">
        <v>4.6850488883855602E-2</v>
      </c>
      <c r="K264" s="199">
        <v>3.7319494969609721E-2</v>
      </c>
      <c r="L264" s="199">
        <v>3.2633819981323337E-2</v>
      </c>
      <c r="M264" s="199">
        <v>3.3460696901039942E-2</v>
      </c>
      <c r="N264" s="199">
        <v>3.9075451552973074E-2</v>
      </c>
    </row>
    <row r="265" spans="1:14">
      <c r="C265" s="29">
        <v>23</v>
      </c>
      <c r="D265" s="34" t="s">
        <v>709</v>
      </c>
      <c r="E265" s="199">
        <v>4.2258975585558078E-2</v>
      </c>
      <c r="F265" s="199">
        <v>3.5576542811410795E-2</v>
      </c>
      <c r="G265" s="199">
        <v>3.492858891640882E-2</v>
      </c>
      <c r="H265" s="199">
        <v>3.7091206944773199E-2</v>
      </c>
      <c r="I265" s="199">
        <v>3.7269754925713487E-2</v>
      </c>
      <c r="J265" s="199">
        <v>4.2283773130362509E-2</v>
      </c>
      <c r="K265" s="199">
        <v>3.6684009030443089E-2</v>
      </c>
      <c r="L265" s="199">
        <v>2.9556041436586852E-2</v>
      </c>
      <c r="M265" s="199">
        <v>3.3205116219557483E-2</v>
      </c>
      <c r="N265" s="199">
        <v>3.8304858125566728E-2</v>
      </c>
    </row>
    <row r="266" spans="1:14">
      <c r="C266" s="29">
        <v>24</v>
      </c>
      <c r="D266" s="34" t="s">
        <v>710</v>
      </c>
      <c r="E266" s="199">
        <v>3.7533890439393917E-2</v>
      </c>
      <c r="F266" s="199">
        <v>3.5456392983862682E-2</v>
      </c>
      <c r="G266" s="199">
        <v>3.302439034014748E-2</v>
      </c>
      <c r="H266" s="199">
        <v>3.5651133377399259E-2</v>
      </c>
      <c r="I266" s="199">
        <v>3.5959966636794578E-2</v>
      </c>
      <c r="J266" s="199">
        <v>3.8293697220262123E-2</v>
      </c>
      <c r="K266" s="199">
        <v>3.7204025522443812E-2</v>
      </c>
      <c r="L266" s="199">
        <v>2.8077885559812461E-2</v>
      </c>
      <c r="M266" s="199">
        <v>3.3464481492101593E-2</v>
      </c>
      <c r="N266" s="199">
        <v>3.7036902332624959E-2</v>
      </c>
    </row>
    <row r="267" spans="1:14">
      <c r="A267" s="16" t="s">
        <v>432</v>
      </c>
      <c r="B267" s="16" t="s">
        <v>311</v>
      </c>
      <c r="C267" s="29">
        <v>1</v>
      </c>
      <c r="D267" s="34" t="s">
        <v>711</v>
      </c>
      <c r="E267" s="199">
        <v>3.5891787745627492E-2</v>
      </c>
      <c r="F267" s="199">
        <v>3.5307532190774822E-2</v>
      </c>
      <c r="G267" s="199">
        <v>3.2524198033169235E-2</v>
      </c>
      <c r="H267" s="199">
        <v>3.6236917212425106E-2</v>
      </c>
      <c r="I267" s="199">
        <v>3.6560518042083996E-2</v>
      </c>
      <c r="J267" s="199">
        <v>3.6431528678117178E-2</v>
      </c>
      <c r="K267" s="199">
        <v>3.7140275630251171E-2</v>
      </c>
      <c r="L267" s="199">
        <v>2.7297503810254472E-2</v>
      </c>
      <c r="M267" s="199">
        <v>3.3051273299771963E-2</v>
      </c>
      <c r="N267" s="199">
        <v>3.9800678948087094E-2</v>
      </c>
    </row>
    <row r="268" spans="1:14">
      <c r="C268" s="29">
        <v>2</v>
      </c>
      <c r="D268" s="34" t="s">
        <v>712</v>
      </c>
      <c r="E268" s="199">
        <v>3.5350372126893001E-2</v>
      </c>
      <c r="F268" s="199">
        <v>3.5152818887941875E-2</v>
      </c>
      <c r="G268" s="199">
        <v>3.2536181409230792E-2</v>
      </c>
      <c r="H268" s="199">
        <v>3.6229176891656729E-2</v>
      </c>
      <c r="I268" s="199">
        <v>3.8702301256218499E-2</v>
      </c>
      <c r="J268" s="199">
        <v>3.5436342370864966E-2</v>
      </c>
      <c r="K268" s="199">
        <v>3.7079032773900136E-2</v>
      </c>
      <c r="L268" s="199">
        <v>2.6502150947688152E-2</v>
      </c>
      <c r="M268" s="199">
        <v>3.4044977822981173E-2</v>
      </c>
      <c r="N268" s="199">
        <v>3.7532077308049583E-2</v>
      </c>
    </row>
    <row r="269" spans="1:14">
      <c r="C269" s="29">
        <v>3</v>
      </c>
      <c r="D269" s="34" t="s">
        <v>713</v>
      </c>
      <c r="E269" s="199">
        <v>3.5085224108840303E-2</v>
      </c>
      <c r="F269" s="199">
        <v>3.5479521084740971E-2</v>
      </c>
      <c r="G269" s="199">
        <v>3.2580917668183294E-2</v>
      </c>
      <c r="H269" s="199">
        <v>3.6346808705238626E-2</v>
      </c>
      <c r="I269" s="199">
        <v>4.059059586601791E-2</v>
      </c>
      <c r="J269" s="199">
        <v>3.3729100674824292E-2</v>
      </c>
      <c r="K269" s="199">
        <v>3.8023802473569797E-2</v>
      </c>
      <c r="L269" s="199">
        <v>2.6649862902735386E-2</v>
      </c>
      <c r="M269" s="199">
        <v>3.3520965916257223E-2</v>
      </c>
      <c r="N269" s="199">
        <v>3.7759731614984499E-2</v>
      </c>
    </row>
    <row r="270" spans="1:14">
      <c r="C270" s="29">
        <v>4</v>
      </c>
      <c r="D270" s="34" t="s">
        <v>714</v>
      </c>
      <c r="E270" s="199">
        <v>3.5447238649001372E-2</v>
      </c>
      <c r="F270" s="199">
        <v>3.6234773584261769E-2</v>
      </c>
      <c r="G270" s="199">
        <v>3.3422032344453671E-2</v>
      </c>
      <c r="H270" s="199">
        <v>3.6872308033594675E-2</v>
      </c>
      <c r="I270" s="199">
        <v>3.8368171996905349E-2</v>
      </c>
      <c r="J270" s="199">
        <v>3.4432912211945541E-2</v>
      </c>
      <c r="K270" s="199">
        <v>3.9089445328939584E-2</v>
      </c>
      <c r="L270" s="199">
        <v>2.7310460123364074E-2</v>
      </c>
      <c r="M270" s="199">
        <v>3.4323424629768499E-2</v>
      </c>
      <c r="N270" s="199">
        <v>3.3862033989758643E-2</v>
      </c>
    </row>
    <row r="271" spans="1:14">
      <c r="C271" s="29">
        <v>5</v>
      </c>
      <c r="D271" s="34" t="s">
        <v>715</v>
      </c>
      <c r="E271" s="199">
        <v>3.725463392038475E-2</v>
      </c>
      <c r="F271" s="199">
        <v>3.5960960184907353E-2</v>
      </c>
      <c r="G271" s="199">
        <v>3.4943996629751006E-2</v>
      </c>
      <c r="H271" s="199">
        <v>3.7140481187834889E-2</v>
      </c>
      <c r="I271" s="199">
        <v>3.992917958478371E-2</v>
      </c>
      <c r="J271" s="199">
        <v>3.5935379392909285E-2</v>
      </c>
      <c r="K271" s="199">
        <v>3.9030140971963237E-2</v>
      </c>
      <c r="L271" s="199">
        <v>3.1133308928532381E-2</v>
      </c>
      <c r="M271" s="199">
        <v>3.4932703315531811E-2</v>
      </c>
      <c r="N271" s="199">
        <v>2.5866779434962892E-2</v>
      </c>
    </row>
    <row r="272" spans="1:14">
      <c r="C272" s="29">
        <v>6</v>
      </c>
      <c r="D272" s="34" t="s">
        <v>716</v>
      </c>
      <c r="E272" s="199">
        <v>4.0731244087249097E-2</v>
      </c>
      <c r="F272" s="199">
        <v>3.8263510916497954E-2</v>
      </c>
      <c r="G272" s="199">
        <v>3.7725782555209107E-2</v>
      </c>
      <c r="H272" s="199">
        <v>3.8766369791139288E-2</v>
      </c>
      <c r="I272" s="199">
        <v>4.3401940882091462E-2</v>
      </c>
      <c r="J272" s="199">
        <v>3.8405063238862176E-2</v>
      </c>
      <c r="K272" s="199">
        <v>3.9744057697426761E-2</v>
      </c>
      <c r="L272" s="199">
        <v>3.8445924443175614E-2</v>
      </c>
      <c r="M272" s="199">
        <v>4.3570679349764246E-2</v>
      </c>
      <c r="N272" s="199">
        <v>2.762404126543146E-2</v>
      </c>
    </row>
    <row r="273" spans="3:14">
      <c r="C273" s="29">
        <v>7</v>
      </c>
      <c r="D273" s="34" t="s">
        <v>717</v>
      </c>
      <c r="E273" s="199">
        <v>4.6401395529443924E-2</v>
      </c>
      <c r="F273" s="199">
        <v>4.3820339327538649E-2</v>
      </c>
      <c r="G273" s="199">
        <v>4.2757642443713231E-2</v>
      </c>
      <c r="H273" s="199">
        <v>4.4349194619624041E-2</v>
      </c>
      <c r="I273" s="199">
        <v>4.883386281933088E-2</v>
      </c>
      <c r="J273" s="199">
        <v>4.6496846896604167E-2</v>
      </c>
      <c r="K273" s="199">
        <v>4.2112440752039626E-2</v>
      </c>
      <c r="L273" s="199">
        <v>4.3752945127242981E-2</v>
      </c>
      <c r="M273" s="199">
        <v>4.7624075050884035E-2</v>
      </c>
      <c r="N273" s="199">
        <v>3.5198400066707998E-2</v>
      </c>
    </row>
    <row r="274" spans="3:14">
      <c r="C274" s="29">
        <v>8</v>
      </c>
      <c r="D274" s="34" t="s">
        <v>718</v>
      </c>
      <c r="E274" s="199">
        <v>4.808056694924645E-2</v>
      </c>
      <c r="F274" s="199">
        <v>4.5662797642268861E-2</v>
      </c>
      <c r="G274" s="199">
        <v>4.6380033248455903E-2</v>
      </c>
      <c r="H274" s="199">
        <v>4.6108143022803777E-2</v>
      </c>
      <c r="I274" s="199">
        <v>4.8521237734678556E-2</v>
      </c>
      <c r="J274" s="199">
        <v>4.850340463907598E-2</v>
      </c>
      <c r="K274" s="199">
        <v>4.3240355755463825E-2</v>
      </c>
      <c r="L274" s="199">
        <v>4.9856579355595433E-2</v>
      </c>
      <c r="M274" s="199">
        <v>5.3816796507769313E-2</v>
      </c>
      <c r="N274" s="199">
        <v>4.0880933929734665E-2</v>
      </c>
    </row>
    <row r="275" spans="3:14">
      <c r="C275" s="29">
        <v>9</v>
      </c>
      <c r="D275" s="34" t="s">
        <v>719</v>
      </c>
      <c r="E275" s="199">
        <v>4.6208788283085528E-2</v>
      </c>
      <c r="F275" s="199">
        <v>4.9510640560510799E-2</v>
      </c>
      <c r="G275" s="199">
        <v>4.746578124622667E-2</v>
      </c>
      <c r="H275" s="199">
        <v>4.6741796220943717E-2</v>
      </c>
      <c r="I275" s="199">
        <v>4.7203944126289456E-2</v>
      </c>
      <c r="J275" s="199">
        <v>4.4010516097123656E-2</v>
      </c>
      <c r="K275" s="199">
        <v>4.4490241825738401E-2</v>
      </c>
      <c r="L275" s="199">
        <v>5.2776530410189398E-2</v>
      </c>
      <c r="M275" s="199">
        <v>5.2949702674419126E-2</v>
      </c>
      <c r="N275" s="199">
        <v>4.2396643951972873E-2</v>
      </c>
    </row>
    <row r="276" spans="3:14">
      <c r="C276" s="29">
        <v>10</v>
      </c>
      <c r="D276" s="34" t="s">
        <v>720</v>
      </c>
      <c r="E276" s="199">
        <v>4.2855156228845122E-2</v>
      </c>
      <c r="F276" s="199">
        <v>4.9587885109389183E-2</v>
      </c>
      <c r="G276" s="199">
        <v>4.9195107028950545E-2</v>
      </c>
      <c r="H276" s="199">
        <v>4.7856402411589075E-2</v>
      </c>
      <c r="I276" s="199">
        <v>4.435056822337885E-2</v>
      </c>
      <c r="J276" s="199">
        <v>4.3119144990808787E-2</v>
      </c>
      <c r="K276" s="199">
        <v>4.6534037741690765E-2</v>
      </c>
      <c r="L276" s="199">
        <v>5.4754277904977652E-2</v>
      </c>
      <c r="M276" s="199">
        <v>5.2556250486073021E-2</v>
      </c>
      <c r="N276" s="199">
        <v>4.064798533659196E-2</v>
      </c>
    </row>
    <row r="277" spans="3:14">
      <c r="C277" s="29">
        <v>11</v>
      </c>
      <c r="D277" s="34" t="s">
        <v>721</v>
      </c>
      <c r="E277" s="199">
        <v>4.0510795300947415E-2</v>
      </c>
      <c r="F277" s="199">
        <v>5.1137956404243352E-2</v>
      </c>
      <c r="G277" s="199">
        <v>5.0217967477557933E-2</v>
      </c>
      <c r="H277" s="199">
        <v>4.6708096865217479E-2</v>
      </c>
      <c r="I277" s="199">
        <v>4.6684096994905624E-2</v>
      </c>
      <c r="J277" s="199">
        <v>4.1322144577549236E-2</v>
      </c>
      <c r="K277" s="199">
        <v>4.7757196537400945E-2</v>
      </c>
      <c r="L277" s="199">
        <v>5.5383308154648557E-2</v>
      </c>
      <c r="M277" s="199">
        <v>5.1360420176634405E-2</v>
      </c>
      <c r="N277" s="199">
        <v>4.3391528568519862E-2</v>
      </c>
    </row>
    <row r="278" spans="3:14">
      <c r="C278" s="29">
        <v>12</v>
      </c>
      <c r="D278" s="34" t="s">
        <v>722</v>
      </c>
      <c r="E278" s="199">
        <v>4.0351650599441971E-2</v>
      </c>
      <c r="F278" s="199">
        <v>4.999157224918898E-2</v>
      </c>
      <c r="G278" s="199">
        <v>4.8781951187794555E-2</v>
      </c>
      <c r="H278" s="199">
        <v>4.7206794674722496E-2</v>
      </c>
      <c r="I278" s="199">
        <v>4.5885347234587572E-2</v>
      </c>
      <c r="J278" s="199">
        <v>3.8500385096162999E-2</v>
      </c>
      <c r="K278" s="199">
        <v>4.7570362938375972E-2</v>
      </c>
      <c r="L278" s="199">
        <v>5.5145800711633615E-2</v>
      </c>
      <c r="M278" s="199">
        <v>4.8311447790417801E-2</v>
      </c>
      <c r="N278" s="199">
        <v>5.2361593571324722E-2</v>
      </c>
    </row>
    <row r="279" spans="3:14">
      <c r="C279" s="29">
        <v>13</v>
      </c>
      <c r="D279" s="34" t="s">
        <v>723</v>
      </c>
      <c r="E279" s="199">
        <v>3.8166948034956696E-2</v>
      </c>
      <c r="F279" s="199">
        <v>4.8410997263706845E-2</v>
      </c>
      <c r="G279" s="199">
        <v>4.9706829914486834E-2</v>
      </c>
      <c r="H279" s="199">
        <v>4.6953207022882547E-2</v>
      </c>
      <c r="I279" s="199">
        <v>4.3383857826126686E-2</v>
      </c>
      <c r="J279" s="199">
        <v>3.8656407818766191E-2</v>
      </c>
      <c r="K279" s="199">
        <v>4.7128625249009244E-2</v>
      </c>
      <c r="L279" s="199">
        <v>5.5050088756985797E-2</v>
      </c>
      <c r="M279" s="199">
        <v>5.2263700006004145E-2</v>
      </c>
      <c r="N279" s="199">
        <v>6.1717259086263541E-2</v>
      </c>
    </row>
    <row r="280" spans="3:14">
      <c r="C280" s="29">
        <v>14</v>
      </c>
      <c r="D280" s="34" t="s">
        <v>724</v>
      </c>
      <c r="E280" s="199">
        <v>3.7469956733459132E-2</v>
      </c>
      <c r="F280" s="199">
        <v>4.8213260186781237E-2</v>
      </c>
      <c r="G280" s="199">
        <v>4.8435075248584078E-2</v>
      </c>
      <c r="H280" s="199">
        <v>4.8030954543202338E-2</v>
      </c>
      <c r="I280" s="199">
        <v>4.4794662012207526E-2</v>
      </c>
      <c r="J280" s="199">
        <v>3.7428015528613738E-2</v>
      </c>
      <c r="K280" s="199">
        <v>4.6435362977060184E-2</v>
      </c>
      <c r="L280" s="199">
        <v>5.5286772388184524E-2</v>
      </c>
      <c r="M280" s="199">
        <v>5.1585756579464327E-2</v>
      </c>
      <c r="N280" s="199">
        <v>5.8574879626682216E-2</v>
      </c>
    </row>
    <row r="281" spans="3:14">
      <c r="C281" s="29">
        <v>15</v>
      </c>
      <c r="D281" s="34" t="s">
        <v>725</v>
      </c>
      <c r="E281" s="199">
        <v>3.693689277826942E-2</v>
      </c>
      <c r="F281" s="199">
        <v>4.775274296030281E-2</v>
      </c>
      <c r="G281" s="199">
        <v>4.75541901136304E-2</v>
      </c>
      <c r="H281" s="199">
        <v>4.5033028264650096E-2</v>
      </c>
      <c r="I281" s="199">
        <v>4.0726788972203082E-2</v>
      </c>
      <c r="J281" s="199">
        <v>3.7503675295395972E-2</v>
      </c>
      <c r="K281" s="199">
        <v>4.7525382890938328E-2</v>
      </c>
      <c r="L281" s="199">
        <v>5.2884075298197421E-2</v>
      </c>
      <c r="M281" s="199">
        <v>5.3007648623501637E-2</v>
      </c>
      <c r="N281" s="199">
        <v>4.9061047311285709E-2</v>
      </c>
    </row>
    <row r="282" spans="3:14">
      <c r="C282" s="29">
        <v>16</v>
      </c>
      <c r="D282" s="34" t="s">
        <v>726</v>
      </c>
      <c r="E282" s="199">
        <v>3.8323087947379257E-2</v>
      </c>
      <c r="F282" s="199">
        <v>4.5309603845678746E-2</v>
      </c>
      <c r="G282" s="199">
        <v>4.591168716324328E-2</v>
      </c>
      <c r="H282" s="199">
        <v>4.1204886764635962E-2</v>
      </c>
      <c r="I282" s="199">
        <v>3.9586253163109326E-2</v>
      </c>
      <c r="J282" s="199">
        <v>4.0173414542367746E-2</v>
      </c>
      <c r="K282" s="199">
        <v>4.5891450931271387E-2</v>
      </c>
      <c r="L282" s="199">
        <v>4.9558883722007757E-2</v>
      </c>
      <c r="M282" s="199">
        <v>4.4531743943378992E-2</v>
      </c>
      <c r="N282" s="199">
        <v>4.6974216164382285E-2</v>
      </c>
    </row>
    <row r="283" spans="3:14">
      <c r="C283" s="29">
        <v>17</v>
      </c>
      <c r="D283" s="34" t="s">
        <v>727</v>
      </c>
      <c r="E283" s="199">
        <v>4.2291387002044135E-2</v>
      </c>
      <c r="F283" s="199">
        <v>4.3079931564114556E-2</v>
      </c>
      <c r="G283" s="199">
        <v>4.4473744973755738E-2</v>
      </c>
      <c r="H283" s="199">
        <v>3.9120055060534835E-2</v>
      </c>
      <c r="I283" s="199">
        <v>3.9911422349647126E-2</v>
      </c>
      <c r="J283" s="199">
        <v>4.3501982455225734E-2</v>
      </c>
      <c r="K283" s="199">
        <v>4.4068832647513406E-2</v>
      </c>
      <c r="L283" s="199">
        <v>4.5617356087315271E-2</v>
      </c>
      <c r="M283" s="199">
        <v>3.5222916615456901E-2</v>
      </c>
      <c r="N283" s="199">
        <v>5.3316550446054635E-2</v>
      </c>
    </row>
    <row r="284" spans="3:14">
      <c r="C284" s="29">
        <v>18</v>
      </c>
      <c r="D284" s="34" t="s">
        <v>728</v>
      </c>
      <c r="E284" s="199">
        <v>4.7812533907840488E-2</v>
      </c>
      <c r="F284" s="199">
        <v>4.1285417734885851E-2</v>
      </c>
      <c r="G284" s="199">
        <v>4.4298343341686634E-2</v>
      </c>
      <c r="H284" s="199">
        <v>4.1275339480201123E-2</v>
      </c>
      <c r="I284" s="199">
        <v>3.7867548294384983E-2</v>
      </c>
      <c r="J284" s="199">
        <v>4.9768589032193951E-2</v>
      </c>
      <c r="K284" s="199">
        <v>4.2797245677159257E-2</v>
      </c>
      <c r="L284" s="199">
        <v>4.3377598988978201E-2</v>
      </c>
      <c r="M284" s="199">
        <v>3.5271997398476716E-2</v>
      </c>
      <c r="N284" s="199">
        <v>5.1773927802260172E-2</v>
      </c>
    </row>
    <row r="285" spans="3:14">
      <c r="C285" s="29">
        <v>19</v>
      </c>
      <c r="D285" s="34" t="s">
        <v>729</v>
      </c>
      <c r="E285" s="199">
        <v>5.0502842137906949E-2</v>
      </c>
      <c r="F285" s="199">
        <v>3.9400832466367698E-2</v>
      </c>
      <c r="G285" s="199">
        <v>4.3789289023088429E-2</v>
      </c>
      <c r="H285" s="199">
        <v>4.2366672053298055E-2</v>
      </c>
      <c r="I285" s="199">
        <v>3.5813085062206526E-2</v>
      </c>
      <c r="J285" s="199">
        <v>5.2003304526442022E-2</v>
      </c>
      <c r="K285" s="199">
        <v>3.9439044255992185E-2</v>
      </c>
      <c r="L285" s="199">
        <v>4.2413839019981484E-2</v>
      </c>
      <c r="M285" s="199">
        <v>3.6221053721697455E-2</v>
      </c>
      <c r="N285" s="199">
        <v>4.3418441190076124E-2</v>
      </c>
    </row>
    <row r="286" spans="3:14">
      <c r="C286" s="29">
        <v>20</v>
      </c>
      <c r="D286" s="34" t="s">
        <v>730</v>
      </c>
      <c r="E286" s="199">
        <v>5.039049123769037E-2</v>
      </c>
      <c r="F286" s="199">
        <v>3.8167999554044298E-2</v>
      </c>
      <c r="G286" s="199">
        <v>4.1409399348568812E-2</v>
      </c>
      <c r="H286" s="199">
        <v>4.0222971787162665E-2</v>
      </c>
      <c r="I286" s="199">
        <v>3.713461434136215E-2</v>
      </c>
      <c r="J286" s="199">
        <v>5.2683451484855967E-2</v>
      </c>
      <c r="K286" s="199">
        <v>3.7154548475204698E-2</v>
      </c>
      <c r="L286" s="199">
        <v>4.0016459260808143E-2</v>
      </c>
      <c r="M286" s="199">
        <v>3.5747089707018342E-2</v>
      </c>
      <c r="N286" s="199">
        <v>3.5689886302997728E-2</v>
      </c>
    </row>
    <row r="287" spans="3:14">
      <c r="C287" s="29">
        <v>21</v>
      </c>
      <c r="D287" s="34" t="s">
        <v>731</v>
      </c>
      <c r="E287" s="199">
        <v>4.9440945949973739E-2</v>
      </c>
      <c r="F287" s="199">
        <v>3.6150814683365083E-2</v>
      </c>
      <c r="G287" s="199">
        <v>3.9345206177855814E-2</v>
      </c>
      <c r="H287" s="199">
        <v>3.9527396022875756E-2</v>
      </c>
      <c r="I287" s="199">
        <v>4.1712885708732793E-2</v>
      </c>
      <c r="J287" s="199">
        <v>5.0256000790135764E-2</v>
      </c>
      <c r="K287" s="199">
        <v>3.7145542172800125E-2</v>
      </c>
      <c r="L287" s="199">
        <v>3.6883477959738668E-2</v>
      </c>
      <c r="M287" s="199">
        <v>3.4533932027548099E-2</v>
      </c>
      <c r="N287" s="199">
        <v>3.6046588836247499E-2</v>
      </c>
    </row>
    <row r="288" spans="3:14">
      <c r="C288" s="29">
        <v>22</v>
      </c>
      <c r="D288" s="34" t="s">
        <v>732</v>
      </c>
      <c r="E288" s="199">
        <v>4.6291722058649287E-2</v>
      </c>
      <c r="F288" s="199">
        <v>3.6024823230817807E-2</v>
      </c>
      <c r="G288" s="199">
        <v>3.7294752350599945E-2</v>
      </c>
      <c r="H288" s="199">
        <v>4.0267202191553345E-2</v>
      </c>
      <c r="I288" s="199">
        <v>4.153938611771938E-2</v>
      </c>
      <c r="J288" s="199">
        <v>4.5559919618358827E-2</v>
      </c>
      <c r="K288" s="199">
        <v>3.6822619055726757E-2</v>
      </c>
      <c r="L288" s="199">
        <v>3.2673475046939807E-2</v>
      </c>
      <c r="M288" s="199">
        <v>3.4228567352897678E-2</v>
      </c>
      <c r="N288" s="199">
        <v>3.3327090487513311E-2</v>
      </c>
    </row>
    <row r="289" spans="1:14">
      <c r="C289" s="29">
        <v>23</v>
      </c>
      <c r="D289" s="34" t="s">
        <v>733</v>
      </c>
      <c r="E289" s="199">
        <v>4.1300245745703706E-2</v>
      </c>
      <c r="F289" s="199">
        <v>3.5111482552054159E-2</v>
      </c>
      <c r="G289" s="199">
        <v>3.5772410437905716E-2</v>
      </c>
      <c r="H289" s="199">
        <v>3.8542900938479667E-2</v>
      </c>
      <c r="I289" s="199">
        <v>4.0471671263727034E-2</v>
      </c>
      <c r="J289" s="199">
        <v>3.9873259778252491E-2</v>
      </c>
      <c r="K289" s="199">
        <v>3.7192254861271805E-2</v>
      </c>
      <c r="L289" s="199">
        <v>2.9852356446297506E-2</v>
      </c>
      <c r="M289" s="199">
        <v>3.354441831011399E-2</v>
      </c>
      <c r="N289" s="199">
        <v>3.7832307455082932E-2</v>
      </c>
    </row>
    <row r="290" spans="1:14">
      <c r="C290" s="29">
        <v>24</v>
      </c>
      <c r="D290" s="34" t="s">
        <v>734</v>
      </c>
      <c r="E290" s="199">
        <v>3.6904092937120297E-2</v>
      </c>
      <c r="F290" s="199">
        <v>3.4981785815616291E-2</v>
      </c>
      <c r="G290" s="199">
        <v>3.3477480633898174E-2</v>
      </c>
      <c r="H290" s="199">
        <v>3.6892896233733673E-2</v>
      </c>
      <c r="I290" s="199">
        <v>3.8026060127301455E-2</v>
      </c>
      <c r="J290" s="199">
        <v>3.6269210264543397E-2</v>
      </c>
      <c r="K290" s="199">
        <v>3.6587700379292272E-2</v>
      </c>
      <c r="L290" s="199">
        <v>2.7376964204527812E-2</v>
      </c>
      <c r="M290" s="199">
        <v>3.3778458694169101E-2</v>
      </c>
      <c r="N290" s="199">
        <v>3.4945377305027427E-2</v>
      </c>
    </row>
    <row r="291" spans="1:14">
      <c r="A291" s="16" t="s">
        <v>432</v>
      </c>
      <c r="B291" s="16" t="s">
        <v>420</v>
      </c>
      <c r="C291" s="29">
        <v>1</v>
      </c>
      <c r="D291" s="34" t="s">
        <v>735</v>
      </c>
      <c r="E291" s="199">
        <v>3.5270297302311918E-2</v>
      </c>
      <c r="F291" s="199">
        <v>3.5433562571160857E-2</v>
      </c>
      <c r="G291" s="199">
        <v>3.3838504398280282E-2</v>
      </c>
      <c r="H291" s="199">
        <v>3.6128833012795653E-2</v>
      </c>
      <c r="I291" s="199">
        <v>3.9730849726355516E-2</v>
      </c>
      <c r="J291" s="199">
        <v>3.5224647191076604E-2</v>
      </c>
      <c r="K291" s="199">
        <v>3.843918822169165E-2</v>
      </c>
      <c r="L291" s="199">
        <v>2.829773487038556E-2</v>
      </c>
      <c r="M291" s="199">
        <v>3.4751271027241418E-2</v>
      </c>
      <c r="N291" s="199">
        <v>3.7631068589355721E-2</v>
      </c>
    </row>
    <row r="292" spans="1:14">
      <c r="C292" s="29">
        <v>2</v>
      </c>
      <c r="D292" s="34" t="s">
        <v>736</v>
      </c>
      <c r="E292" s="199">
        <v>3.4568645883042141E-2</v>
      </c>
      <c r="F292" s="199">
        <v>3.5384034316449785E-2</v>
      </c>
      <c r="G292" s="199">
        <v>3.3489736850943322E-2</v>
      </c>
      <c r="H292" s="199">
        <v>3.5691936162744284E-2</v>
      </c>
      <c r="I292" s="199">
        <v>4.1350704178942536E-2</v>
      </c>
      <c r="J292" s="199">
        <v>3.3425742912073765E-2</v>
      </c>
      <c r="K292" s="199">
        <v>3.8638342944610472E-2</v>
      </c>
      <c r="L292" s="199">
        <v>2.7826450301453722E-2</v>
      </c>
      <c r="M292" s="199">
        <v>3.4881567575785942E-2</v>
      </c>
      <c r="N292" s="199">
        <v>3.6563458531961843E-2</v>
      </c>
    </row>
    <row r="293" spans="1:14">
      <c r="C293" s="29">
        <v>3</v>
      </c>
      <c r="D293" s="34" t="s">
        <v>737</v>
      </c>
      <c r="E293" s="199">
        <v>3.4709444709078476E-2</v>
      </c>
      <c r="F293" s="199">
        <v>3.4974865483172211E-2</v>
      </c>
      <c r="G293" s="199">
        <v>3.3306290196515605E-2</v>
      </c>
      <c r="H293" s="199">
        <v>3.4879587552808747E-2</v>
      </c>
      <c r="I293" s="199">
        <v>3.9243721429195022E-2</v>
      </c>
      <c r="J293" s="199">
        <v>3.203961836847951E-2</v>
      </c>
      <c r="K293" s="199">
        <v>3.7709279857019232E-2</v>
      </c>
      <c r="L293" s="199">
        <v>2.6903665223455265E-2</v>
      </c>
      <c r="M293" s="199">
        <v>3.2984472803180093E-2</v>
      </c>
      <c r="N293" s="199">
        <v>3.176314795449061E-2</v>
      </c>
    </row>
    <row r="294" spans="1:14">
      <c r="C294" s="29">
        <v>4</v>
      </c>
      <c r="D294" s="34" t="s">
        <v>738</v>
      </c>
      <c r="E294" s="199">
        <v>3.471562859720987E-2</v>
      </c>
      <c r="F294" s="199">
        <v>3.5240793358071072E-2</v>
      </c>
      <c r="G294" s="199">
        <v>3.3538748083549418E-2</v>
      </c>
      <c r="H294" s="199">
        <v>3.4852669737402739E-2</v>
      </c>
      <c r="I294" s="199">
        <v>3.5962399402401604E-2</v>
      </c>
      <c r="J294" s="199">
        <v>3.2949847661301684E-2</v>
      </c>
      <c r="K294" s="199">
        <v>3.8897299143679093E-2</v>
      </c>
      <c r="L294" s="199">
        <v>2.7301374548589451E-2</v>
      </c>
      <c r="M294" s="199">
        <v>3.3475464331196761E-2</v>
      </c>
      <c r="N294" s="199">
        <v>3.6367380272035087E-2</v>
      </c>
    </row>
    <row r="295" spans="1:14">
      <c r="C295" s="29">
        <v>5</v>
      </c>
      <c r="D295" s="34" t="s">
        <v>739</v>
      </c>
      <c r="E295" s="199">
        <v>3.6613083276008172E-2</v>
      </c>
      <c r="F295" s="199">
        <v>3.5766790531835159E-2</v>
      </c>
      <c r="G295" s="199">
        <v>3.5005765987481834E-2</v>
      </c>
      <c r="H295" s="199">
        <v>3.5430574528157878E-2</v>
      </c>
      <c r="I295" s="199">
        <v>3.821800044364683E-2</v>
      </c>
      <c r="J295" s="199">
        <v>3.343524058600484E-2</v>
      </c>
      <c r="K295" s="199">
        <v>3.8613264333287774E-2</v>
      </c>
      <c r="L295" s="199">
        <v>3.1221366187992296E-2</v>
      </c>
      <c r="M295" s="199">
        <v>3.5701582504094533E-2</v>
      </c>
      <c r="N295" s="199">
        <v>3.1646419090721502E-2</v>
      </c>
    </row>
    <row r="296" spans="1:14">
      <c r="C296" s="29">
        <v>6</v>
      </c>
      <c r="D296" s="34" t="s">
        <v>740</v>
      </c>
      <c r="E296" s="199">
        <v>4.0821284300127915E-2</v>
      </c>
      <c r="F296" s="199">
        <v>3.7750212673663873E-2</v>
      </c>
      <c r="G296" s="199">
        <v>3.7642266806573184E-2</v>
      </c>
      <c r="H296" s="199">
        <v>3.8152483316001545E-2</v>
      </c>
      <c r="I296" s="199">
        <v>3.9731019575831514E-2</v>
      </c>
      <c r="J296" s="199">
        <v>3.68228919203255E-2</v>
      </c>
      <c r="K296" s="199">
        <v>3.9914190654068295E-2</v>
      </c>
      <c r="L296" s="199">
        <v>3.850014686916664E-2</v>
      </c>
      <c r="M296" s="199">
        <v>4.1769889895313939E-2</v>
      </c>
      <c r="N296" s="199">
        <v>3.3297892060338764E-2</v>
      </c>
    </row>
    <row r="297" spans="1:14">
      <c r="C297" s="29">
        <v>7</v>
      </c>
      <c r="D297" s="34" t="s">
        <v>741</v>
      </c>
      <c r="E297" s="199">
        <v>4.7017054292075637E-2</v>
      </c>
      <c r="F297" s="199">
        <v>4.1419801634008331E-2</v>
      </c>
      <c r="G297" s="199">
        <v>4.2842151951106494E-2</v>
      </c>
      <c r="H297" s="199">
        <v>4.4582269410993171E-2</v>
      </c>
      <c r="I297" s="199">
        <v>4.1013383119611745E-2</v>
      </c>
      <c r="J297" s="199">
        <v>4.388889339987391E-2</v>
      </c>
      <c r="K297" s="199">
        <v>4.0149897630600506E-2</v>
      </c>
      <c r="L297" s="199">
        <v>4.3411879932791247E-2</v>
      </c>
      <c r="M297" s="199">
        <v>4.6016999432947452E-2</v>
      </c>
      <c r="N297" s="199">
        <v>4.4877657658287835E-2</v>
      </c>
    </row>
    <row r="298" spans="1:14">
      <c r="C298" s="29">
        <v>8</v>
      </c>
      <c r="D298" s="34" t="s">
        <v>742</v>
      </c>
      <c r="E298" s="199">
        <v>4.7991285419444238E-2</v>
      </c>
      <c r="F298" s="199">
        <v>4.3805100030160637E-2</v>
      </c>
      <c r="G298" s="199">
        <v>4.6228253420669246E-2</v>
      </c>
      <c r="H298" s="199">
        <v>4.8096183152128991E-2</v>
      </c>
      <c r="I298" s="199">
        <v>4.9182123818229818E-2</v>
      </c>
      <c r="J298" s="199">
        <v>4.7628811655904137E-2</v>
      </c>
      <c r="K298" s="199">
        <v>4.1961507599653995E-2</v>
      </c>
      <c r="L298" s="199">
        <v>4.7811543431055564E-2</v>
      </c>
      <c r="M298" s="199">
        <v>5.2440750557350049E-2</v>
      </c>
      <c r="N298" s="199">
        <v>4.8525325354383579E-2</v>
      </c>
    </row>
    <row r="299" spans="1:14">
      <c r="C299" s="29">
        <v>9</v>
      </c>
      <c r="D299" s="34" t="s">
        <v>743</v>
      </c>
      <c r="E299" s="199">
        <v>4.3817076777757015E-2</v>
      </c>
      <c r="F299" s="199">
        <v>4.9027505793862058E-2</v>
      </c>
      <c r="G299" s="199">
        <v>4.8307207881801748E-2</v>
      </c>
      <c r="H299" s="199">
        <v>4.9585152464318244E-2</v>
      </c>
      <c r="I299" s="199">
        <v>4.8099503258222501E-2</v>
      </c>
      <c r="J299" s="199">
        <v>4.6831001577833209E-2</v>
      </c>
      <c r="K299" s="199">
        <v>4.4486081885786531E-2</v>
      </c>
      <c r="L299" s="199">
        <v>5.357400415357963E-2</v>
      </c>
      <c r="M299" s="199">
        <v>5.2266803024028634E-2</v>
      </c>
      <c r="N299" s="199">
        <v>5.5287730091389514E-2</v>
      </c>
    </row>
    <row r="300" spans="1:14">
      <c r="C300" s="29">
        <v>10</v>
      </c>
      <c r="D300" s="34" t="s">
        <v>744</v>
      </c>
      <c r="E300" s="199">
        <v>4.4484396487984794E-2</v>
      </c>
      <c r="F300" s="199">
        <v>4.8641354545921625E-2</v>
      </c>
      <c r="G300" s="199">
        <v>4.9276674600653214E-2</v>
      </c>
      <c r="H300" s="199">
        <v>5.0127805269897442E-2</v>
      </c>
      <c r="I300" s="199">
        <v>4.3418451699734656E-2</v>
      </c>
      <c r="J300" s="199">
        <v>4.2435623527624748E-2</v>
      </c>
      <c r="K300" s="199">
        <v>4.5018220889921974E-2</v>
      </c>
      <c r="L300" s="199">
        <v>5.4394152878679498E-2</v>
      </c>
      <c r="M300" s="199">
        <v>5.1695729990105507E-2</v>
      </c>
      <c r="N300" s="199">
        <v>5.3844795204236157E-2</v>
      </c>
    </row>
    <row r="301" spans="1:14">
      <c r="C301" s="29">
        <v>11</v>
      </c>
      <c r="D301" s="34" t="s">
        <v>745</v>
      </c>
      <c r="E301" s="199">
        <v>4.2783753957304965E-2</v>
      </c>
      <c r="F301" s="199">
        <v>4.9749471110307524E-2</v>
      </c>
      <c r="G301" s="199">
        <v>4.9997049317162132E-2</v>
      </c>
      <c r="H301" s="199">
        <v>4.8351902398486066E-2</v>
      </c>
      <c r="I301" s="199">
        <v>4.1097968158658439E-2</v>
      </c>
      <c r="J301" s="199">
        <v>4.1154126497370214E-2</v>
      </c>
      <c r="K301" s="199">
        <v>4.7432729910922254E-2</v>
      </c>
      <c r="L301" s="199">
        <v>5.4706746258427995E-2</v>
      </c>
      <c r="M301" s="199">
        <v>5.0665419058069185E-2</v>
      </c>
      <c r="N301" s="199">
        <v>4.6789693934296078E-2</v>
      </c>
    </row>
    <row r="302" spans="1:14">
      <c r="C302" s="29">
        <v>12</v>
      </c>
      <c r="D302" s="34" t="s">
        <v>746</v>
      </c>
      <c r="E302" s="199">
        <v>4.0822085110926311E-2</v>
      </c>
      <c r="F302" s="199">
        <v>4.975233911614825E-2</v>
      </c>
      <c r="G302" s="199">
        <v>4.8740792628121705E-2</v>
      </c>
      <c r="H302" s="199">
        <v>4.9584686579051594E-2</v>
      </c>
      <c r="I302" s="199">
        <v>4.0058829064506453E-2</v>
      </c>
      <c r="J302" s="199">
        <v>4.1821801492217439E-2</v>
      </c>
      <c r="K302" s="199">
        <v>4.6606521099655185E-2</v>
      </c>
      <c r="L302" s="199">
        <v>5.5453646857122181E-2</v>
      </c>
      <c r="M302" s="199">
        <v>4.8995768890353404E-2</v>
      </c>
      <c r="N302" s="199">
        <v>3.852249238420672E-2</v>
      </c>
    </row>
    <row r="303" spans="1:14">
      <c r="C303" s="29">
        <v>13</v>
      </c>
      <c r="D303" s="34" t="s">
        <v>747</v>
      </c>
      <c r="E303" s="199">
        <v>3.9187193218714611E-2</v>
      </c>
      <c r="F303" s="199">
        <v>4.8104939402223254E-2</v>
      </c>
      <c r="G303" s="199">
        <v>4.8373415018548818E-2</v>
      </c>
      <c r="H303" s="199">
        <v>4.843524409618543E-2</v>
      </c>
      <c r="I303" s="199">
        <v>4.0170759869188728E-2</v>
      </c>
      <c r="J303" s="199">
        <v>4.2171760976737076E-2</v>
      </c>
      <c r="K303" s="199">
        <v>4.6086139914709272E-2</v>
      </c>
      <c r="L303" s="199">
        <v>5.441868668307584E-2</v>
      </c>
      <c r="M303" s="199">
        <v>5.0918053235001558E-2</v>
      </c>
      <c r="N303" s="199">
        <v>3.4757877230964011E-2</v>
      </c>
    </row>
    <row r="304" spans="1:14">
      <c r="C304" s="29">
        <v>14</v>
      </c>
      <c r="D304" s="34" t="s">
        <v>748</v>
      </c>
      <c r="E304" s="199">
        <v>3.8060191822526776E-2</v>
      </c>
      <c r="F304" s="199">
        <v>4.7632392542439624E-2</v>
      </c>
      <c r="G304" s="199">
        <v>4.8025551499217764E-2</v>
      </c>
      <c r="H304" s="199">
        <v>4.8887773985184131E-2</v>
      </c>
      <c r="I304" s="199">
        <v>3.87975268557499E-2</v>
      </c>
      <c r="J304" s="199">
        <v>4.0299313972130921E-2</v>
      </c>
      <c r="K304" s="199">
        <v>4.606711782354312E-2</v>
      </c>
      <c r="L304" s="199">
        <v>5.4151942076983213E-2</v>
      </c>
      <c r="M304" s="199">
        <v>5.1216799918408752E-2</v>
      </c>
      <c r="N304" s="199">
        <v>3.3970722477344978E-2</v>
      </c>
    </row>
    <row r="305" spans="1:14">
      <c r="C305" s="29">
        <v>15</v>
      </c>
      <c r="D305" s="34" t="s">
        <v>749</v>
      </c>
      <c r="E305" s="199">
        <v>3.8004045484413725E-2</v>
      </c>
      <c r="F305" s="199">
        <v>4.672640910764915E-2</v>
      </c>
      <c r="G305" s="199">
        <v>4.6873367805686204E-2</v>
      </c>
      <c r="H305" s="199">
        <v>4.6423240924645601E-2</v>
      </c>
      <c r="I305" s="199">
        <v>3.8022503696773846E-2</v>
      </c>
      <c r="J305" s="199">
        <v>3.9232567168498711E-2</v>
      </c>
      <c r="K305" s="199">
        <v>4.5232827731715261E-2</v>
      </c>
      <c r="L305" s="199">
        <v>5.3284256652484985E-2</v>
      </c>
      <c r="M305" s="199">
        <v>5.1938107826629776E-2</v>
      </c>
      <c r="N305" s="199">
        <v>3.4559175850503117E-2</v>
      </c>
    </row>
    <row r="306" spans="1:14">
      <c r="C306" s="29">
        <v>16</v>
      </c>
      <c r="D306" s="34" t="s">
        <v>750</v>
      </c>
      <c r="E306" s="199">
        <v>3.866735571142374E-2</v>
      </c>
      <c r="F306" s="199">
        <v>4.5085174380638207E-2</v>
      </c>
      <c r="G306" s="199">
        <v>4.6378283325592809E-2</v>
      </c>
      <c r="H306" s="199">
        <v>4.3127257958239185E-2</v>
      </c>
      <c r="I306" s="199">
        <v>4.2493961001880909E-2</v>
      </c>
      <c r="J306" s="199">
        <v>4.0570678427816191E-2</v>
      </c>
      <c r="K306" s="199">
        <v>4.4738502016181805E-2</v>
      </c>
      <c r="L306" s="199">
        <v>5.0117380842223391E-2</v>
      </c>
      <c r="M306" s="199">
        <v>4.5445844348301047E-2</v>
      </c>
      <c r="N306" s="199">
        <v>4.4389101458804765E-2</v>
      </c>
    </row>
    <row r="307" spans="1:14">
      <c r="C307" s="29">
        <v>17</v>
      </c>
      <c r="D307" s="34" t="s">
        <v>751</v>
      </c>
      <c r="E307" s="199">
        <v>4.1554924717527766E-2</v>
      </c>
      <c r="F307" s="199">
        <v>4.2032574369107352E-2</v>
      </c>
      <c r="G307" s="199">
        <v>4.437680406456674E-2</v>
      </c>
      <c r="H307" s="199">
        <v>3.9907990765739899E-2</v>
      </c>
      <c r="I307" s="199">
        <v>4.2833490104399678E-2</v>
      </c>
      <c r="J307" s="199">
        <v>4.578579814512123E-2</v>
      </c>
      <c r="K307" s="199">
        <v>4.2427238014741603E-2</v>
      </c>
      <c r="L307" s="199">
        <v>4.6014766105242064E-2</v>
      </c>
      <c r="M307" s="199">
        <v>3.6707770523491001E-2</v>
      </c>
      <c r="N307" s="199">
        <v>4.6081014203323313E-2</v>
      </c>
    </row>
    <row r="308" spans="1:14">
      <c r="C308" s="29">
        <v>18</v>
      </c>
      <c r="D308" s="34" t="s">
        <v>752</v>
      </c>
      <c r="E308" s="199">
        <v>4.6858396027928489E-2</v>
      </c>
      <c r="F308" s="199">
        <v>4.1219776611270194E-2</v>
      </c>
      <c r="G308" s="199">
        <v>4.3621637184516095E-2</v>
      </c>
      <c r="H308" s="199">
        <v>3.9690318816158622E-2</v>
      </c>
      <c r="I308" s="199">
        <v>4.4925526100259433E-2</v>
      </c>
      <c r="J308" s="199">
        <v>5.0403165869438916E-2</v>
      </c>
      <c r="K308" s="199">
        <v>4.1829756084928955E-2</v>
      </c>
      <c r="L308" s="199">
        <v>4.354929540680208E-2</v>
      </c>
      <c r="M308" s="199">
        <v>3.6362090826376321E-2</v>
      </c>
      <c r="N308" s="199">
        <v>5.7030793686323751E-2</v>
      </c>
    </row>
    <row r="309" spans="1:14">
      <c r="C309" s="29">
        <v>19</v>
      </c>
      <c r="D309" s="34" t="s">
        <v>753</v>
      </c>
      <c r="E309" s="199">
        <v>5.0586569342583008E-2</v>
      </c>
      <c r="F309" s="199">
        <v>4.0190971439172198E-2</v>
      </c>
      <c r="G309" s="199">
        <v>4.2381950037355405E-2</v>
      </c>
      <c r="H309" s="199">
        <v>3.9900226011295857E-2</v>
      </c>
      <c r="I309" s="199">
        <v>4.3839678400208172E-2</v>
      </c>
      <c r="J309" s="199">
        <v>5.0370763327288334E-2</v>
      </c>
      <c r="K309" s="199">
        <v>4.0684079156196373E-2</v>
      </c>
      <c r="L309" s="199">
        <v>4.1443130451681215E-2</v>
      </c>
      <c r="M309" s="199">
        <v>3.65951148804484E-2</v>
      </c>
      <c r="N309" s="199">
        <v>4.8031960100587925E-2</v>
      </c>
    </row>
    <row r="310" spans="1:14">
      <c r="C310" s="29">
        <v>20</v>
      </c>
      <c r="D310" s="34" t="s">
        <v>754</v>
      </c>
      <c r="E310" s="199">
        <v>4.910480333347729E-2</v>
      </c>
      <c r="F310" s="199">
        <v>3.9845707659115007E-2</v>
      </c>
      <c r="G310" s="199">
        <v>4.0817058187097494E-2</v>
      </c>
      <c r="H310" s="199">
        <v>3.8557182317624943E-2</v>
      </c>
      <c r="I310" s="199">
        <v>4.1628917620626253E-2</v>
      </c>
      <c r="J310" s="199">
        <v>4.9273844868646541E-2</v>
      </c>
      <c r="K310" s="199">
        <v>3.8912733501497376E-2</v>
      </c>
      <c r="L310" s="199">
        <v>3.9674707661402041E-2</v>
      </c>
      <c r="M310" s="199">
        <v>3.5522711927377229E-2</v>
      </c>
      <c r="N310" s="199">
        <v>4.2725824446783883E-2</v>
      </c>
    </row>
    <row r="311" spans="1:14">
      <c r="C311" s="29">
        <v>21</v>
      </c>
      <c r="D311" s="34" t="s">
        <v>755</v>
      </c>
      <c r="E311" s="199">
        <v>4.8472010784418582E-2</v>
      </c>
      <c r="F311" s="199">
        <v>3.9288971345827185E-2</v>
      </c>
      <c r="G311" s="199">
        <v>3.9965818959390283E-2</v>
      </c>
      <c r="H311" s="199">
        <v>3.8536165715596406E-2</v>
      </c>
      <c r="I311" s="199">
        <v>4.388366941449149E-2</v>
      </c>
      <c r="J311" s="199">
        <v>4.7164027097951831E-2</v>
      </c>
      <c r="K311" s="199">
        <v>3.9438336436959487E-2</v>
      </c>
      <c r="L311" s="199">
        <v>3.7231873486485066E-2</v>
      </c>
      <c r="M311" s="199">
        <v>3.5139945303346853E-2</v>
      </c>
      <c r="N311" s="199">
        <v>4.2062393545024987E-2</v>
      </c>
    </row>
    <row r="312" spans="1:14">
      <c r="C312" s="29">
        <v>22</v>
      </c>
      <c r="D312" s="34" t="s">
        <v>756</v>
      </c>
      <c r="E312" s="199">
        <v>4.5432037982233567E-2</v>
      </c>
      <c r="F312" s="199">
        <v>3.8036853924079135E-2</v>
      </c>
      <c r="G312" s="199">
        <v>3.7639651582698934E-2</v>
      </c>
      <c r="H312" s="199">
        <v>3.8975702582158739E-2</v>
      </c>
      <c r="I312" s="199">
        <v>4.1882502888290339E-2</v>
      </c>
      <c r="J312" s="199">
        <v>4.5474835442683603E-2</v>
      </c>
      <c r="K312" s="199">
        <v>3.8605236335895528E-2</v>
      </c>
      <c r="L312" s="199">
        <v>3.3162546215308696E-2</v>
      </c>
      <c r="M312" s="199">
        <v>3.4866716394875014E-2</v>
      </c>
      <c r="N312" s="199">
        <v>4.6514047684833817E-2</v>
      </c>
    </row>
    <row r="313" spans="1:14">
      <c r="C313" s="29">
        <v>23</v>
      </c>
      <c r="D313" s="34" t="s">
        <v>757</v>
      </c>
      <c r="E313" s="199">
        <v>4.1671840379481594E-2</v>
      </c>
      <c r="F313" s="199">
        <v>3.7210218650882212E-2</v>
      </c>
      <c r="G313" s="199">
        <v>3.6066694511159743E-2</v>
      </c>
      <c r="H313" s="199">
        <v>3.6894127210800307E-2</v>
      </c>
      <c r="I313" s="199">
        <v>4.2315619052083669E-2</v>
      </c>
      <c r="J313" s="199">
        <v>4.3404949458240263E-2</v>
      </c>
      <c r="K313" s="199">
        <v>3.8719510971341853E-2</v>
      </c>
      <c r="L313" s="199">
        <v>2.9329463124599425E-2</v>
      </c>
      <c r="M313" s="199">
        <v>3.4469016539210438E-2</v>
      </c>
      <c r="N313" s="199">
        <v>4.2560567853133231E-2</v>
      </c>
    </row>
    <row r="314" spans="1:14">
      <c r="C314" s="29">
        <v>24</v>
      </c>
      <c r="D314" s="34" t="s">
        <v>758</v>
      </c>
      <c r="E314" s="199">
        <v>3.8786595081999373E-2</v>
      </c>
      <c r="F314" s="199">
        <v>3.76801794028351E-2</v>
      </c>
      <c r="G314" s="199">
        <v>3.3266325701311508E-2</v>
      </c>
      <c r="H314" s="199">
        <v>3.520068603158464E-2</v>
      </c>
      <c r="I314" s="199">
        <v>4.2098891120711003E-2</v>
      </c>
      <c r="J314" s="199">
        <v>3.8190048455360809E-2</v>
      </c>
      <c r="K314" s="199">
        <v>3.9391997841392273E-2</v>
      </c>
      <c r="L314" s="199">
        <v>2.8219239781012963E-2</v>
      </c>
      <c r="M314" s="199">
        <v>3.5172109186866668E-2</v>
      </c>
      <c r="N314" s="199">
        <v>3.2199460336668775E-2</v>
      </c>
    </row>
    <row r="315" spans="1:14">
      <c r="A315" s="16" t="s">
        <v>432</v>
      </c>
      <c r="B315" s="16" t="s">
        <v>424</v>
      </c>
      <c r="C315" s="29">
        <v>1</v>
      </c>
      <c r="D315" s="34" t="s">
        <v>759</v>
      </c>
      <c r="E315" s="199">
        <v>3.6169967451613216E-2</v>
      </c>
      <c r="F315" s="199">
        <v>4.147914210275562E-2</v>
      </c>
      <c r="G315" s="199">
        <v>3.784329573782802E-2</v>
      </c>
      <c r="H315" s="199">
        <v>4.4046066521751588E-2</v>
      </c>
      <c r="I315" s="199">
        <v>3.6730404474385255E-2</v>
      </c>
      <c r="J315" s="199">
        <v>3.2915486080376311E-2</v>
      </c>
      <c r="K315" s="199">
        <v>4.2084903493752816E-2</v>
      </c>
      <c r="L315" s="199">
        <v>3.3381265894973144E-2</v>
      </c>
      <c r="M315" s="199">
        <v>3.9440026049693745E-2</v>
      </c>
      <c r="N315" s="199">
        <v>3.3163748439504141E-2</v>
      </c>
    </row>
    <row r="316" spans="1:14">
      <c r="C316" s="29">
        <v>2</v>
      </c>
      <c r="D316" s="34" t="s">
        <v>760</v>
      </c>
      <c r="E316" s="199">
        <v>3.4141696010348228E-2</v>
      </c>
      <c r="F316" s="199">
        <v>4.1558078362720928E-2</v>
      </c>
      <c r="G316" s="199">
        <v>3.7389618734600089E-2</v>
      </c>
      <c r="H316" s="199">
        <v>4.1939819435218809E-2</v>
      </c>
      <c r="I316" s="199">
        <v>4.1959227683106594E-2</v>
      </c>
      <c r="J316" s="199">
        <v>3.3208204329279137E-2</v>
      </c>
      <c r="K316" s="199">
        <v>4.2496406771181008E-2</v>
      </c>
      <c r="L316" s="199">
        <v>3.3382346949088024E-2</v>
      </c>
      <c r="M316" s="199">
        <v>3.954469337150731E-2</v>
      </c>
      <c r="N316" s="199">
        <v>2.839160407962921E-2</v>
      </c>
    </row>
    <row r="317" spans="1:14">
      <c r="C317" s="29">
        <v>3</v>
      </c>
      <c r="D317" s="34" t="s">
        <v>761</v>
      </c>
      <c r="E317" s="199">
        <v>3.4404399725821405E-2</v>
      </c>
      <c r="F317" s="199">
        <v>4.1834469013608121E-2</v>
      </c>
      <c r="G317" s="199">
        <v>3.6743344068627205E-2</v>
      </c>
      <c r="H317" s="199">
        <v>4.1142539464610363E-2</v>
      </c>
      <c r="I317" s="199">
        <v>4.1981322685397109E-2</v>
      </c>
      <c r="J317" s="199">
        <v>3.285906990910821E-2</v>
      </c>
      <c r="K317" s="199">
        <v>4.2357191932401415E-2</v>
      </c>
      <c r="L317" s="199">
        <v>3.293216739951272E-2</v>
      </c>
      <c r="M317" s="199">
        <v>3.9072840237519252E-2</v>
      </c>
      <c r="N317" s="199">
        <v>2.7304945970507297E-2</v>
      </c>
    </row>
    <row r="318" spans="1:14">
      <c r="C318" s="29">
        <v>4</v>
      </c>
      <c r="D318" s="34" t="s">
        <v>762</v>
      </c>
      <c r="E318" s="199">
        <v>3.4399542646827666E-2</v>
      </c>
      <c r="F318" s="199">
        <v>4.1359799349486734E-2</v>
      </c>
      <c r="G318" s="199">
        <v>3.7114420081287507E-2</v>
      </c>
      <c r="H318" s="199">
        <v>4.0054607514369067E-2</v>
      </c>
      <c r="I318" s="199">
        <v>4.0512086866419654E-2</v>
      </c>
      <c r="J318" s="199">
        <v>3.3447730481493569E-2</v>
      </c>
      <c r="K318" s="199">
        <v>4.3652006717266975E-2</v>
      </c>
      <c r="L318" s="199">
        <v>3.3270203482523616E-2</v>
      </c>
      <c r="M318" s="199">
        <v>3.9951082196815937E-2</v>
      </c>
      <c r="N318" s="199">
        <v>2.7007895093571026E-2</v>
      </c>
    </row>
    <row r="319" spans="1:14">
      <c r="C319" s="29">
        <v>5</v>
      </c>
      <c r="D319" s="34" t="s">
        <v>763</v>
      </c>
      <c r="E319" s="199">
        <v>3.536220945968712E-2</v>
      </c>
      <c r="F319" s="199">
        <v>4.0769128074223969E-2</v>
      </c>
      <c r="G319" s="199">
        <v>3.7181772816102063E-2</v>
      </c>
      <c r="H319" s="199">
        <v>3.9912452402977174E-2</v>
      </c>
      <c r="I319" s="199">
        <v>4.3793440206586626E-2</v>
      </c>
      <c r="J319" s="199">
        <v>3.3421542576348551E-2</v>
      </c>
      <c r="K319" s="199">
        <v>4.2920897258764378E-2</v>
      </c>
      <c r="L319" s="199">
        <v>3.5445347953085238E-2</v>
      </c>
      <c r="M319" s="199">
        <v>4.0656736433230513E-2</v>
      </c>
      <c r="N319" s="199">
        <v>2.6283130103879719E-2</v>
      </c>
    </row>
    <row r="320" spans="1:14">
      <c r="C320" s="29">
        <v>6</v>
      </c>
      <c r="D320" s="34" t="s">
        <v>764</v>
      </c>
      <c r="E320" s="199">
        <v>3.7008350796466132E-2</v>
      </c>
      <c r="F320" s="199">
        <v>4.2277603983096379E-2</v>
      </c>
      <c r="G320" s="199">
        <v>3.9202859121711307E-2</v>
      </c>
      <c r="H320" s="199">
        <v>4.0336708810609911E-2</v>
      </c>
      <c r="I320" s="199">
        <v>4.6567099494122639E-2</v>
      </c>
      <c r="J320" s="199">
        <v>3.5285524866198854E-2</v>
      </c>
      <c r="K320" s="199">
        <v>4.462298692705411E-2</v>
      </c>
      <c r="L320" s="199">
        <v>3.874633079502357E-2</v>
      </c>
      <c r="M320" s="199">
        <v>4.607279801162318E-2</v>
      </c>
      <c r="N320" s="199">
        <v>3.5392119391941257E-2</v>
      </c>
    </row>
    <row r="321" spans="3:14">
      <c r="C321" s="29">
        <v>7</v>
      </c>
      <c r="D321" s="34" t="s">
        <v>765</v>
      </c>
      <c r="E321" s="199">
        <v>4.0352659107794342E-2</v>
      </c>
      <c r="F321" s="199">
        <v>4.4985862703512874E-2</v>
      </c>
      <c r="G321" s="199">
        <v>4.2549542681779531E-2</v>
      </c>
      <c r="H321" s="199">
        <v>3.9464752871711389E-2</v>
      </c>
      <c r="I321" s="199">
        <v>4.1313398949489016E-2</v>
      </c>
      <c r="J321" s="199">
        <v>3.863477876194879E-2</v>
      </c>
      <c r="K321" s="199">
        <v>4.519086024179244E-2</v>
      </c>
      <c r="L321" s="199">
        <v>4.3212356117857724E-2</v>
      </c>
      <c r="M321" s="199">
        <v>4.6730086120990326E-2</v>
      </c>
      <c r="N321" s="199">
        <v>4.4533162769688675E-2</v>
      </c>
    </row>
    <row r="322" spans="3:14">
      <c r="C322" s="29">
        <v>8</v>
      </c>
      <c r="D322" s="34" t="s">
        <v>766</v>
      </c>
      <c r="E322" s="199">
        <v>4.4579730469682118E-2</v>
      </c>
      <c r="F322" s="199">
        <v>3.9421510386757813E-2</v>
      </c>
      <c r="G322" s="199">
        <v>4.2907214378795092E-2</v>
      </c>
      <c r="H322" s="199">
        <v>4.061232583861183E-2</v>
      </c>
      <c r="I322" s="199">
        <v>3.7173613853664626E-2</v>
      </c>
      <c r="J322" s="199">
        <v>4.2605508970073688E-2</v>
      </c>
      <c r="K322" s="199">
        <v>4.1377150878319974E-2</v>
      </c>
      <c r="L322" s="199">
        <v>4.4485821967334388E-2</v>
      </c>
      <c r="M322" s="199">
        <v>4.5199751632380415E-2</v>
      </c>
      <c r="N322" s="199">
        <v>4.2972055195674312E-2</v>
      </c>
    </row>
    <row r="323" spans="3:14">
      <c r="C323" s="29">
        <v>9</v>
      </c>
      <c r="D323" s="34" t="s">
        <v>767</v>
      </c>
      <c r="E323" s="199">
        <v>4.7275901002656946E-2</v>
      </c>
      <c r="F323" s="199">
        <v>3.7976971142342185E-2</v>
      </c>
      <c r="G323" s="199">
        <v>4.4111977109011394E-2</v>
      </c>
      <c r="H323" s="199">
        <v>4.1787189736671726E-2</v>
      </c>
      <c r="I323" s="199">
        <v>4.0370678851760364E-2</v>
      </c>
      <c r="J323" s="199">
        <v>4.6006907651661301E-2</v>
      </c>
      <c r="K323" s="199">
        <v>4.0183877955179248E-2</v>
      </c>
      <c r="L323" s="199">
        <v>4.6813633535913862E-2</v>
      </c>
      <c r="M323" s="199">
        <v>4.5975310036793213E-2</v>
      </c>
      <c r="N323" s="199">
        <v>4.5375867234407403E-2</v>
      </c>
    </row>
    <row r="324" spans="3:14">
      <c r="C324" s="29">
        <v>10</v>
      </c>
      <c r="D324" s="34" t="s">
        <v>768</v>
      </c>
      <c r="E324" s="199">
        <v>4.817762149008175E-2</v>
      </c>
      <c r="F324" s="199">
        <v>3.7649126902691579E-2</v>
      </c>
      <c r="G324" s="199">
        <v>4.3986995601096479E-2</v>
      </c>
      <c r="H324" s="199">
        <v>4.1279136631797449E-2</v>
      </c>
      <c r="I324" s="199">
        <v>4.5307193363512369E-2</v>
      </c>
      <c r="J324" s="199">
        <v>4.7294725225060945E-2</v>
      </c>
      <c r="K324" s="199">
        <v>4.0760630897326004E-2</v>
      </c>
      <c r="L324" s="199">
        <v>4.6571286639924665E-2</v>
      </c>
      <c r="M324" s="199">
        <v>4.5118417188263552E-2</v>
      </c>
      <c r="N324" s="199">
        <v>5.0218971029464807E-2</v>
      </c>
    </row>
    <row r="325" spans="3:14">
      <c r="C325" s="29">
        <v>11</v>
      </c>
      <c r="D325" s="34" t="s">
        <v>769</v>
      </c>
      <c r="E325" s="199">
        <v>4.5363892475280811E-2</v>
      </c>
      <c r="F325" s="199">
        <v>4.0819856564057587E-2</v>
      </c>
      <c r="G325" s="199">
        <v>4.4727363896597983E-2</v>
      </c>
      <c r="H325" s="199">
        <v>4.2673396814556903E-2</v>
      </c>
      <c r="I325" s="199">
        <v>4.3637629523767582E-2</v>
      </c>
      <c r="J325" s="199">
        <v>4.7877610186137128E-2</v>
      </c>
      <c r="K325" s="199">
        <v>4.0857400714389168E-2</v>
      </c>
      <c r="L325" s="199">
        <v>4.7052657780285251E-2</v>
      </c>
      <c r="M325" s="199">
        <v>4.3210316797187516E-2</v>
      </c>
      <c r="N325" s="199">
        <v>5.7609273859865397E-2</v>
      </c>
    </row>
    <row r="326" spans="3:14">
      <c r="C326" s="29">
        <v>12</v>
      </c>
      <c r="D326" s="34" t="s">
        <v>770</v>
      </c>
      <c r="E326" s="199">
        <v>4.5382636585698556E-2</v>
      </c>
      <c r="F326" s="199">
        <v>3.9108537783981087E-2</v>
      </c>
      <c r="G326" s="199">
        <v>4.3173516961870682E-2</v>
      </c>
      <c r="H326" s="199">
        <v>4.1920794164671621E-2</v>
      </c>
      <c r="I326" s="199">
        <v>4.3262832818246992E-2</v>
      </c>
      <c r="J326" s="199">
        <v>4.5501421016004885E-2</v>
      </c>
      <c r="K326" s="199">
        <v>4.0597555835238081E-2</v>
      </c>
      <c r="L326" s="199">
        <v>4.6682857783722373E-2</v>
      </c>
      <c r="M326" s="199">
        <v>4.3459232314316358E-2</v>
      </c>
      <c r="N326" s="199">
        <v>6.1220375047530591E-2</v>
      </c>
    </row>
    <row r="327" spans="3:14">
      <c r="C327" s="29">
        <v>13</v>
      </c>
      <c r="D327" s="34" t="s">
        <v>771</v>
      </c>
      <c r="E327" s="199">
        <v>4.3050260488892662E-2</v>
      </c>
      <c r="F327" s="199">
        <v>3.9677470308976032E-2</v>
      </c>
      <c r="G327" s="199">
        <v>4.2750200996998097E-2</v>
      </c>
      <c r="H327" s="199">
        <v>4.1796951766877581E-2</v>
      </c>
      <c r="I327" s="199">
        <v>4.4853181983113187E-2</v>
      </c>
      <c r="J327" s="199">
        <v>4.4610642066443704E-2</v>
      </c>
      <c r="K327" s="199">
        <v>3.9439358447121077E-2</v>
      </c>
      <c r="L327" s="199">
        <v>4.6845524632302883E-2</v>
      </c>
      <c r="M327" s="199">
        <v>4.3870911184770794E-2</v>
      </c>
      <c r="N327" s="199">
        <v>6.3213111737620398E-2</v>
      </c>
    </row>
    <row r="328" spans="3:14">
      <c r="C328" s="29">
        <v>14</v>
      </c>
      <c r="D328" s="34" t="s">
        <v>772</v>
      </c>
      <c r="E328" s="199">
        <v>4.1793257810862676E-2</v>
      </c>
      <c r="F328" s="199">
        <v>3.8491834035376017E-2</v>
      </c>
      <c r="G328" s="199">
        <v>4.3309833056737301E-2</v>
      </c>
      <c r="H328" s="199">
        <v>4.3129219495045085E-2</v>
      </c>
      <c r="I328" s="199">
        <v>4.2035987357730682E-2</v>
      </c>
      <c r="J328" s="199">
        <v>4.3184009600431617E-2</v>
      </c>
      <c r="K328" s="199">
        <v>3.9956410492973139E-2</v>
      </c>
      <c r="L328" s="199">
        <v>4.8472177220253432E-2</v>
      </c>
      <c r="M328" s="199">
        <v>4.5171034244446004E-2</v>
      </c>
      <c r="N328" s="199">
        <v>5.8532480580360091E-2</v>
      </c>
    </row>
    <row r="329" spans="3:14">
      <c r="C329" s="29">
        <v>15</v>
      </c>
      <c r="D329" s="34" t="s">
        <v>773</v>
      </c>
      <c r="E329" s="199">
        <v>4.0518611474699019E-2</v>
      </c>
      <c r="F329" s="199">
        <v>3.9477371439604309E-2</v>
      </c>
      <c r="G329" s="199">
        <v>4.3000668274000411E-2</v>
      </c>
      <c r="H329" s="199">
        <v>4.3025186180442501E-2</v>
      </c>
      <c r="I329" s="199">
        <v>4.3597367519593762E-2</v>
      </c>
      <c r="J329" s="199">
        <v>4.2805642886221136E-2</v>
      </c>
      <c r="K329" s="199">
        <v>3.8803528800175471E-2</v>
      </c>
      <c r="L329" s="199">
        <v>4.6582605912421665E-2</v>
      </c>
      <c r="M329" s="199">
        <v>4.4882632318907351E-2</v>
      </c>
      <c r="N329" s="199">
        <v>5.1408153288040007E-2</v>
      </c>
    </row>
    <row r="330" spans="3:14">
      <c r="C330" s="29">
        <v>16</v>
      </c>
      <c r="D330" s="34" t="s">
        <v>774</v>
      </c>
      <c r="E330" s="199">
        <v>4.3409361743216537E-2</v>
      </c>
      <c r="F330" s="199">
        <v>4.0309799228636908E-2</v>
      </c>
      <c r="G330" s="199">
        <v>4.3135411375060315E-2</v>
      </c>
      <c r="H330" s="199">
        <v>4.309672689815551E-2</v>
      </c>
      <c r="I330" s="199">
        <v>4.3221916147338633E-2</v>
      </c>
      <c r="J330" s="199">
        <v>4.424273305911039E-2</v>
      </c>
      <c r="K330" s="199">
        <v>3.8567322657027746E-2</v>
      </c>
      <c r="L330" s="199">
        <v>4.529567458007288E-2</v>
      </c>
      <c r="M330" s="199">
        <v>4.3271246781456239E-2</v>
      </c>
      <c r="N330" s="199">
        <v>4.9372106873718138E-2</v>
      </c>
    </row>
    <row r="331" spans="3:14">
      <c r="C331" s="29">
        <v>17</v>
      </c>
      <c r="D331" s="34" t="s">
        <v>775</v>
      </c>
      <c r="E331" s="199">
        <v>4.4643837668698658E-2</v>
      </c>
      <c r="F331" s="199">
        <v>4.1141871577017659E-2</v>
      </c>
      <c r="G331" s="199">
        <v>4.3037930916761266E-2</v>
      </c>
      <c r="H331" s="199">
        <v>4.0873335449152434E-2</v>
      </c>
      <c r="I331" s="199">
        <v>4.162616598191253E-2</v>
      </c>
      <c r="J331" s="199">
        <v>4.730333987019588E-2</v>
      </c>
      <c r="K331" s="199">
        <v>3.9278397582035156E-2</v>
      </c>
      <c r="L331" s="199">
        <v>4.5970856466235367E-2</v>
      </c>
      <c r="M331" s="199">
        <v>3.8151994521780391E-2</v>
      </c>
      <c r="N331" s="199">
        <v>5.44493768048777E-2</v>
      </c>
    </row>
    <row r="332" spans="3:14">
      <c r="C332" s="29">
        <v>18</v>
      </c>
      <c r="D332" s="34" t="s">
        <v>776</v>
      </c>
      <c r="E332" s="199">
        <v>4.5630243552697874E-2</v>
      </c>
      <c r="F332" s="199">
        <v>4.7164315805891296E-2</v>
      </c>
      <c r="G332" s="199">
        <v>4.5454892347916484E-2</v>
      </c>
      <c r="H332" s="199">
        <v>4.2981862717923071E-2</v>
      </c>
      <c r="I332" s="199">
        <v>4.3724372866093313E-2</v>
      </c>
      <c r="J332" s="199">
        <v>5.1991046765427679E-2</v>
      </c>
      <c r="K332" s="199">
        <v>4.339483982098509E-2</v>
      </c>
      <c r="L332" s="199">
        <v>4.7222621744141227E-2</v>
      </c>
      <c r="M332" s="199">
        <v>3.8624508911411684E-2</v>
      </c>
      <c r="N332" s="199">
        <v>4.9724946547970286E-2</v>
      </c>
    </row>
    <row r="333" spans="3:14">
      <c r="C333" s="29">
        <v>19</v>
      </c>
      <c r="D333" s="34" t="s">
        <v>777</v>
      </c>
      <c r="E333" s="199">
        <v>4.7781495089405997E-2</v>
      </c>
      <c r="F333" s="199">
        <v>4.6351920651997579E-2</v>
      </c>
      <c r="G333" s="199">
        <v>4.5914530169780372E-2</v>
      </c>
      <c r="H333" s="199">
        <v>4.3465190096655497E-2</v>
      </c>
      <c r="I333" s="199">
        <v>4.400489756184104E-2</v>
      </c>
      <c r="J333" s="199">
        <v>4.9784193385003964E-2</v>
      </c>
      <c r="K333" s="199">
        <v>4.4029280138472238E-2</v>
      </c>
      <c r="L333" s="199">
        <v>4.6430129588659379E-2</v>
      </c>
      <c r="M333" s="199">
        <v>3.928066343967615E-2</v>
      </c>
      <c r="N333" s="199">
        <v>4.318664631517441E-2</v>
      </c>
    </row>
    <row r="334" spans="3:14">
      <c r="C334" s="29">
        <v>20</v>
      </c>
      <c r="D334" s="34" t="s">
        <v>778</v>
      </c>
      <c r="E334" s="199">
        <v>4.6734977974967847E-2</v>
      </c>
      <c r="F334" s="199">
        <v>4.5476598285098382E-2</v>
      </c>
      <c r="G334" s="199">
        <v>4.3485263260759265E-2</v>
      </c>
      <c r="H334" s="199">
        <v>4.1539291173998856E-2</v>
      </c>
      <c r="I334" s="199">
        <v>3.7722551910571209E-2</v>
      </c>
      <c r="J334" s="199">
        <v>4.733761363117376E-2</v>
      </c>
      <c r="K334" s="199">
        <v>4.1838227041642778E-2</v>
      </c>
      <c r="L334" s="199">
        <v>4.406527601879056E-2</v>
      </c>
      <c r="M334" s="199">
        <v>3.7947383132747738E-2</v>
      </c>
      <c r="N334" s="199">
        <v>3.3081533369775484E-2</v>
      </c>
    </row>
    <row r="335" spans="3:14">
      <c r="C335" s="29">
        <v>21</v>
      </c>
      <c r="D335" s="34" t="s">
        <v>779</v>
      </c>
      <c r="E335" s="199">
        <v>4.4885463690541777E-2</v>
      </c>
      <c r="F335" s="199">
        <v>4.418961877283973E-2</v>
      </c>
      <c r="G335" s="199">
        <v>4.3807538833980787E-2</v>
      </c>
      <c r="H335" s="199">
        <v>4.226061257380842E-2</v>
      </c>
      <c r="I335" s="199">
        <v>3.7571487561577535E-2</v>
      </c>
      <c r="J335" s="199">
        <v>4.5358719778715952E-2</v>
      </c>
      <c r="K335" s="199">
        <v>4.2140335725624409E-2</v>
      </c>
      <c r="L335" s="199">
        <v>4.1720724009285039E-2</v>
      </c>
      <c r="M335" s="199">
        <v>3.8265352632047799E-2</v>
      </c>
      <c r="N335" s="199">
        <v>2.9878571278263263E-2</v>
      </c>
    </row>
    <row r="336" spans="3:14">
      <c r="C336" s="29">
        <v>22</v>
      </c>
      <c r="D336" s="34" t="s">
        <v>780</v>
      </c>
      <c r="E336" s="199">
        <v>4.3015743229069939E-2</v>
      </c>
      <c r="F336" s="199">
        <v>4.3058137436957272E-2</v>
      </c>
      <c r="G336" s="199">
        <v>4.1645402399512484E-2</v>
      </c>
      <c r="H336" s="199">
        <v>4.1152372750511153E-2</v>
      </c>
      <c r="I336" s="199">
        <v>3.7025168171609092E-2</v>
      </c>
      <c r="J336" s="199">
        <v>4.2571142799314871E-2</v>
      </c>
      <c r="K336" s="199">
        <v>4.1936406323373948E-2</v>
      </c>
      <c r="L336" s="199">
        <v>3.8219921032494435E-2</v>
      </c>
      <c r="M336" s="199">
        <v>3.8417535895081782E-2</v>
      </c>
      <c r="N336" s="199">
        <v>2.8990599587652269E-2</v>
      </c>
    </row>
    <row r="337" spans="1:14">
      <c r="C337" s="29">
        <v>23</v>
      </c>
      <c r="D337" s="34" t="s">
        <v>781</v>
      </c>
      <c r="E337" s="199">
        <v>4.0145009225029067E-2</v>
      </c>
      <c r="F337" s="199">
        <v>4.3523579861756333E-2</v>
      </c>
      <c r="G337" s="199">
        <v>4.0118770515527119E-2</v>
      </c>
      <c r="H337" s="199">
        <v>4.1483355453476228E-2</v>
      </c>
      <c r="I337" s="199">
        <v>4.0695229885405498E-2</v>
      </c>
      <c r="J337" s="199">
        <v>3.7200373606583723E-2</v>
      </c>
      <c r="K337" s="199">
        <v>4.2015477291248909E-2</v>
      </c>
      <c r="L337" s="199">
        <v>3.4353562786327313E-2</v>
      </c>
      <c r="M337" s="199">
        <v>3.8980736772926988E-2</v>
      </c>
      <c r="N337" s="199">
        <v>2.9647096706943897E-2</v>
      </c>
    </row>
    <row r="338" spans="1:14">
      <c r="C338" s="29">
        <v>24</v>
      </c>
      <c r="D338" s="34" t="s">
        <v>782</v>
      </c>
      <c r="E338" s="199">
        <v>3.5773130829959796E-2</v>
      </c>
      <c r="F338" s="199">
        <v>4.1897396226613606E-2</v>
      </c>
      <c r="G338" s="199">
        <v>3.7407636663658761E-2</v>
      </c>
      <c r="H338" s="199">
        <v>4.0026105236395756E-2</v>
      </c>
      <c r="I338" s="199">
        <v>4.1312744282754478E-2</v>
      </c>
      <c r="J338" s="199">
        <v>3.4552032497686062E-2</v>
      </c>
      <c r="K338" s="199">
        <v>4.1498546056654102E-2</v>
      </c>
      <c r="L338" s="199">
        <v>3.2844649709771148E-2</v>
      </c>
      <c r="M338" s="199">
        <v>3.8704709774425868E-2</v>
      </c>
      <c r="N338" s="199">
        <v>2.9042228693940211E-2</v>
      </c>
    </row>
    <row r="339" spans="1:14">
      <c r="A339" s="16" t="s">
        <v>433</v>
      </c>
      <c r="B339" s="16" t="s">
        <v>423</v>
      </c>
      <c r="C339" s="29">
        <v>1</v>
      </c>
      <c r="D339" s="34" t="s">
        <v>783</v>
      </c>
      <c r="E339" s="199">
        <v>3.3947564686188481E-2</v>
      </c>
      <c r="F339" s="199">
        <v>4.4856643499949188E-2</v>
      </c>
      <c r="G339" s="199">
        <v>3.8111460707143476E-2</v>
      </c>
      <c r="H339" s="199">
        <v>4.1401144403838554E-2</v>
      </c>
      <c r="I339" s="199">
        <v>4.1297950721303961E-2</v>
      </c>
      <c r="J339" s="199">
        <v>3.3681394784623203E-2</v>
      </c>
      <c r="K339" s="199">
        <v>4.3916303578236754E-2</v>
      </c>
      <c r="L339" s="199">
        <v>3.6171394937867321E-2</v>
      </c>
      <c r="M339" s="199">
        <v>4.2532357604459191E-2</v>
      </c>
      <c r="N339" s="199">
        <v>3.2847330331991949E-2</v>
      </c>
    </row>
    <row r="340" spans="1:14">
      <c r="C340" s="29">
        <v>2</v>
      </c>
      <c r="D340" s="34" t="s">
        <v>784</v>
      </c>
      <c r="E340" s="199">
        <v>3.1824011540240414E-2</v>
      </c>
      <c r="F340" s="199">
        <v>4.4157891250695316E-2</v>
      </c>
      <c r="G340" s="199">
        <v>3.8169415699289957E-2</v>
      </c>
      <c r="H340" s="199">
        <v>4.1204271237099681E-2</v>
      </c>
      <c r="I340" s="199">
        <v>3.7064776712357028E-2</v>
      </c>
      <c r="J340" s="199">
        <v>3.2197829814979338E-2</v>
      </c>
      <c r="K340" s="199">
        <v>4.3794428155681832E-2</v>
      </c>
      <c r="L340" s="199">
        <v>3.6926373298865535E-2</v>
      </c>
      <c r="M340" s="199">
        <v>4.3953606984237489E-2</v>
      </c>
      <c r="N340" s="199">
        <v>3.5346758824607957E-2</v>
      </c>
    </row>
    <row r="341" spans="1:14">
      <c r="C341" s="29">
        <v>3</v>
      </c>
      <c r="D341" s="34" t="s">
        <v>785</v>
      </c>
      <c r="E341" s="199">
        <v>3.1741900119351414E-2</v>
      </c>
      <c r="F341" s="199">
        <v>4.4470191479916786E-2</v>
      </c>
      <c r="G341" s="199">
        <v>3.818190594232073E-2</v>
      </c>
      <c r="H341" s="199">
        <v>4.1206387463321947E-2</v>
      </c>
      <c r="I341" s="199">
        <v>3.7530287381226213E-2</v>
      </c>
      <c r="J341" s="199">
        <v>3.1218667408429934E-2</v>
      </c>
      <c r="K341" s="199">
        <v>4.3731250305058623E-2</v>
      </c>
      <c r="L341" s="199">
        <v>3.6334639172325663E-2</v>
      </c>
      <c r="M341" s="199">
        <v>4.2628908695573113E-2</v>
      </c>
      <c r="N341" s="199">
        <v>3.5812109730141733E-2</v>
      </c>
    </row>
    <row r="342" spans="1:14">
      <c r="C342" s="29">
        <v>4</v>
      </c>
      <c r="D342" s="34" t="s">
        <v>786</v>
      </c>
      <c r="E342" s="199">
        <v>3.1963221709697523E-2</v>
      </c>
      <c r="F342" s="199">
        <v>4.4309741520003262E-2</v>
      </c>
      <c r="G342" s="199">
        <v>3.7940862104477009E-2</v>
      </c>
      <c r="H342" s="199">
        <v>4.1101986969689745E-2</v>
      </c>
      <c r="I342" s="199">
        <v>3.8833282831738453E-2</v>
      </c>
      <c r="J342" s="199">
        <v>3.0738392173973048E-2</v>
      </c>
      <c r="K342" s="199">
        <v>4.3884152150974895E-2</v>
      </c>
      <c r="L342" s="199">
        <v>3.5530405827054946E-2</v>
      </c>
      <c r="M342" s="199">
        <v>4.2952419795484871E-2</v>
      </c>
      <c r="N342" s="199">
        <v>3.8810555121457313E-2</v>
      </c>
    </row>
    <row r="343" spans="1:14">
      <c r="C343" s="29">
        <v>5</v>
      </c>
      <c r="D343" s="34" t="s">
        <v>787</v>
      </c>
      <c r="E343" s="199">
        <v>3.2075603062582392E-2</v>
      </c>
      <c r="F343" s="199">
        <v>4.3863968067322102E-2</v>
      </c>
      <c r="G343" s="199">
        <v>3.8738928464100139E-2</v>
      </c>
      <c r="H343" s="199">
        <v>4.1190291318419198E-2</v>
      </c>
      <c r="I343" s="199">
        <v>3.8460629934087269E-2</v>
      </c>
      <c r="J343" s="199">
        <v>3.1121416023090317E-2</v>
      </c>
      <c r="K343" s="199">
        <v>4.3910737769465823E-2</v>
      </c>
      <c r="L343" s="199">
        <v>3.6358914522043158E-2</v>
      </c>
      <c r="M343" s="199">
        <v>4.2972076385334963E-2</v>
      </c>
      <c r="N343" s="199">
        <v>5.7348752358203282E-2</v>
      </c>
    </row>
    <row r="344" spans="1:14">
      <c r="C344" s="29">
        <v>6</v>
      </c>
      <c r="D344" s="34" t="s">
        <v>788</v>
      </c>
      <c r="E344" s="199">
        <v>3.3232523118573366E-2</v>
      </c>
      <c r="F344" s="199">
        <v>4.4377114892263612E-2</v>
      </c>
      <c r="G344" s="199">
        <v>4.0588621712591512E-2</v>
      </c>
      <c r="H344" s="199">
        <v>4.179559614605706E-2</v>
      </c>
      <c r="I344" s="199">
        <v>3.7135777610525174E-2</v>
      </c>
      <c r="J344" s="199">
        <v>3.4103046426721323E-2</v>
      </c>
      <c r="K344" s="199">
        <v>4.497582040958787E-2</v>
      </c>
      <c r="L344" s="199">
        <v>3.7356466562811129E-2</v>
      </c>
      <c r="M344" s="199">
        <v>4.2995716248899182E-2</v>
      </c>
      <c r="N344" s="199">
        <v>6.0378329743199066E-2</v>
      </c>
    </row>
    <row r="345" spans="1:14">
      <c r="C345" s="29">
        <v>7</v>
      </c>
      <c r="D345" s="34" t="s">
        <v>789</v>
      </c>
      <c r="E345" s="199">
        <v>3.6444455604818786E-2</v>
      </c>
      <c r="F345" s="199">
        <v>4.4737822615578647E-2</v>
      </c>
      <c r="G345" s="199">
        <v>4.1794039264589834E-2</v>
      </c>
      <c r="H345" s="199">
        <v>4.1438659323233422E-2</v>
      </c>
      <c r="I345" s="199">
        <v>3.3881411394680275E-2</v>
      </c>
      <c r="J345" s="199">
        <v>3.7979193026997454E-2</v>
      </c>
      <c r="K345" s="199">
        <v>4.6118449371202755E-2</v>
      </c>
      <c r="L345" s="199">
        <v>4.0343698193388011E-2</v>
      </c>
      <c r="M345" s="199">
        <v>4.2220363361155637E-2</v>
      </c>
      <c r="N345" s="199">
        <v>4.4998943865214407E-2</v>
      </c>
    </row>
    <row r="346" spans="1:14">
      <c r="C346" s="29">
        <v>8</v>
      </c>
      <c r="D346" s="34" t="s">
        <v>790</v>
      </c>
      <c r="E346" s="199">
        <v>4.0991029358268913E-2</v>
      </c>
      <c r="F346" s="199">
        <v>3.9025738312537764E-2</v>
      </c>
      <c r="G346" s="199">
        <v>4.3747535755717555E-2</v>
      </c>
      <c r="H346" s="199">
        <v>4.0376762656122979E-2</v>
      </c>
      <c r="I346" s="199">
        <v>3.8381347860415756E-2</v>
      </c>
      <c r="J346" s="199">
        <v>4.3016600188739693E-2</v>
      </c>
      <c r="K346" s="199">
        <v>4.1701407741064997E-2</v>
      </c>
      <c r="L346" s="199">
        <v>4.0385011242259107E-2</v>
      </c>
      <c r="M346" s="199">
        <v>4.1307154565740897E-2</v>
      </c>
      <c r="N346" s="199">
        <v>3.0994795708056477E-2</v>
      </c>
    </row>
    <row r="347" spans="1:14">
      <c r="C347" s="29">
        <v>9</v>
      </c>
      <c r="D347" s="34" t="s">
        <v>791</v>
      </c>
      <c r="E347" s="199">
        <v>4.5474559913759233E-2</v>
      </c>
      <c r="F347" s="199">
        <v>3.7552493545336518E-2</v>
      </c>
      <c r="G347" s="199">
        <v>4.4202269204079263E-2</v>
      </c>
      <c r="H347" s="199">
        <v>4.0052467019576245E-2</v>
      </c>
      <c r="I347" s="199">
        <v>4.1816678124555383E-2</v>
      </c>
      <c r="J347" s="199">
        <v>4.5273638578503438E-2</v>
      </c>
      <c r="K347" s="199">
        <v>3.9576650374307548E-2</v>
      </c>
      <c r="L347" s="199">
        <v>4.3251270713410429E-2</v>
      </c>
      <c r="M347" s="199">
        <v>4.1431155608319503E-2</v>
      </c>
      <c r="N347" s="199">
        <v>3.2860724329272971E-2</v>
      </c>
    </row>
    <row r="348" spans="1:14">
      <c r="C348" s="29">
        <v>10</v>
      </c>
      <c r="D348" s="34" t="s">
        <v>792</v>
      </c>
      <c r="E348" s="199">
        <v>4.7807829927468661E-2</v>
      </c>
      <c r="F348" s="199">
        <v>3.7813264099798689E-2</v>
      </c>
      <c r="G348" s="199">
        <v>4.5054091877011114E-2</v>
      </c>
      <c r="H348" s="199">
        <v>3.9614857088036803E-2</v>
      </c>
      <c r="I348" s="199">
        <v>4.2367987201918408E-2</v>
      </c>
      <c r="J348" s="199">
        <v>4.754202363175572E-2</v>
      </c>
      <c r="K348" s="199">
        <v>4.3771553076371532E-2</v>
      </c>
      <c r="L348" s="199">
        <v>4.4264287051035467E-2</v>
      </c>
      <c r="M348" s="199">
        <v>4.1722540739797837E-2</v>
      </c>
      <c r="N348" s="199">
        <v>3.7427172402284006E-2</v>
      </c>
    </row>
    <row r="349" spans="1:14">
      <c r="C349" s="29">
        <v>11</v>
      </c>
      <c r="D349" s="34" t="s">
        <v>793</v>
      </c>
      <c r="E349" s="199">
        <v>4.8190527430766336E-2</v>
      </c>
      <c r="F349" s="199">
        <v>3.8468675551653383E-2</v>
      </c>
      <c r="G349" s="199">
        <v>4.521543354995651E-2</v>
      </c>
      <c r="H349" s="199">
        <v>3.9498272261609679E-2</v>
      </c>
      <c r="I349" s="199">
        <v>3.9519127071787188E-2</v>
      </c>
      <c r="J349" s="199">
        <v>4.7352564936847349E-2</v>
      </c>
      <c r="K349" s="199">
        <v>4.2532844834271236E-2</v>
      </c>
      <c r="L349" s="199">
        <v>4.6072710696287017E-2</v>
      </c>
      <c r="M349" s="199">
        <v>4.0647056836986266E-2</v>
      </c>
      <c r="N349" s="199">
        <v>3.8660687151880514E-2</v>
      </c>
    </row>
    <row r="350" spans="1:14">
      <c r="C350" s="29">
        <v>12</v>
      </c>
      <c r="D350" s="34" t="s">
        <v>794</v>
      </c>
      <c r="E350" s="199">
        <v>4.6482060124501713E-2</v>
      </c>
      <c r="F350" s="199">
        <v>3.8888732095166863E-2</v>
      </c>
      <c r="G350" s="199">
        <v>4.5872087083905139E-2</v>
      </c>
      <c r="H350" s="199">
        <v>4.0552665944841138E-2</v>
      </c>
      <c r="I350" s="199">
        <v>4.3624418009846171E-2</v>
      </c>
      <c r="J350" s="199">
        <v>4.7137359393943562E-2</v>
      </c>
      <c r="K350" s="199">
        <v>4.3797645272099069E-2</v>
      </c>
      <c r="L350" s="199">
        <v>4.6417180905735184E-2</v>
      </c>
      <c r="M350" s="199">
        <v>4.1115351277115485E-2</v>
      </c>
      <c r="N350" s="199">
        <v>4.1275774621017759E-2</v>
      </c>
    </row>
    <row r="351" spans="1:14">
      <c r="C351" s="29">
        <v>13</v>
      </c>
      <c r="D351" s="34" t="s">
        <v>795</v>
      </c>
      <c r="E351" s="199">
        <v>4.6578920290100495E-2</v>
      </c>
      <c r="F351" s="199">
        <v>3.7990379383704267E-2</v>
      </c>
      <c r="G351" s="199">
        <v>4.5547565576255444E-2</v>
      </c>
      <c r="H351" s="199">
        <v>4.0538814282295346E-2</v>
      </c>
      <c r="I351" s="199">
        <v>4.410336861928639E-2</v>
      </c>
      <c r="J351" s="199">
        <v>4.580006259367108E-2</v>
      </c>
      <c r="K351" s="199">
        <v>4.1646183865387487E-2</v>
      </c>
      <c r="L351" s="199">
        <v>4.6620659284632715E-2</v>
      </c>
      <c r="M351" s="199">
        <v>4.0608003436006547E-2</v>
      </c>
      <c r="N351" s="199">
        <v>4.2140411445496483E-2</v>
      </c>
    </row>
    <row r="352" spans="1:14">
      <c r="C352" s="29">
        <v>14</v>
      </c>
      <c r="D352" s="34" t="s">
        <v>796</v>
      </c>
      <c r="E352" s="199">
        <v>4.5021074119378633E-2</v>
      </c>
      <c r="F352" s="199">
        <v>3.9528258768195927E-2</v>
      </c>
      <c r="G352" s="199">
        <v>4.5147117408615094E-2</v>
      </c>
      <c r="H352" s="199">
        <v>4.18429226597552E-2</v>
      </c>
      <c r="I352" s="199">
        <v>4.8934009077254391E-2</v>
      </c>
      <c r="J352" s="199">
        <v>4.4704184485537042E-2</v>
      </c>
      <c r="K352" s="199">
        <v>3.9588393836076E-2</v>
      </c>
      <c r="L352" s="199">
        <v>4.8249520265893596E-2</v>
      </c>
      <c r="M352" s="199">
        <v>4.2471829162585975E-2</v>
      </c>
      <c r="N352" s="199">
        <v>4.0485347781474404E-2</v>
      </c>
    </row>
    <row r="353" spans="1:14">
      <c r="C353" s="29">
        <v>15</v>
      </c>
      <c r="D353" s="34" t="s">
        <v>797</v>
      </c>
      <c r="E353" s="199">
        <v>4.3749080786875616E-2</v>
      </c>
      <c r="F353" s="199">
        <v>3.9740854622736979E-2</v>
      </c>
      <c r="G353" s="199">
        <v>4.3855663306952189E-2</v>
      </c>
      <c r="H353" s="199">
        <v>4.1686578431576249E-2</v>
      </c>
      <c r="I353" s="199">
        <v>4.5901062488392763E-2</v>
      </c>
      <c r="J353" s="199">
        <v>4.3980790815714751E-2</v>
      </c>
      <c r="K353" s="199">
        <v>3.7618808059946371E-2</v>
      </c>
      <c r="L353" s="199">
        <v>4.7863811931493222E-2</v>
      </c>
      <c r="M353" s="199">
        <v>4.1265416784649504E-2</v>
      </c>
      <c r="N353" s="199">
        <v>5.6160306599457761E-2</v>
      </c>
    </row>
    <row r="354" spans="1:14">
      <c r="C354" s="29">
        <v>16</v>
      </c>
      <c r="D354" s="34" t="s">
        <v>798</v>
      </c>
      <c r="E354" s="199">
        <v>4.382108070193276E-2</v>
      </c>
      <c r="F354" s="199">
        <v>3.8408737899136396E-2</v>
      </c>
      <c r="G354" s="199">
        <v>4.1476910076531662E-2</v>
      </c>
      <c r="H354" s="199">
        <v>4.0657451206877401E-2</v>
      </c>
      <c r="I354" s="199">
        <v>4.6252130026945039E-2</v>
      </c>
      <c r="J354" s="199">
        <v>4.3790003412974093E-2</v>
      </c>
      <c r="K354" s="199">
        <v>3.6520843726872657E-2</v>
      </c>
      <c r="L354" s="199">
        <v>4.5985034726412244E-2</v>
      </c>
      <c r="M354" s="199">
        <v>4.0227167831774227E-2</v>
      </c>
      <c r="N354" s="199">
        <v>6.549103570531975E-2</v>
      </c>
    </row>
    <row r="355" spans="1:14">
      <c r="C355" s="29">
        <v>17</v>
      </c>
      <c r="D355" s="34" t="s">
        <v>799</v>
      </c>
      <c r="E355" s="199">
        <v>4.5142515526160366E-2</v>
      </c>
      <c r="F355" s="199">
        <v>3.8391648068124014E-2</v>
      </c>
      <c r="G355" s="199">
        <v>4.1253441180972648E-2</v>
      </c>
      <c r="H355" s="199">
        <v>4.0046118340909417E-2</v>
      </c>
      <c r="I355" s="199">
        <v>4.9463868552493961E-2</v>
      </c>
      <c r="J355" s="199">
        <v>4.6086045645105184E-2</v>
      </c>
      <c r="K355" s="199">
        <v>3.6295842946771274E-2</v>
      </c>
      <c r="L355" s="199">
        <v>4.787055508419253E-2</v>
      </c>
      <c r="M355" s="199">
        <v>4.0399227937642716E-2</v>
      </c>
      <c r="N355" s="199">
        <v>6.3010250208919219E-2</v>
      </c>
    </row>
    <row r="356" spans="1:14">
      <c r="C356" s="29">
        <v>18</v>
      </c>
      <c r="D356" s="34" t="s">
        <v>800</v>
      </c>
      <c r="E356" s="199">
        <v>4.7115225362446708E-2</v>
      </c>
      <c r="F356" s="199">
        <v>3.8031268995405369E-2</v>
      </c>
      <c r="G356" s="199">
        <v>4.0852305355695874E-2</v>
      </c>
      <c r="H356" s="199">
        <v>3.9698223575580949E-2</v>
      </c>
      <c r="I356" s="199">
        <v>4.5357491558631252E-2</v>
      </c>
      <c r="J356" s="199">
        <v>4.6482557132218098E-2</v>
      </c>
      <c r="K356" s="199">
        <v>3.5929190359758688E-2</v>
      </c>
      <c r="L356" s="199">
        <v>4.6739683422167375E-2</v>
      </c>
      <c r="M356" s="199">
        <v>4.0557433178418624E-2</v>
      </c>
      <c r="N356" s="199">
        <v>5.236347037021552E-2</v>
      </c>
    </row>
    <row r="357" spans="1:14">
      <c r="C357" s="29">
        <v>19</v>
      </c>
      <c r="D357" s="34" t="s">
        <v>801</v>
      </c>
      <c r="E357" s="199">
        <v>4.8587521580275926E-2</v>
      </c>
      <c r="F357" s="199">
        <v>4.0975047162387618E-2</v>
      </c>
      <c r="G357" s="199">
        <v>4.1781317598316034E-2</v>
      </c>
      <c r="H357" s="199">
        <v>4.0695350894676317E-2</v>
      </c>
      <c r="I357" s="199">
        <v>4.3089942797440807E-2</v>
      </c>
      <c r="J357" s="199">
        <v>4.7864112438285228E-2</v>
      </c>
      <c r="K357" s="199">
        <v>3.6912917454654595E-2</v>
      </c>
      <c r="L357" s="199">
        <v>4.3780743063360029E-2</v>
      </c>
      <c r="M357" s="199">
        <v>4.0516128361861373E-2</v>
      </c>
      <c r="N357" s="199">
        <v>4.4222273022878573E-2</v>
      </c>
    </row>
    <row r="358" spans="1:14">
      <c r="C358" s="29">
        <v>20</v>
      </c>
      <c r="D358" s="34" t="s">
        <v>802</v>
      </c>
      <c r="E358" s="199">
        <v>5.0650664033231659E-2</v>
      </c>
      <c r="F358" s="199">
        <v>4.6440355948862679E-2</v>
      </c>
      <c r="G358" s="199">
        <v>4.1775148515866209E-2</v>
      </c>
      <c r="H358" s="199">
        <v>4.1312711798974409E-2</v>
      </c>
      <c r="I358" s="199">
        <v>4.431026224989492E-2</v>
      </c>
      <c r="J358" s="199">
        <v>5.0225176116337325E-2</v>
      </c>
      <c r="K358" s="199">
        <v>4.2362929771473615E-2</v>
      </c>
      <c r="L358" s="199">
        <v>4.2817041649142587E-2</v>
      </c>
      <c r="M358" s="199">
        <v>4.0758588500981525E-2</v>
      </c>
      <c r="N358" s="199">
        <v>3.8036237278643838E-2</v>
      </c>
    </row>
    <row r="359" spans="1:14">
      <c r="C359" s="29">
        <v>21</v>
      </c>
      <c r="D359" s="34" t="s">
        <v>803</v>
      </c>
      <c r="E359" s="199">
        <v>5.0505927928420867E-2</v>
      </c>
      <c r="F359" s="199">
        <v>4.5521394106251341E-2</v>
      </c>
      <c r="G359" s="199">
        <v>4.0719567595588549E-2</v>
      </c>
      <c r="H359" s="199">
        <v>4.3044682641737775E-2</v>
      </c>
      <c r="I359" s="199">
        <v>4.0687723116589171E-2</v>
      </c>
      <c r="J359" s="199">
        <v>4.9360663646742742E-2</v>
      </c>
      <c r="K359" s="199">
        <v>4.1686506373610918E-2</v>
      </c>
      <c r="L359" s="199">
        <v>4.0734186673813011E-2</v>
      </c>
      <c r="M359" s="199">
        <v>4.0327009453347641E-2</v>
      </c>
      <c r="N359" s="199">
        <v>3.3646807169698152E-2</v>
      </c>
    </row>
    <row r="360" spans="1:14">
      <c r="C360" s="29">
        <v>22</v>
      </c>
      <c r="D360" s="34" t="s">
        <v>804</v>
      </c>
      <c r="E360" s="199">
        <v>4.5509810679491378E-2</v>
      </c>
      <c r="F360" s="199">
        <v>4.5777097964019138E-2</v>
      </c>
      <c r="G360" s="199">
        <v>4.1337189946577604E-2</v>
      </c>
      <c r="H360" s="199">
        <v>4.7590849591722245E-2</v>
      </c>
      <c r="I360" s="199">
        <v>4.0634777896157846E-2</v>
      </c>
      <c r="J360" s="199">
        <v>4.5094518734727786E-2</v>
      </c>
      <c r="K360" s="199">
        <v>4.3705197583152146E-2</v>
      </c>
      <c r="L360" s="199">
        <v>3.8999173484281252E-2</v>
      </c>
      <c r="M360" s="199">
        <v>4.2583014454953945E-2</v>
      </c>
      <c r="N360" s="199">
        <v>2.7543669408635115E-2</v>
      </c>
    </row>
    <row r="361" spans="1:14">
      <c r="C361" s="29">
        <v>23</v>
      </c>
      <c r="D361" s="34" t="s">
        <v>805</v>
      </c>
      <c r="E361" s="199">
        <v>3.9321398604679356E-2</v>
      </c>
      <c r="F361" s="199">
        <v>4.3707256507942542E-2</v>
      </c>
      <c r="G361" s="199">
        <v>4.0141730206122064E-2</v>
      </c>
      <c r="H361" s="199">
        <v>4.7047620733271102E-2</v>
      </c>
      <c r="I361" s="199">
        <v>4.2055746158349103E-2</v>
      </c>
      <c r="J361" s="199">
        <v>3.9815778118708053E-2</v>
      </c>
      <c r="K361" s="199">
        <v>4.2935596230652719E-2</v>
      </c>
      <c r="L361" s="199">
        <v>3.54242386340003E-2</v>
      </c>
      <c r="M361" s="199">
        <v>4.1702364592506772E-2</v>
      </c>
      <c r="N361" s="199">
        <v>2.4884779948389675E-2</v>
      </c>
    </row>
    <row r="362" spans="1:14">
      <c r="C362" s="29">
        <v>24</v>
      </c>
      <c r="D362" s="34" t="s">
        <v>806</v>
      </c>
      <c r="E362" s="199">
        <v>3.3821493790788804E-2</v>
      </c>
      <c r="F362" s="199">
        <v>4.2965423643011612E-2</v>
      </c>
      <c r="G362" s="199">
        <v>3.8495391867324397E-2</v>
      </c>
      <c r="H362" s="199">
        <v>4.6405314010777104E-2</v>
      </c>
      <c r="I362" s="199">
        <v>3.9295942604122877E-2</v>
      </c>
      <c r="J362" s="199">
        <v>3.5433980471374298E-2</v>
      </c>
      <c r="K362" s="199">
        <v>4.308634675332066E-2</v>
      </c>
      <c r="L362" s="199">
        <v>3.5502998657528206E-2</v>
      </c>
      <c r="M362" s="199">
        <v>4.2105108202166723E-2</v>
      </c>
      <c r="N362" s="199">
        <v>2.5253476873544203E-2</v>
      </c>
    </row>
    <row r="363" spans="1:14">
      <c r="A363" s="16" t="s">
        <v>433</v>
      </c>
      <c r="B363" s="16" t="s">
        <v>308</v>
      </c>
      <c r="C363" s="29">
        <v>1</v>
      </c>
      <c r="D363" s="34" t="s">
        <v>807</v>
      </c>
      <c r="E363" s="199">
        <v>3.39324761184433E-2</v>
      </c>
      <c r="F363" s="199">
        <v>3.4579380793789811E-2</v>
      </c>
      <c r="G363" s="199">
        <v>3.1390769015298352E-2</v>
      </c>
      <c r="H363" s="199">
        <v>3.2864689858599132E-2</v>
      </c>
      <c r="I363" s="199">
        <v>3.649847156856998E-2</v>
      </c>
      <c r="J363" s="199">
        <v>3.3752457442076868E-2</v>
      </c>
      <c r="K363" s="199">
        <v>3.7194847938788307E-2</v>
      </c>
      <c r="L363" s="199">
        <v>2.5321947496958794E-2</v>
      </c>
      <c r="M363" s="199">
        <v>3.2159125871452643E-2</v>
      </c>
      <c r="N363" s="199">
        <v>2.5782425135855453E-2</v>
      </c>
    </row>
    <row r="364" spans="1:14">
      <c r="C364" s="29">
        <v>2</v>
      </c>
      <c r="D364" s="34" t="s">
        <v>808</v>
      </c>
      <c r="E364" s="199">
        <v>3.2389410371853909E-2</v>
      </c>
      <c r="F364" s="199">
        <v>3.4950402057296742E-2</v>
      </c>
      <c r="G364" s="199">
        <v>3.1654356542597878E-2</v>
      </c>
      <c r="H364" s="199">
        <v>3.2674106473968192E-2</v>
      </c>
      <c r="I364" s="199">
        <v>3.8104063608400893E-2</v>
      </c>
      <c r="J364" s="199">
        <v>3.1736834040432253E-2</v>
      </c>
      <c r="K364" s="199">
        <v>3.6940715110503529E-2</v>
      </c>
      <c r="L364" s="199">
        <v>2.5083337216206692E-2</v>
      </c>
      <c r="M364" s="199">
        <v>3.2834714139192742E-2</v>
      </c>
      <c r="N364" s="199">
        <v>2.5215151363174867E-2</v>
      </c>
    </row>
    <row r="365" spans="1:14">
      <c r="C365" s="29">
        <v>3</v>
      </c>
      <c r="D365" s="34" t="s">
        <v>809</v>
      </c>
      <c r="E365" s="199">
        <v>3.2235426471779398E-2</v>
      </c>
      <c r="F365" s="199">
        <v>3.4863609403448431E-2</v>
      </c>
      <c r="G365" s="199">
        <v>3.203439044584603E-2</v>
      </c>
      <c r="H365" s="199">
        <v>3.2464162380834612E-2</v>
      </c>
      <c r="I365" s="199">
        <v>4.2142845332559728E-2</v>
      </c>
      <c r="J365" s="199">
        <v>3.1605300815585345E-2</v>
      </c>
      <c r="K365" s="199">
        <v>3.7286371300023734E-2</v>
      </c>
      <c r="L365" s="199">
        <v>2.4871615282545275E-2</v>
      </c>
      <c r="M365" s="199">
        <v>3.2987358066940572E-2</v>
      </c>
      <c r="N365" s="199">
        <v>2.5647171904290469E-2</v>
      </c>
    </row>
    <row r="366" spans="1:14">
      <c r="C366" s="29">
        <v>4</v>
      </c>
      <c r="D366" s="34" t="s">
        <v>810</v>
      </c>
      <c r="E366" s="199">
        <v>3.3606723369870493E-2</v>
      </c>
      <c r="F366" s="199">
        <v>3.5391029642654441E-2</v>
      </c>
      <c r="G366" s="199">
        <v>3.2412573244670347E-2</v>
      </c>
      <c r="H366" s="199">
        <v>3.2209720249044602E-2</v>
      </c>
      <c r="I366" s="199">
        <v>4.1743263603190042E-2</v>
      </c>
      <c r="J366" s="199">
        <v>3.0790537098740536E-2</v>
      </c>
      <c r="K366" s="199">
        <v>3.7424032278013386E-2</v>
      </c>
      <c r="L366" s="199">
        <v>2.5342753704168625E-2</v>
      </c>
      <c r="M366" s="199">
        <v>3.3338611056658411E-2</v>
      </c>
      <c r="N366" s="199">
        <v>2.5506192623505942E-2</v>
      </c>
    </row>
    <row r="367" spans="1:14">
      <c r="C367" s="29">
        <v>5</v>
      </c>
      <c r="D367" s="34" t="s">
        <v>811</v>
      </c>
      <c r="E367" s="199">
        <v>3.4848557954246268E-2</v>
      </c>
      <c r="F367" s="199">
        <v>3.5866566615452809E-2</v>
      </c>
      <c r="G367" s="199">
        <v>3.4347670178592443E-2</v>
      </c>
      <c r="H367" s="199">
        <v>3.3970596995795702E-2</v>
      </c>
      <c r="I367" s="199">
        <v>3.769621467083735E-2</v>
      </c>
      <c r="J367" s="199">
        <v>3.2828620509388645E-2</v>
      </c>
      <c r="K367" s="199">
        <v>3.8148016924918274E-2</v>
      </c>
      <c r="L367" s="199">
        <v>3.0828209218630654E-2</v>
      </c>
      <c r="M367" s="199">
        <v>3.5824961065216522E-2</v>
      </c>
      <c r="N367" s="199">
        <v>2.4669202187587745E-2</v>
      </c>
    </row>
    <row r="368" spans="1:14">
      <c r="C368" s="29">
        <v>6</v>
      </c>
      <c r="D368" s="34" t="s">
        <v>812</v>
      </c>
      <c r="E368" s="199">
        <v>4.0770020648061588E-2</v>
      </c>
      <c r="F368" s="199">
        <v>3.7372321878596466E-2</v>
      </c>
      <c r="G368" s="199">
        <v>3.7359855495644065E-2</v>
      </c>
      <c r="H368" s="199">
        <v>3.636455537162632E-2</v>
      </c>
      <c r="I368" s="199">
        <v>3.6079599686747975E-2</v>
      </c>
      <c r="J368" s="199">
        <v>3.6630613346903491E-2</v>
      </c>
      <c r="K368" s="199">
        <v>3.9751469987189814E-2</v>
      </c>
      <c r="L368" s="199">
        <v>3.8572243578172599E-2</v>
      </c>
      <c r="M368" s="199">
        <v>4.4448549340363942E-2</v>
      </c>
      <c r="N368" s="199">
        <v>3.8877702250969176E-2</v>
      </c>
    </row>
    <row r="369" spans="3:14">
      <c r="C369" s="29">
        <v>7</v>
      </c>
      <c r="D369" s="34" t="s">
        <v>813</v>
      </c>
      <c r="E369" s="199">
        <v>4.7709388492891101E-2</v>
      </c>
      <c r="F369" s="199">
        <v>4.2684530999647863E-2</v>
      </c>
      <c r="G369" s="199">
        <v>4.3065933595395962E-2</v>
      </c>
      <c r="H369" s="199">
        <v>4.4222656271154619E-2</v>
      </c>
      <c r="I369" s="199">
        <v>4.0297128472916374E-2</v>
      </c>
      <c r="J369" s="199">
        <v>4.5708509157584121E-2</v>
      </c>
      <c r="K369" s="199">
        <v>4.1951260290012865E-2</v>
      </c>
      <c r="L369" s="199">
        <v>4.6336068692005135E-2</v>
      </c>
      <c r="M369" s="199">
        <v>4.8993542130120867E-2</v>
      </c>
      <c r="N369" s="199">
        <v>4.7275249606383477E-2</v>
      </c>
    </row>
    <row r="370" spans="3:14">
      <c r="C370" s="29">
        <v>8</v>
      </c>
      <c r="D370" s="34" t="s">
        <v>814</v>
      </c>
      <c r="E370" s="199">
        <v>5.1242941517995751E-2</v>
      </c>
      <c r="F370" s="199">
        <v>4.5756646548333751E-2</v>
      </c>
      <c r="G370" s="199">
        <v>4.5075783755042079E-2</v>
      </c>
      <c r="H370" s="199">
        <v>4.7690569845673943E-2</v>
      </c>
      <c r="I370" s="199">
        <v>3.8383269776038828E-2</v>
      </c>
      <c r="J370" s="199">
        <v>5.0979587861390702E-2</v>
      </c>
      <c r="K370" s="199">
        <v>4.3629729699525534E-2</v>
      </c>
      <c r="L370" s="199">
        <v>4.9525754398220115E-2</v>
      </c>
      <c r="M370" s="199">
        <v>5.2913012273153794E-2</v>
      </c>
      <c r="N370" s="199">
        <v>5.5076498043073317E-2</v>
      </c>
    </row>
    <row r="371" spans="3:14">
      <c r="C371" s="29">
        <v>9</v>
      </c>
      <c r="D371" s="34" t="s">
        <v>815</v>
      </c>
      <c r="E371" s="199">
        <v>4.7796844238639544E-2</v>
      </c>
      <c r="F371" s="199">
        <v>5.0119749709755614E-2</v>
      </c>
      <c r="G371" s="199">
        <v>4.8562999272835312E-2</v>
      </c>
      <c r="H371" s="199">
        <v>5.0781829636596339E-2</v>
      </c>
      <c r="I371" s="199">
        <v>4.4235200569986428E-2</v>
      </c>
      <c r="J371" s="199">
        <v>4.6670471662691747E-2</v>
      </c>
      <c r="K371" s="199">
        <v>4.8401179496210728E-2</v>
      </c>
      <c r="L371" s="199">
        <v>5.5220721120717305E-2</v>
      </c>
      <c r="M371" s="199">
        <v>5.4974631214122389E-2</v>
      </c>
      <c r="N371" s="199">
        <v>5.6412247111010713E-2</v>
      </c>
    </row>
    <row r="372" spans="3:14">
      <c r="C372" s="29">
        <v>10</v>
      </c>
      <c r="D372" s="34" t="s">
        <v>816</v>
      </c>
      <c r="E372" s="199">
        <v>4.4409080693016301E-2</v>
      </c>
      <c r="F372" s="199">
        <v>5.0751014753946062E-2</v>
      </c>
      <c r="G372" s="199">
        <v>4.9900757799391689E-2</v>
      </c>
      <c r="H372" s="199">
        <v>5.1937605265390638E-2</v>
      </c>
      <c r="I372" s="199">
        <v>4.7797490476426681E-2</v>
      </c>
      <c r="J372" s="199">
        <v>4.4335961926482842E-2</v>
      </c>
      <c r="K372" s="199">
        <v>5.0321239137453504E-2</v>
      </c>
      <c r="L372" s="199">
        <v>5.6571411012555167E-2</v>
      </c>
      <c r="M372" s="199">
        <v>5.5424494297545611E-2</v>
      </c>
      <c r="N372" s="199">
        <v>5.4676859297544074E-2</v>
      </c>
    </row>
    <row r="373" spans="3:14">
      <c r="C373" s="29">
        <v>11</v>
      </c>
      <c r="D373" s="34" t="s">
        <v>817</v>
      </c>
      <c r="E373" s="199">
        <v>4.3405955215408507E-2</v>
      </c>
      <c r="F373" s="199">
        <v>5.1139255894665871E-2</v>
      </c>
      <c r="G373" s="199">
        <v>5.000676870946559E-2</v>
      </c>
      <c r="H373" s="199">
        <v>4.9106835007049286E-2</v>
      </c>
      <c r="I373" s="199">
        <v>4.2971319802168215E-2</v>
      </c>
      <c r="J373" s="199">
        <v>4.5037355313386124E-2</v>
      </c>
      <c r="K373" s="199">
        <v>5.0315873503505054E-2</v>
      </c>
      <c r="L373" s="199">
        <v>5.4957316864520427E-2</v>
      </c>
      <c r="M373" s="199">
        <v>5.1652244857791144E-2</v>
      </c>
      <c r="N373" s="199">
        <v>5.2243683279185958E-2</v>
      </c>
    </row>
    <row r="374" spans="3:14">
      <c r="C374" s="29">
        <v>12</v>
      </c>
      <c r="D374" s="34" t="s">
        <v>818</v>
      </c>
      <c r="E374" s="199">
        <v>4.145509439432863E-2</v>
      </c>
      <c r="F374" s="199">
        <v>5.1339308377273449E-2</v>
      </c>
      <c r="G374" s="199">
        <v>4.9727625409902589E-2</v>
      </c>
      <c r="H374" s="199">
        <v>5.0863830586128526E-2</v>
      </c>
      <c r="I374" s="199">
        <v>4.2722050949050454E-2</v>
      </c>
      <c r="J374" s="199">
        <v>4.2846327654609204E-2</v>
      </c>
      <c r="K374" s="199">
        <v>5.0977572367791733E-2</v>
      </c>
      <c r="L374" s="199">
        <v>5.6529692821789747E-2</v>
      </c>
      <c r="M374" s="199">
        <v>5.196950348924971E-2</v>
      </c>
      <c r="N374" s="199">
        <v>5.1721428100369345E-2</v>
      </c>
    </row>
    <row r="375" spans="3:14">
      <c r="C375" s="29">
        <v>13</v>
      </c>
      <c r="D375" s="34" t="s">
        <v>819</v>
      </c>
      <c r="E375" s="199">
        <v>4.0648954601768907E-2</v>
      </c>
      <c r="F375" s="199">
        <v>5.0212815318874331E-2</v>
      </c>
      <c r="G375" s="199">
        <v>4.9671096361357109E-2</v>
      </c>
      <c r="H375" s="199">
        <v>4.9344579091878976E-2</v>
      </c>
      <c r="I375" s="199">
        <v>4.0014790787023191E-2</v>
      </c>
      <c r="J375" s="199">
        <v>4.3077860635047774E-2</v>
      </c>
      <c r="K375" s="199">
        <v>4.8943159789023277E-2</v>
      </c>
      <c r="L375" s="199">
        <v>5.6057761077573237E-2</v>
      </c>
      <c r="M375" s="199">
        <v>5.3765979663172786E-2</v>
      </c>
      <c r="N375" s="199">
        <v>5.2652997073396497E-2</v>
      </c>
    </row>
    <row r="376" spans="3:14">
      <c r="C376" s="29">
        <v>14</v>
      </c>
      <c r="D376" s="34" t="s">
        <v>820</v>
      </c>
      <c r="E376" s="199">
        <v>3.8946275671303793E-2</v>
      </c>
      <c r="F376" s="199">
        <v>4.9221431206165622E-2</v>
      </c>
      <c r="G376" s="199">
        <v>4.9275420084468925E-2</v>
      </c>
      <c r="H376" s="199">
        <v>5.0953864650144322E-2</v>
      </c>
      <c r="I376" s="199">
        <v>4.0995707565297169E-2</v>
      </c>
      <c r="J376" s="199">
        <v>4.0259901601198973E-2</v>
      </c>
      <c r="K376" s="199">
        <v>4.7528221611208295E-2</v>
      </c>
      <c r="L376" s="199">
        <v>5.5945902591938275E-2</v>
      </c>
      <c r="M376" s="199">
        <v>5.2588346310712672E-2</v>
      </c>
      <c r="N376" s="199">
        <v>4.4440855242711429E-2</v>
      </c>
    </row>
    <row r="377" spans="3:14">
      <c r="C377" s="29">
        <v>15</v>
      </c>
      <c r="D377" s="34" t="s">
        <v>821</v>
      </c>
      <c r="E377" s="199">
        <v>3.8179481993360673E-2</v>
      </c>
      <c r="F377" s="199">
        <v>4.8277770753161198E-2</v>
      </c>
      <c r="G377" s="199">
        <v>4.7924693001773613E-2</v>
      </c>
      <c r="H377" s="199">
        <v>4.7928765229070122E-2</v>
      </c>
      <c r="I377" s="199">
        <v>4.4914238988454473E-2</v>
      </c>
      <c r="J377" s="199">
        <v>3.8986001626332568E-2</v>
      </c>
      <c r="K377" s="199">
        <v>4.6444722401750724E-2</v>
      </c>
      <c r="L377" s="199">
        <v>5.4083710024937295E-2</v>
      </c>
      <c r="M377" s="199">
        <v>5.2843370134540935E-2</v>
      </c>
      <c r="N377" s="199">
        <v>4.3484012673129069E-2</v>
      </c>
    </row>
    <row r="378" spans="3:14">
      <c r="C378" s="29">
        <v>16</v>
      </c>
      <c r="D378" s="34" t="s">
        <v>822</v>
      </c>
      <c r="E378" s="199">
        <v>3.7319695798998097E-2</v>
      </c>
      <c r="F378" s="199">
        <v>4.787434481162639E-2</v>
      </c>
      <c r="G378" s="199">
        <v>4.7059328746559985E-2</v>
      </c>
      <c r="H378" s="199">
        <v>4.401541996942001E-2</v>
      </c>
      <c r="I378" s="199">
        <v>4.416242408573446E-2</v>
      </c>
      <c r="J378" s="199">
        <v>4.0918893600787216E-2</v>
      </c>
      <c r="K378" s="199">
        <v>4.625877071822497E-2</v>
      </c>
      <c r="L378" s="199">
        <v>4.972822090162804E-2</v>
      </c>
      <c r="M378" s="199">
        <v>4.5471753069214374E-2</v>
      </c>
      <c r="N378" s="199">
        <v>4.0562542871325401E-2</v>
      </c>
    </row>
    <row r="379" spans="3:14">
      <c r="C379" s="29">
        <v>17</v>
      </c>
      <c r="D379" s="34" t="s">
        <v>823</v>
      </c>
      <c r="E379" s="199">
        <v>4.0198031588036399E-2</v>
      </c>
      <c r="F379" s="199">
        <v>4.370738052435464E-2</v>
      </c>
      <c r="G379" s="199">
        <v>4.4083451056628545E-2</v>
      </c>
      <c r="H379" s="199">
        <v>4.023001785337129E-2</v>
      </c>
      <c r="I379" s="199">
        <v>4.2375955551480417E-2</v>
      </c>
      <c r="J379" s="199">
        <v>4.2288725183573711E-2</v>
      </c>
      <c r="K379" s="199">
        <v>4.2130086274951017E-2</v>
      </c>
      <c r="L379" s="199">
        <v>4.5029117319136586E-2</v>
      </c>
      <c r="M379" s="199">
        <v>3.4681917302969628E-2</v>
      </c>
      <c r="N379" s="199">
        <v>3.6026722089557782E-2</v>
      </c>
    </row>
    <row r="380" spans="3:14">
      <c r="C380" s="29">
        <v>18</v>
      </c>
      <c r="D380" s="34" t="s">
        <v>824</v>
      </c>
      <c r="E380" s="199">
        <v>4.4418124552350328E-2</v>
      </c>
      <c r="F380" s="199">
        <v>3.7509052176362134E-2</v>
      </c>
      <c r="G380" s="199">
        <v>4.4183973604463335E-2</v>
      </c>
      <c r="H380" s="199">
        <v>4.0153928915060193E-2</v>
      </c>
      <c r="I380" s="199">
        <v>4.1920883318627727E-2</v>
      </c>
      <c r="J380" s="199">
        <v>4.6016266658858385E-2</v>
      </c>
      <c r="K380" s="199">
        <v>3.7952342165861734E-2</v>
      </c>
      <c r="L380" s="199">
        <v>4.2785146187405323E-2</v>
      </c>
      <c r="M380" s="199">
        <v>3.5153208736735254E-2</v>
      </c>
      <c r="N380" s="199">
        <v>3.8435611761226118E-2</v>
      </c>
    </row>
    <row r="381" spans="3:14">
      <c r="C381" s="29">
        <v>19</v>
      </c>
      <c r="D381" s="34" t="s">
        <v>825</v>
      </c>
      <c r="E381" s="199">
        <v>4.7655128140315098E-2</v>
      </c>
      <c r="F381" s="199">
        <v>3.4269758456111431E-2</v>
      </c>
      <c r="G381" s="199">
        <v>4.2806670724338088E-2</v>
      </c>
      <c r="H381" s="199">
        <v>3.9681644965222931E-2</v>
      </c>
      <c r="I381" s="199">
        <v>4.1767188402660145E-2</v>
      </c>
      <c r="J381" s="199">
        <v>4.9096312379087438E-2</v>
      </c>
      <c r="K381" s="199">
        <v>3.3240905446969449E-2</v>
      </c>
      <c r="L381" s="199">
        <v>4.0649183282323573E-2</v>
      </c>
      <c r="M381" s="199">
        <v>3.3712945818812977E-2</v>
      </c>
      <c r="N381" s="199">
        <v>4.4943562874192378E-2</v>
      </c>
    </row>
    <row r="382" spans="3:14">
      <c r="C382" s="29">
        <v>20</v>
      </c>
      <c r="D382" s="34" t="s">
        <v>826</v>
      </c>
      <c r="E382" s="199">
        <v>5.0279607900086426E-2</v>
      </c>
      <c r="F382" s="199">
        <v>3.8595738245879536E-2</v>
      </c>
      <c r="G382" s="199">
        <v>4.262305415569994E-2</v>
      </c>
      <c r="H382" s="199">
        <v>3.961873394505349E-2</v>
      </c>
      <c r="I382" s="199">
        <v>4.3858541554245171E-2</v>
      </c>
      <c r="J382" s="199">
        <v>5.2684823310256146E-2</v>
      </c>
      <c r="K382" s="199">
        <v>3.7919088905786276E-2</v>
      </c>
      <c r="L382" s="199">
        <v>4.0441713557761459E-2</v>
      </c>
      <c r="M382" s="199">
        <v>3.3390065552233721E-2</v>
      </c>
      <c r="N382" s="199">
        <v>4.4492389685687285E-2</v>
      </c>
    </row>
    <row r="383" spans="3:14">
      <c r="C383" s="29">
        <v>21</v>
      </c>
      <c r="D383" s="34" t="s">
        <v>827</v>
      </c>
      <c r="E383" s="199">
        <v>5.1902902154555938E-2</v>
      </c>
      <c r="F383" s="199">
        <v>3.7875455381889245E-2</v>
      </c>
      <c r="G383" s="199">
        <v>4.0559565268450823E-2</v>
      </c>
      <c r="H383" s="199">
        <v>3.8589367044734514E-2</v>
      </c>
      <c r="I383" s="199">
        <v>4.3629564939421411E-2</v>
      </c>
      <c r="J383" s="199">
        <v>4.9733888030593164E-2</v>
      </c>
      <c r="K383" s="199">
        <v>3.7852941233765675E-2</v>
      </c>
      <c r="L383" s="199">
        <v>3.687724110327055E-2</v>
      </c>
      <c r="M383" s="199">
        <v>3.2097221748241221E-2</v>
      </c>
      <c r="N383" s="199">
        <v>3.9811838073646459E-2</v>
      </c>
    </row>
    <row r="384" spans="3:14">
      <c r="C384" s="29">
        <v>22</v>
      </c>
      <c r="D384" s="34" t="s">
        <v>828</v>
      </c>
      <c r="E384" s="199">
        <v>4.821713138913513E-2</v>
      </c>
      <c r="F384" s="199">
        <v>3.6400975441190024E-2</v>
      </c>
      <c r="G384" s="199">
        <v>3.7890440479444933E-2</v>
      </c>
      <c r="H384" s="199">
        <v>3.9532851827849456E-2</v>
      </c>
      <c r="I384" s="199">
        <v>4.4554740692751962E-2</v>
      </c>
      <c r="J384" s="199">
        <v>4.7239554403857992E-2</v>
      </c>
      <c r="K384" s="199">
        <v>3.6114202426367016E-2</v>
      </c>
      <c r="L384" s="199">
        <v>3.2546884439712473E-2</v>
      </c>
      <c r="M384" s="199">
        <v>3.2613221715437325E-2</v>
      </c>
      <c r="N384" s="199">
        <v>4.3960262008216289E-2</v>
      </c>
    </row>
    <row r="385" spans="1:14">
      <c r="C385" s="29">
        <v>23</v>
      </c>
      <c r="D385" s="34" t="s">
        <v>829</v>
      </c>
      <c r="E385" s="199">
        <v>4.1981754823984328E-2</v>
      </c>
      <c r="F385" s="199">
        <v>3.5637027888552775E-2</v>
      </c>
      <c r="G385" s="199">
        <v>3.5096885750089353E-2</v>
      </c>
      <c r="H385" s="199">
        <v>3.7761414694642365E-2</v>
      </c>
      <c r="I385" s="199">
        <v>4.1793743677464648E-2</v>
      </c>
      <c r="J385" s="199">
        <v>4.0619943319733863E-2</v>
      </c>
      <c r="K385" s="199">
        <v>3.6296753596657926E-2</v>
      </c>
      <c r="L385" s="199">
        <v>2.9508934901481754E-2</v>
      </c>
      <c r="M385" s="199">
        <v>3.2783458054268751E-2</v>
      </c>
      <c r="N385" s="199">
        <v>4.6432335671272647E-2</v>
      </c>
    </row>
    <row r="386" spans="1:14">
      <c r="C386" s="29">
        <v>24</v>
      </c>
      <c r="D386" s="34" t="s">
        <v>830</v>
      </c>
      <c r="E386" s="199">
        <v>3.6450991899569934E-2</v>
      </c>
      <c r="F386" s="199">
        <v>3.5604433120971245E-2</v>
      </c>
      <c r="G386" s="199">
        <v>3.3285937302043128E-2</v>
      </c>
      <c r="H386" s="199">
        <v>3.7038253871690401E-2</v>
      </c>
      <c r="I386" s="199">
        <v>4.1341301919946366E-2</v>
      </c>
      <c r="J386" s="199">
        <v>3.6155252421401177E-2</v>
      </c>
      <c r="K386" s="199">
        <v>3.6976497395497361E-2</v>
      </c>
      <c r="L386" s="199">
        <v>2.7185113206340719E-2</v>
      </c>
      <c r="M386" s="199">
        <v>3.3377764091851961E-2</v>
      </c>
      <c r="N386" s="199">
        <v>4.1653059072688049E-2</v>
      </c>
    </row>
    <row r="387" spans="1:14">
      <c r="A387" s="16" t="s">
        <v>433</v>
      </c>
      <c r="B387" s="16" t="s">
        <v>309</v>
      </c>
      <c r="C387" s="29">
        <v>1</v>
      </c>
      <c r="D387" s="34" t="s">
        <v>831</v>
      </c>
      <c r="E387" s="199">
        <v>3.4897683081830409E-2</v>
      </c>
      <c r="F387" s="199">
        <v>3.403254656226757E-2</v>
      </c>
      <c r="G387" s="199">
        <v>3.2848299856427614E-2</v>
      </c>
      <c r="H387" s="199">
        <v>3.5654164791755157E-2</v>
      </c>
      <c r="I387" s="199">
        <v>4.3523426512124729E-2</v>
      </c>
      <c r="J387" s="199">
        <v>3.4162418952636282E-2</v>
      </c>
      <c r="K387" s="199">
        <v>3.7772999648271445E-2</v>
      </c>
      <c r="L387" s="199">
        <v>2.6874364757545868E-2</v>
      </c>
      <c r="M387" s="199">
        <v>3.4039540067763857E-2</v>
      </c>
      <c r="N387" s="199">
        <v>3.3776446149819284E-2</v>
      </c>
    </row>
    <row r="388" spans="1:14">
      <c r="C388" s="29">
        <v>2</v>
      </c>
      <c r="D388" s="34" t="s">
        <v>832</v>
      </c>
      <c r="E388" s="199">
        <v>3.4260680700139587E-2</v>
      </c>
      <c r="F388" s="199">
        <v>3.4263777076640835E-2</v>
      </c>
      <c r="G388" s="199">
        <v>3.2401620321610057E-2</v>
      </c>
      <c r="H388" s="199">
        <v>3.462337500696936E-2</v>
      </c>
      <c r="I388" s="199">
        <v>4.0178690728950965E-2</v>
      </c>
      <c r="J388" s="199">
        <v>3.2544588521590284E-2</v>
      </c>
      <c r="K388" s="199">
        <v>3.7170598489159962E-2</v>
      </c>
      <c r="L388" s="199">
        <v>2.5928541536473313E-2</v>
      </c>
      <c r="M388" s="199">
        <v>3.4021827762935906E-2</v>
      </c>
      <c r="N388" s="199">
        <v>3.0109462720858161E-2</v>
      </c>
    </row>
    <row r="389" spans="1:14">
      <c r="C389" s="29">
        <v>3</v>
      </c>
      <c r="D389" s="34" t="s">
        <v>833</v>
      </c>
      <c r="E389" s="199">
        <v>3.4431084624934757E-2</v>
      </c>
      <c r="F389" s="199">
        <v>3.4038424266428162E-2</v>
      </c>
      <c r="G389" s="199">
        <v>3.2380422760433063E-2</v>
      </c>
      <c r="H389" s="199">
        <v>3.4081371078871187E-2</v>
      </c>
      <c r="I389" s="199">
        <v>3.8035730422297416E-2</v>
      </c>
      <c r="J389" s="199">
        <v>3.1494548305456449E-2</v>
      </c>
      <c r="K389" s="199">
        <v>3.6751625547893962E-2</v>
      </c>
      <c r="L389" s="199">
        <v>2.5492477008800161E-2</v>
      </c>
      <c r="M389" s="199">
        <v>3.2813881223079551E-2</v>
      </c>
      <c r="N389" s="199">
        <v>2.4278386972817336E-2</v>
      </c>
    </row>
    <row r="390" spans="1:14">
      <c r="C390" s="29">
        <v>4</v>
      </c>
      <c r="D390" s="34" t="s">
        <v>834</v>
      </c>
      <c r="E390" s="199">
        <v>3.5569336825956067E-2</v>
      </c>
      <c r="F390" s="199">
        <v>3.4821111325553579E-2</v>
      </c>
      <c r="G390" s="199">
        <v>3.2839614513464989E-2</v>
      </c>
      <c r="H390" s="199">
        <v>3.4189642327603006E-2</v>
      </c>
      <c r="I390" s="199">
        <v>3.7866894870133332E-2</v>
      </c>
      <c r="J390" s="199">
        <v>3.1140294433613647E-2</v>
      </c>
      <c r="K390" s="199">
        <v>3.7137965182681601E-2</v>
      </c>
      <c r="L390" s="199">
        <v>2.5876661160709392E-2</v>
      </c>
      <c r="M390" s="199">
        <v>3.3582448330268376E-2</v>
      </c>
      <c r="N390" s="199">
        <v>2.3812862844289139E-2</v>
      </c>
    </row>
    <row r="391" spans="1:14">
      <c r="C391" s="29">
        <v>5</v>
      </c>
      <c r="D391" s="34" t="s">
        <v>835</v>
      </c>
      <c r="E391" s="199">
        <v>3.6979934702785988E-2</v>
      </c>
      <c r="F391" s="199">
        <v>3.5079920789772956E-2</v>
      </c>
      <c r="G391" s="199">
        <v>3.4566480323798103E-2</v>
      </c>
      <c r="H391" s="199">
        <v>3.4802621675483009E-2</v>
      </c>
      <c r="I391" s="199">
        <v>4.0057277422454199E-2</v>
      </c>
      <c r="J391" s="199">
        <v>3.3887367992000497E-2</v>
      </c>
      <c r="K391" s="199">
        <v>3.7640551766723235E-2</v>
      </c>
      <c r="L391" s="199">
        <v>3.0799711366058094E-2</v>
      </c>
      <c r="M391" s="199">
        <v>3.6024379314313432E-2</v>
      </c>
      <c r="N391" s="199">
        <v>2.38457710208572E-2</v>
      </c>
    </row>
    <row r="392" spans="1:14">
      <c r="C392" s="29">
        <v>6</v>
      </c>
      <c r="D392" s="34" t="s">
        <v>836</v>
      </c>
      <c r="E392" s="199">
        <v>4.2572911778774529E-2</v>
      </c>
      <c r="F392" s="199">
        <v>3.7976077880124359E-2</v>
      </c>
      <c r="G392" s="199">
        <v>3.75651598721395E-2</v>
      </c>
      <c r="H392" s="199">
        <v>3.8749664620901403E-2</v>
      </c>
      <c r="I392" s="199">
        <v>4.1697283879294167E-2</v>
      </c>
      <c r="J392" s="199">
        <v>3.8545766631469899E-2</v>
      </c>
      <c r="K392" s="199">
        <v>4.0410448305255191E-2</v>
      </c>
      <c r="L392" s="199">
        <v>3.9140343361994394E-2</v>
      </c>
      <c r="M392" s="199">
        <v>4.5372313463718762E-2</v>
      </c>
      <c r="N392" s="199">
        <v>3.2083193895482615E-2</v>
      </c>
    </row>
    <row r="393" spans="1:14">
      <c r="C393" s="29">
        <v>7</v>
      </c>
      <c r="D393" s="34" t="s">
        <v>837</v>
      </c>
      <c r="E393" s="199">
        <v>5.0119603830748892E-2</v>
      </c>
      <c r="F393" s="199">
        <v>4.3318734086745248E-2</v>
      </c>
      <c r="G393" s="199">
        <v>4.423475785869465E-2</v>
      </c>
      <c r="H393" s="199">
        <v>4.5601842144081625E-2</v>
      </c>
      <c r="I393" s="199">
        <v>4.2536209665024388E-2</v>
      </c>
      <c r="J393" s="199">
        <v>4.6864565782707215E-2</v>
      </c>
      <c r="K393" s="199">
        <v>4.3458916718560496E-2</v>
      </c>
      <c r="L393" s="199">
        <v>4.6380791843480623E-2</v>
      </c>
      <c r="M393" s="199">
        <v>4.9292691347988034E-2</v>
      </c>
      <c r="N393" s="199">
        <v>4.0652736213625702E-2</v>
      </c>
    </row>
    <row r="394" spans="1:14">
      <c r="C394" s="29">
        <v>8</v>
      </c>
      <c r="D394" s="34" t="s">
        <v>838</v>
      </c>
      <c r="E394" s="199">
        <v>5.3232342592268299E-2</v>
      </c>
      <c r="F394" s="199">
        <v>4.5528995755467642E-2</v>
      </c>
      <c r="G394" s="199">
        <v>4.5920200240215953E-2</v>
      </c>
      <c r="H394" s="199">
        <v>4.7573609471434998E-2</v>
      </c>
      <c r="I394" s="199">
        <v>4.6866463126886949E-2</v>
      </c>
      <c r="J394" s="199">
        <v>5.2254715626553205E-2</v>
      </c>
      <c r="K394" s="199">
        <v>4.5265299629194317E-2</v>
      </c>
      <c r="L394" s="199">
        <v>4.857961394899965E-2</v>
      </c>
      <c r="M394" s="199">
        <v>5.3247432736094009E-2</v>
      </c>
      <c r="N394" s="199">
        <v>4.2670766856707162E-2</v>
      </c>
    </row>
    <row r="395" spans="1:14">
      <c r="C395" s="29">
        <v>9</v>
      </c>
      <c r="D395" s="34" t="s">
        <v>839</v>
      </c>
      <c r="E395" s="199">
        <v>4.8722095043953716E-2</v>
      </c>
      <c r="F395" s="199">
        <v>5.089312190923069E-2</v>
      </c>
      <c r="G395" s="199">
        <v>4.7905503255592646E-2</v>
      </c>
      <c r="H395" s="199">
        <v>4.9209768311941682E-2</v>
      </c>
      <c r="I395" s="199">
        <v>4.8441437774521902E-2</v>
      </c>
      <c r="J395" s="199">
        <v>4.9258047276156187E-2</v>
      </c>
      <c r="K395" s="199">
        <v>4.815003342546894E-2</v>
      </c>
      <c r="L395" s="199">
        <v>5.4177478764532966E-2</v>
      </c>
      <c r="M395" s="199">
        <v>5.2711655920929669E-2</v>
      </c>
      <c r="N395" s="199">
        <v>4.6629873637664777E-2</v>
      </c>
    </row>
    <row r="396" spans="1:14">
      <c r="C396" s="29">
        <v>10</v>
      </c>
      <c r="D396" s="34" t="s">
        <v>840</v>
      </c>
      <c r="E396" s="199">
        <v>4.4439006427156355E-2</v>
      </c>
      <c r="F396" s="199">
        <v>5.173789221855235E-2</v>
      </c>
      <c r="G396" s="199">
        <v>4.9100852698353688E-2</v>
      </c>
      <c r="H396" s="199">
        <v>5.1398348005274971E-2</v>
      </c>
      <c r="I396" s="199">
        <v>4.7547211780489061E-2</v>
      </c>
      <c r="J396" s="199">
        <v>4.4929375543538153E-2</v>
      </c>
      <c r="K396" s="199">
        <v>4.8591750792462286E-2</v>
      </c>
      <c r="L396" s="199">
        <v>5.5212617043296316E-2</v>
      </c>
      <c r="M396" s="199">
        <v>5.1633409161587658E-2</v>
      </c>
      <c r="N396" s="199">
        <v>5.5204731892022699E-2</v>
      </c>
    </row>
    <row r="397" spans="1:14">
      <c r="C397" s="29">
        <v>11</v>
      </c>
      <c r="D397" s="34" t="s">
        <v>841</v>
      </c>
      <c r="E397" s="199">
        <v>4.1888054971585265E-2</v>
      </c>
      <c r="F397" s="199">
        <v>5.2348180228097091E-2</v>
      </c>
      <c r="G397" s="199">
        <v>4.984163591556099E-2</v>
      </c>
      <c r="H397" s="199">
        <v>4.8896612885649539E-2</v>
      </c>
      <c r="I397" s="199">
        <v>4.2728988044805523E-2</v>
      </c>
      <c r="J397" s="199">
        <v>4.3728343079309041E-2</v>
      </c>
      <c r="K397" s="199">
        <v>5.007880701552548E-2</v>
      </c>
      <c r="L397" s="199">
        <v>5.3997501792870377E-2</v>
      </c>
      <c r="M397" s="199">
        <v>5.1326912826892016E-2</v>
      </c>
      <c r="N397" s="199">
        <v>5.3826891853099933E-2</v>
      </c>
    </row>
    <row r="398" spans="1:14">
      <c r="C398" s="29">
        <v>12</v>
      </c>
      <c r="D398" s="34" t="s">
        <v>842</v>
      </c>
      <c r="E398" s="199">
        <v>3.901217353400882E-2</v>
      </c>
      <c r="F398" s="199">
        <v>5.2890031080401606E-2</v>
      </c>
      <c r="G398" s="199">
        <v>4.9931411081249051E-2</v>
      </c>
      <c r="H398" s="199">
        <v>5.166184762457144E-2</v>
      </c>
      <c r="I398" s="199">
        <v>4.163719510546815E-2</v>
      </c>
      <c r="J398" s="199">
        <v>3.9238865638631854E-2</v>
      </c>
      <c r="K398" s="199">
        <v>5.1127049415305194E-2</v>
      </c>
      <c r="L398" s="199">
        <v>5.6297034416575062E-2</v>
      </c>
      <c r="M398" s="199">
        <v>5.0538184709138657E-2</v>
      </c>
      <c r="N398" s="199">
        <v>4.8737515776939265E-2</v>
      </c>
    </row>
    <row r="399" spans="1:14">
      <c r="C399" s="29">
        <v>13</v>
      </c>
      <c r="D399" s="34" t="s">
        <v>843</v>
      </c>
      <c r="E399" s="199">
        <v>3.8482544430488715E-2</v>
      </c>
      <c r="F399" s="199">
        <v>5.0234111541817714E-2</v>
      </c>
      <c r="G399" s="199">
        <v>4.9911770891913634E-2</v>
      </c>
      <c r="H399" s="199">
        <v>4.9424367756088099E-2</v>
      </c>
      <c r="I399" s="199">
        <v>4.2763743762314142E-2</v>
      </c>
      <c r="J399" s="199">
        <v>3.8340713449636327E-2</v>
      </c>
      <c r="K399" s="199">
        <v>4.7497304175386321E-2</v>
      </c>
      <c r="L399" s="199">
        <v>5.5723722592976699E-2</v>
      </c>
      <c r="M399" s="199">
        <v>5.1905378745397468E-2</v>
      </c>
      <c r="N399" s="199">
        <v>4.471841485869988E-2</v>
      </c>
    </row>
    <row r="400" spans="1:14">
      <c r="C400" s="29">
        <v>14</v>
      </c>
      <c r="D400" s="34" t="s">
        <v>844</v>
      </c>
      <c r="E400" s="199">
        <v>3.504534226405092E-2</v>
      </c>
      <c r="F400" s="199">
        <v>5.0684259324579671E-2</v>
      </c>
      <c r="G400" s="199">
        <v>4.9685592581383345E-2</v>
      </c>
      <c r="H400" s="199">
        <v>5.1137115281515245E-2</v>
      </c>
      <c r="I400" s="199">
        <v>4.6906779759196944E-2</v>
      </c>
      <c r="J400" s="199">
        <v>3.817181899051704E-2</v>
      </c>
      <c r="K400" s="199">
        <v>4.900295991033015E-2</v>
      </c>
      <c r="L400" s="199">
        <v>5.5866938310852876E-2</v>
      </c>
      <c r="M400" s="199">
        <v>5.3053740112330307E-2</v>
      </c>
      <c r="N400" s="199">
        <v>4.8510955638259134E-2</v>
      </c>
    </row>
    <row r="401" spans="1:14">
      <c r="C401" s="29">
        <v>15</v>
      </c>
      <c r="D401" s="34" t="s">
        <v>845</v>
      </c>
      <c r="E401" s="199">
        <v>3.4564807042718269E-2</v>
      </c>
      <c r="F401" s="199">
        <v>5.0010731572121908E-2</v>
      </c>
      <c r="G401" s="199">
        <v>4.8213343756277317E-2</v>
      </c>
      <c r="H401" s="199">
        <v>4.724571922415393E-2</v>
      </c>
      <c r="I401" s="199">
        <v>4.3998421318075832E-2</v>
      </c>
      <c r="J401" s="199">
        <v>3.723197296651154E-2</v>
      </c>
      <c r="K401" s="199">
        <v>4.6980915238636886E-2</v>
      </c>
      <c r="L401" s="199">
        <v>5.3641192284187837E-2</v>
      </c>
      <c r="M401" s="199">
        <v>5.3036435925125115E-2</v>
      </c>
      <c r="N401" s="199">
        <v>5.3601597413518574E-2</v>
      </c>
    </row>
    <row r="402" spans="1:14">
      <c r="C402" s="29">
        <v>16</v>
      </c>
      <c r="D402" s="34" t="s">
        <v>846</v>
      </c>
      <c r="E402" s="199">
        <v>3.6038795293545027E-2</v>
      </c>
      <c r="F402" s="199">
        <v>4.8444990097361029E-2</v>
      </c>
      <c r="G402" s="199">
        <v>4.7094019350038971E-2</v>
      </c>
      <c r="H402" s="199">
        <v>4.1596669520256362E-2</v>
      </c>
      <c r="I402" s="199">
        <v>4.2629046048236301E-2</v>
      </c>
      <c r="J402" s="199">
        <v>3.7636811614612242E-2</v>
      </c>
      <c r="K402" s="199">
        <v>4.723320793881871E-2</v>
      </c>
      <c r="L402" s="199">
        <v>5.0409555887213783E-2</v>
      </c>
      <c r="M402" s="199">
        <v>4.7018986448046224E-2</v>
      </c>
      <c r="N402" s="199">
        <v>5.4045857797187402E-2</v>
      </c>
    </row>
    <row r="403" spans="1:14">
      <c r="C403" s="29">
        <v>17</v>
      </c>
      <c r="D403" s="34" t="s">
        <v>847</v>
      </c>
      <c r="E403" s="199">
        <v>3.9492331219683326E-2</v>
      </c>
      <c r="F403" s="199">
        <v>4.3093857479415951E-2</v>
      </c>
      <c r="G403" s="199">
        <v>4.4168795840225199E-2</v>
      </c>
      <c r="H403" s="199">
        <v>3.821996669714562E-2</v>
      </c>
      <c r="I403" s="199">
        <v>4.0423370980211641E-2</v>
      </c>
      <c r="J403" s="199">
        <v>4.0715417007772967E-2</v>
      </c>
      <c r="K403" s="199">
        <v>4.346876351896789E-2</v>
      </c>
      <c r="L403" s="199">
        <v>4.5345204612623605E-2</v>
      </c>
      <c r="M403" s="199">
        <v>3.5507539156845319E-2</v>
      </c>
      <c r="N403" s="199">
        <v>4.7076412279711398E-2</v>
      </c>
    </row>
    <row r="404" spans="1:14">
      <c r="C404" s="29">
        <v>18</v>
      </c>
      <c r="D404" s="34" t="s">
        <v>848</v>
      </c>
      <c r="E404" s="199">
        <v>4.3719530312446617E-2</v>
      </c>
      <c r="F404" s="199">
        <v>3.5241421596222539E-2</v>
      </c>
      <c r="G404" s="199">
        <v>4.2659176746356581E-2</v>
      </c>
      <c r="H404" s="199">
        <v>3.8426200217287342E-2</v>
      </c>
      <c r="I404" s="199">
        <v>4.0386761624435899E-2</v>
      </c>
      <c r="J404" s="199">
        <v>4.8406488967234339E-2</v>
      </c>
      <c r="K404" s="199">
        <v>3.7829955393362945E-2</v>
      </c>
      <c r="L404" s="199">
        <v>4.250978164277408E-2</v>
      </c>
      <c r="M404" s="199">
        <v>3.4865080395090516E-2</v>
      </c>
      <c r="N404" s="199">
        <v>4.4902447507661272E-2</v>
      </c>
    </row>
    <row r="405" spans="1:14">
      <c r="C405" s="29">
        <v>19</v>
      </c>
      <c r="D405" s="34" t="s">
        <v>849</v>
      </c>
      <c r="E405" s="199">
        <v>4.7812490547139305E-2</v>
      </c>
      <c r="F405" s="199">
        <v>3.377614532405844E-2</v>
      </c>
      <c r="G405" s="199">
        <v>4.0552824675191133E-2</v>
      </c>
      <c r="H405" s="199">
        <v>3.795339057676355E-2</v>
      </c>
      <c r="I405" s="199">
        <v>4.2741036693541845E-2</v>
      </c>
      <c r="J405" s="199">
        <v>5.101568608709614E-2</v>
      </c>
      <c r="K405" s="199">
        <v>3.3528628909419086E-2</v>
      </c>
      <c r="L405" s="199">
        <v>3.9676088458932453E-2</v>
      </c>
      <c r="M405" s="199">
        <v>3.368766105341689E-2</v>
      </c>
      <c r="N405" s="199">
        <v>4.2174865949808439E-2</v>
      </c>
    </row>
    <row r="406" spans="1:14">
      <c r="C406" s="29">
        <v>20</v>
      </c>
      <c r="D406" s="34" t="s">
        <v>850</v>
      </c>
      <c r="E406" s="199">
        <v>5.207212208993154E-2</v>
      </c>
      <c r="F406" s="199">
        <v>3.8858400188249799E-2</v>
      </c>
      <c r="G406" s="199">
        <v>4.1253369131055859E-2</v>
      </c>
      <c r="H406" s="199">
        <v>3.926252274924126E-2</v>
      </c>
      <c r="I406" s="199">
        <v>4.4377799283414336E-2</v>
      </c>
      <c r="J406" s="199">
        <v>5.1901223835388789E-2</v>
      </c>
      <c r="K406" s="199">
        <v>3.5825226783069875E-2</v>
      </c>
      <c r="L406" s="199">
        <v>4.0609248590069251E-2</v>
      </c>
      <c r="M406" s="199">
        <v>3.4238456597098947E-2</v>
      </c>
      <c r="N406" s="199">
        <v>4.4633866158901934E-2</v>
      </c>
    </row>
    <row r="407" spans="1:14">
      <c r="C407" s="29">
        <v>21</v>
      </c>
      <c r="D407" s="34" t="s">
        <v>851</v>
      </c>
      <c r="E407" s="199">
        <v>5.1794832833995517E-2</v>
      </c>
      <c r="F407" s="199">
        <v>3.7164192781349324E-2</v>
      </c>
      <c r="G407" s="199">
        <v>3.9058426561671578E-2</v>
      </c>
      <c r="H407" s="199">
        <v>3.8156331701006636E-2</v>
      </c>
      <c r="I407" s="199">
        <v>3.9005492175715632E-2</v>
      </c>
      <c r="J407" s="199">
        <v>5.1719126662762266E-2</v>
      </c>
      <c r="K407" s="199">
        <v>3.5889651789154167E-2</v>
      </c>
      <c r="L407" s="199">
        <v>3.6766324304162885E-2</v>
      </c>
      <c r="M407" s="199">
        <v>3.2515710487888295E-2</v>
      </c>
      <c r="N407" s="199">
        <v>4.4406040321123039E-2</v>
      </c>
    </row>
    <row r="408" spans="1:14">
      <c r="C408" s="29">
        <v>22</v>
      </c>
      <c r="D408" s="34" t="s">
        <v>852</v>
      </c>
      <c r="E408" s="199">
        <v>4.7572826637360302E-2</v>
      </c>
      <c r="F408" s="199">
        <v>3.6655907429424858E-2</v>
      </c>
      <c r="G408" s="199">
        <v>3.8459038065721811E-2</v>
      </c>
      <c r="H408" s="199">
        <v>3.958506959989997E-2</v>
      </c>
      <c r="I408" s="199">
        <v>3.4655621042192664E-2</v>
      </c>
      <c r="J408" s="199">
        <v>4.8502664885831187E-2</v>
      </c>
      <c r="K408" s="199">
        <v>3.6657323497838505E-2</v>
      </c>
      <c r="L408" s="199">
        <v>3.3113887750699969E-2</v>
      </c>
      <c r="M408" s="199">
        <v>3.3704720370048416E-2</v>
      </c>
      <c r="N408" s="199">
        <v>3.8981507123607664E-2</v>
      </c>
    </row>
    <row r="409" spans="1:14">
      <c r="C409" s="29">
        <v>23</v>
      </c>
      <c r="D409" s="34" t="s">
        <v>853</v>
      </c>
      <c r="E409" s="199">
        <v>4.186596557392662E-2</v>
      </c>
      <c r="F409" s="199">
        <v>3.4717367125959811E-2</v>
      </c>
      <c r="G409" s="199">
        <v>3.618751805869154E-2</v>
      </c>
      <c r="H409" s="199">
        <v>3.7134663472071124E-2</v>
      </c>
      <c r="I409" s="199">
        <v>3.4096594634798506E-2</v>
      </c>
      <c r="J409" s="199">
        <v>4.0624488749987864E-2</v>
      </c>
      <c r="K409" s="199">
        <v>3.624154866268773E-2</v>
      </c>
      <c r="L409" s="199">
        <v>2.999809419836243E-2</v>
      </c>
      <c r="M409" s="199">
        <v>3.2931010980812761E-2</v>
      </c>
      <c r="N409" s="199">
        <v>4.2335609735352442E-2</v>
      </c>
    </row>
    <row r="410" spans="1:14">
      <c r="C410" s="29">
        <v>24</v>
      </c>
      <c r="D410" s="34" t="s">
        <v>854</v>
      </c>
      <c r="E410" s="199">
        <v>3.5413503640571005E-2</v>
      </c>
      <c r="F410" s="199">
        <v>3.4189802360156729E-2</v>
      </c>
      <c r="G410" s="199">
        <v>3.3220165643932591E-2</v>
      </c>
      <c r="H410" s="199">
        <v>3.5415115260033707E-2</v>
      </c>
      <c r="I410" s="199">
        <v>3.6898523345415449E-2</v>
      </c>
      <c r="J410" s="199">
        <v>3.7684688998986367E-2</v>
      </c>
      <c r="K410" s="199">
        <v>3.6288468245825545E-2</v>
      </c>
      <c r="L410" s="199">
        <v>2.7582824365807959E-2</v>
      </c>
      <c r="M410" s="199">
        <v>3.2930602863190002E-2</v>
      </c>
      <c r="N410" s="199">
        <v>3.8983785381985457E-2</v>
      </c>
    </row>
    <row r="411" spans="1:14">
      <c r="A411" s="16" t="s">
        <v>433</v>
      </c>
      <c r="B411" s="16" t="s">
        <v>310</v>
      </c>
      <c r="C411" s="29">
        <v>1</v>
      </c>
      <c r="D411" s="34" t="s">
        <v>855</v>
      </c>
      <c r="E411" s="199">
        <v>3.3340280934004325E-2</v>
      </c>
      <c r="F411" s="199">
        <v>3.346165584962954E-2</v>
      </c>
      <c r="G411" s="199">
        <v>3.3142942605727581E-2</v>
      </c>
      <c r="H411" s="199">
        <v>3.5401242131813372E-2</v>
      </c>
      <c r="I411" s="199">
        <v>4.2249111259857371E-2</v>
      </c>
      <c r="J411" s="199">
        <v>3.4808685834040856E-2</v>
      </c>
      <c r="K411" s="199">
        <v>3.7389312589738849E-2</v>
      </c>
      <c r="L411" s="199">
        <v>2.6911864801148759E-2</v>
      </c>
      <c r="M411" s="199">
        <v>3.3933493296886934E-2</v>
      </c>
      <c r="N411" s="199">
        <v>3.5436960895635375E-2</v>
      </c>
    </row>
    <row r="412" spans="1:14">
      <c r="C412" s="29">
        <v>2</v>
      </c>
      <c r="D412" s="34" t="s">
        <v>856</v>
      </c>
      <c r="E412" s="199">
        <v>3.3288318728112554E-2</v>
      </c>
      <c r="F412" s="199">
        <v>3.3283404151846399E-2</v>
      </c>
      <c r="G412" s="199">
        <v>3.1934199137917299E-2</v>
      </c>
      <c r="H412" s="199">
        <v>3.4183906482353234E-2</v>
      </c>
      <c r="I412" s="199">
        <v>4.1260052008540021E-2</v>
      </c>
      <c r="J412" s="199">
        <v>3.3123054491826939E-2</v>
      </c>
      <c r="K412" s="199">
        <v>3.6727372117057185E-2</v>
      </c>
      <c r="L412" s="199">
        <v>2.5453213083133142E-2</v>
      </c>
      <c r="M412" s="199">
        <v>3.4026872055785536E-2</v>
      </c>
      <c r="N412" s="199">
        <v>3.1775782386103311E-2</v>
      </c>
    </row>
    <row r="413" spans="1:14">
      <c r="C413" s="29">
        <v>3</v>
      </c>
      <c r="D413" s="34" t="s">
        <v>857</v>
      </c>
      <c r="E413" s="199">
        <v>3.3038911651813455E-2</v>
      </c>
      <c r="F413" s="199">
        <v>3.41448756983984E-2</v>
      </c>
      <c r="G413" s="199">
        <v>3.199266811793948E-2</v>
      </c>
      <c r="H413" s="199">
        <v>3.4645357311031105E-2</v>
      </c>
      <c r="I413" s="199">
        <v>4.3172504017418532E-2</v>
      </c>
      <c r="J413" s="199">
        <v>3.1961033000640848E-2</v>
      </c>
      <c r="K413" s="199">
        <v>3.6953647686800407E-2</v>
      </c>
      <c r="L413" s="199">
        <v>2.5576561605293362E-2</v>
      </c>
      <c r="M413" s="199">
        <v>3.3739202563611181E-2</v>
      </c>
      <c r="N413" s="199">
        <v>2.7025438753760039E-2</v>
      </c>
    </row>
    <row r="414" spans="1:14">
      <c r="C414" s="29">
        <v>4</v>
      </c>
      <c r="D414" s="34" t="s">
        <v>858</v>
      </c>
      <c r="E414" s="199">
        <v>3.3867004446427262E-2</v>
      </c>
      <c r="F414" s="199">
        <v>3.4346058504015162E-2</v>
      </c>
      <c r="G414" s="199">
        <v>3.3188441448187812E-2</v>
      </c>
      <c r="H414" s="199">
        <v>3.4836919404449156E-2</v>
      </c>
      <c r="I414" s="199">
        <v>3.8826329894586648E-2</v>
      </c>
      <c r="J414" s="199">
        <v>3.1680857015875988E-2</v>
      </c>
      <c r="K414" s="199">
        <v>3.7654683003338144E-2</v>
      </c>
      <c r="L414" s="199">
        <v>2.5954065638706871E-2</v>
      </c>
      <c r="M414" s="199">
        <v>3.450593489066698E-2</v>
      </c>
      <c r="N414" s="199">
        <v>2.7124544313631749E-2</v>
      </c>
    </row>
    <row r="415" spans="1:14">
      <c r="C415" s="29">
        <v>5</v>
      </c>
      <c r="D415" s="34" t="s">
        <v>859</v>
      </c>
      <c r="E415" s="199">
        <v>3.5365112544025822E-2</v>
      </c>
      <c r="F415" s="199">
        <v>3.4705395460223949E-2</v>
      </c>
      <c r="G415" s="199">
        <v>3.4541536878879037E-2</v>
      </c>
      <c r="H415" s="199">
        <v>3.4808665086570295E-2</v>
      </c>
      <c r="I415" s="199">
        <v>3.7267427642039747E-2</v>
      </c>
      <c r="J415" s="199">
        <v>3.3750076075249602E-2</v>
      </c>
      <c r="K415" s="199">
        <v>3.7354492742477215E-2</v>
      </c>
      <c r="L415" s="199">
        <v>2.9886895451157584E-2</v>
      </c>
      <c r="M415" s="199">
        <v>3.5420599701899917E-2</v>
      </c>
      <c r="N415" s="199">
        <v>2.7839448993007835E-2</v>
      </c>
    </row>
    <row r="416" spans="1:14">
      <c r="C416" s="29">
        <v>6</v>
      </c>
      <c r="D416" s="34" t="s">
        <v>860</v>
      </c>
      <c r="E416" s="199">
        <v>4.1322170774178199E-2</v>
      </c>
      <c r="F416" s="199">
        <v>3.7096810064508844E-2</v>
      </c>
      <c r="G416" s="199">
        <v>3.8151996395248682E-2</v>
      </c>
      <c r="H416" s="199">
        <v>3.872265174300505E-2</v>
      </c>
      <c r="I416" s="199">
        <v>3.7562080646239525E-2</v>
      </c>
      <c r="J416" s="199">
        <v>3.8575716594535535E-2</v>
      </c>
      <c r="K416" s="199">
        <v>4.0231928825239696E-2</v>
      </c>
      <c r="L416" s="199">
        <v>3.9330133039380849E-2</v>
      </c>
      <c r="M416" s="199">
        <v>4.5653934842653079E-2</v>
      </c>
      <c r="N416" s="199">
        <v>3.982101237076436E-2</v>
      </c>
    </row>
    <row r="417" spans="3:14">
      <c r="C417" s="29">
        <v>7</v>
      </c>
      <c r="D417" s="34" t="s">
        <v>861</v>
      </c>
      <c r="E417" s="199">
        <v>5.0083339010478935E-2</v>
      </c>
      <c r="F417" s="199">
        <v>4.2701496259623932E-2</v>
      </c>
      <c r="G417" s="199">
        <v>4.4359250831250779E-2</v>
      </c>
      <c r="H417" s="199">
        <v>4.4560222905840954E-2</v>
      </c>
      <c r="I417" s="199">
        <v>3.7471704595554475E-2</v>
      </c>
      <c r="J417" s="199">
        <v>4.6702497811712214E-2</v>
      </c>
      <c r="K417" s="199">
        <v>4.400563931900757E-2</v>
      </c>
      <c r="L417" s="199">
        <v>4.6552621998968674E-2</v>
      </c>
      <c r="M417" s="199">
        <v>4.8956463395402362E-2</v>
      </c>
      <c r="N417" s="199">
        <v>5.3250811769158753E-2</v>
      </c>
    </row>
    <row r="418" spans="3:14">
      <c r="C418" s="29">
        <v>8</v>
      </c>
      <c r="D418" s="34" t="s">
        <v>862</v>
      </c>
      <c r="E418" s="199">
        <v>5.2855298211167974E-2</v>
      </c>
      <c r="F418" s="199">
        <v>4.5435066767051197E-2</v>
      </c>
      <c r="G418" s="199">
        <v>4.6642895283063715E-2</v>
      </c>
      <c r="H418" s="199">
        <v>4.7894886955728695E-2</v>
      </c>
      <c r="I418" s="199">
        <v>4.1427264626661429E-2</v>
      </c>
      <c r="J418" s="199">
        <v>5.2838577183506291E-2</v>
      </c>
      <c r="K418" s="199">
        <v>4.3918023263804708E-2</v>
      </c>
      <c r="L418" s="199">
        <v>4.9679290542176818E-2</v>
      </c>
      <c r="M418" s="199">
        <v>5.3140792072077163E-2</v>
      </c>
      <c r="N418" s="199">
        <v>4.1877577242574564E-2</v>
      </c>
    </row>
    <row r="419" spans="3:14">
      <c r="C419" s="29">
        <v>9</v>
      </c>
      <c r="D419" s="34" t="s">
        <v>863</v>
      </c>
      <c r="E419" s="199">
        <v>4.9478179332516116E-2</v>
      </c>
      <c r="F419" s="199">
        <v>5.0376796527552975E-2</v>
      </c>
      <c r="G419" s="199">
        <v>4.7879566224452108E-2</v>
      </c>
      <c r="H419" s="199">
        <v>4.9747999302478335E-2</v>
      </c>
      <c r="I419" s="199">
        <v>4.6505078575544812E-2</v>
      </c>
      <c r="J419" s="199">
        <v>4.8426091388061296E-2</v>
      </c>
      <c r="K419" s="199">
        <v>4.7769025695999896E-2</v>
      </c>
      <c r="L419" s="199">
        <v>5.3666996190096294E-2</v>
      </c>
      <c r="M419" s="199">
        <v>5.2399805129788632E-2</v>
      </c>
      <c r="N419" s="199">
        <v>4.8302257017072067E-2</v>
      </c>
    </row>
    <row r="420" spans="3:14">
      <c r="C420" s="29">
        <v>10</v>
      </c>
      <c r="D420" s="34" t="s">
        <v>864</v>
      </c>
      <c r="E420" s="199">
        <v>4.4096533100977421E-2</v>
      </c>
      <c r="F420" s="199">
        <v>5.2581279062915785E-2</v>
      </c>
      <c r="G420" s="199">
        <v>4.9987877089161574E-2</v>
      </c>
      <c r="H420" s="199">
        <v>5.03583034776647E-2</v>
      </c>
      <c r="I420" s="199">
        <v>5.0651206833377184E-2</v>
      </c>
      <c r="J420" s="199">
        <v>4.6812148771777189E-2</v>
      </c>
      <c r="K420" s="199">
        <v>4.9308494719620385E-2</v>
      </c>
      <c r="L420" s="199">
        <v>5.5342841105361702E-2</v>
      </c>
      <c r="M420" s="199">
        <v>5.2579277779870356E-2</v>
      </c>
      <c r="N420" s="199">
        <v>4.875196717066077E-2</v>
      </c>
    </row>
    <row r="421" spans="3:14">
      <c r="C421" s="29">
        <v>11</v>
      </c>
      <c r="D421" s="34" t="s">
        <v>865</v>
      </c>
      <c r="E421" s="199">
        <v>4.2159778940890021E-2</v>
      </c>
      <c r="F421" s="199">
        <v>5.3497072040321371E-2</v>
      </c>
      <c r="G421" s="199">
        <v>5.0397486703425087E-2</v>
      </c>
      <c r="H421" s="199">
        <v>4.7524253577375726E-2</v>
      </c>
      <c r="I421" s="199">
        <v>4.1112302397588611E-2</v>
      </c>
      <c r="J421" s="199">
        <v>4.2752539828404469E-2</v>
      </c>
      <c r="K421" s="199">
        <v>4.9718466893026309E-2</v>
      </c>
      <c r="L421" s="199">
        <v>5.5313020438456748E-2</v>
      </c>
      <c r="M421" s="199">
        <v>5.0426185457003364E-2</v>
      </c>
      <c r="N421" s="199">
        <v>4.6441164166616873E-2</v>
      </c>
    </row>
    <row r="422" spans="3:14">
      <c r="C422" s="29">
        <v>12</v>
      </c>
      <c r="D422" s="34" t="s">
        <v>866</v>
      </c>
      <c r="E422" s="199">
        <v>3.9581645531466328E-2</v>
      </c>
      <c r="F422" s="199">
        <v>5.1433341446531604E-2</v>
      </c>
      <c r="G422" s="199">
        <v>4.9399312918799156E-2</v>
      </c>
      <c r="H422" s="199">
        <v>4.952611018060344E-2</v>
      </c>
      <c r="I422" s="199">
        <v>3.6598407926013488E-2</v>
      </c>
      <c r="J422" s="199">
        <v>4.1104170540331608E-2</v>
      </c>
      <c r="K422" s="199">
        <v>4.9169835205080024E-2</v>
      </c>
      <c r="L422" s="199">
        <v>5.5646222498371783E-2</v>
      </c>
      <c r="M422" s="199">
        <v>4.8548428020746985E-2</v>
      </c>
      <c r="N422" s="199">
        <v>4.8026604115619848E-2</v>
      </c>
    </row>
    <row r="423" spans="3:14">
      <c r="C423" s="29">
        <v>13</v>
      </c>
      <c r="D423" s="34" t="s">
        <v>867</v>
      </c>
      <c r="E423" s="199">
        <v>3.9139470327189896E-2</v>
      </c>
      <c r="F423" s="199">
        <v>4.9337418839393736E-2</v>
      </c>
      <c r="G423" s="199">
        <v>4.896217593802886E-2</v>
      </c>
      <c r="H423" s="199">
        <v>4.8316738103363989E-2</v>
      </c>
      <c r="I423" s="199">
        <v>4.2766488763498221E-2</v>
      </c>
      <c r="J423" s="199">
        <v>3.791694427474708E-2</v>
      </c>
      <c r="K423" s="199">
        <v>4.7838708140489121E-2</v>
      </c>
      <c r="L423" s="199">
        <v>5.48918084687341E-2</v>
      </c>
      <c r="M423" s="199">
        <v>5.0856406565155922E-2</v>
      </c>
      <c r="N423" s="199">
        <v>4.7851301818761328E-2</v>
      </c>
    </row>
    <row r="424" spans="3:14">
      <c r="C424" s="29">
        <v>14</v>
      </c>
      <c r="D424" s="34" t="s">
        <v>868</v>
      </c>
      <c r="E424" s="199">
        <v>3.6717640844766031E-2</v>
      </c>
      <c r="F424" s="199">
        <v>5.0062630674659589E-2</v>
      </c>
      <c r="G424" s="199">
        <v>4.9207068139481246E-2</v>
      </c>
      <c r="H424" s="199">
        <v>5.1796328258665113E-2</v>
      </c>
      <c r="I424" s="199">
        <v>4.552228133522998E-2</v>
      </c>
      <c r="J424" s="199">
        <v>3.6098562965138331E-2</v>
      </c>
      <c r="K424" s="199">
        <v>4.8789082633397041E-2</v>
      </c>
      <c r="L424" s="199">
        <v>5.6093756915995475E-2</v>
      </c>
      <c r="M424" s="199">
        <v>5.3089797998068705E-2</v>
      </c>
      <c r="N424" s="199">
        <v>4.3792705033964825E-2</v>
      </c>
    </row>
    <row r="425" spans="3:14">
      <c r="C425" s="29">
        <v>15</v>
      </c>
      <c r="D425" s="34" t="s">
        <v>869</v>
      </c>
      <c r="E425" s="199">
        <v>3.6162133781433375E-2</v>
      </c>
      <c r="F425" s="199">
        <v>4.9824680691925652E-2</v>
      </c>
      <c r="G425" s="199">
        <v>4.7891269356288207E-2</v>
      </c>
      <c r="H425" s="199">
        <v>4.9184876565448746E-2</v>
      </c>
      <c r="I425" s="199">
        <v>4.3969133363063774E-2</v>
      </c>
      <c r="J425" s="199">
        <v>3.6317615316161463E-2</v>
      </c>
      <c r="K425" s="199">
        <v>4.7361661270516588E-2</v>
      </c>
      <c r="L425" s="199">
        <v>5.3820297387425761E-2</v>
      </c>
      <c r="M425" s="199">
        <v>5.4304798037390425E-2</v>
      </c>
      <c r="N425" s="199">
        <v>5.4723450666347942E-2</v>
      </c>
    </row>
    <row r="426" spans="3:14">
      <c r="C426" s="29">
        <v>16</v>
      </c>
      <c r="D426" s="34" t="s">
        <v>870</v>
      </c>
      <c r="E426" s="199">
        <v>3.7284969273964123E-2</v>
      </c>
      <c r="F426" s="199">
        <v>4.7148721310146663E-2</v>
      </c>
      <c r="G426" s="199">
        <v>4.5646635343928932E-2</v>
      </c>
      <c r="H426" s="199">
        <v>4.2647001952329726E-2</v>
      </c>
      <c r="I426" s="199">
        <v>4.3469695674727443E-2</v>
      </c>
      <c r="J426" s="199">
        <v>3.9562360328389411E-2</v>
      </c>
      <c r="K426" s="199">
        <v>4.6948782099426448E-2</v>
      </c>
      <c r="L426" s="199">
        <v>4.9047776206600759E-2</v>
      </c>
      <c r="M426" s="199">
        <v>4.5340851096062174E-2</v>
      </c>
      <c r="N426" s="199">
        <v>4.7767883822386906E-2</v>
      </c>
    </row>
    <row r="427" spans="3:14">
      <c r="C427" s="29">
        <v>17</v>
      </c>
      <c r="D427" s="34" t="s">
        <v>871</v>
      </c>
      <c r="E427" s="199">
        <v>4.0142340181402135E-2</v>
      </c>
      <c r="F427" s="199">
        <v>4.3161472996505724E-2</v>
      </c>
      <c r="G427" s="199">
        <v>4.3767792553072483E-2</v>
      </c>
      <c r="H427" s="199">
        <v>3.9440845958277085E-2</v>
      </c>
      <c r="I427" s="199">
        <v>4.1532534108920056E-2</v>
      </c>
      <c r="J427" s="199">
        <v>4.3788078309766609E-2</v>
      </c>
      <c r="K427" s="199">
        <v>4.3931895627753639E-2</v>
      </c>
      <c r="L427" s="199">
        <v>4.5028916608306914E-2</v>
      </c>
      <c r="M427" s="199">
        <v>3.4723239183316677E-2</v>
      </c>
      <c r="N427" s="199">
        <v>4.4107203330743645E-2</v>
      </c>
    </row>
    <row r="428" spans="3:14">
      <c r="C428" s="29">
        <v>18</v>
      </c>
      <c r="D428" s="34" t="s">
        <v>872</v>
      </c>
      <c r="E428" s="199">
        <v>4.6615624435969137E-2</v>
      </c>
      <c r="F428" s="199">
        <v>3.7394859177357631E-2</v>
      </c>
      <c r="G428" s="199">
        <v>4.2792851652387859E-2</v>
      </c>
      <c r="H428" s="199">
        <v>3.9665953236049385E-2</v>
      </c>
      <c r="I428" s="199">
        <v>3.863203830996785E-2</v>
      </c>
      <c r="J428" s="199">
        <v>4.6868502862588861E-2</v>
      </c>
      <c r="K428" s="199">
        <v>3.6951018563894829E-2</v>
      </c>
      <c r="L428" s="199">
        <v>4.2434056558650422E-2</v>
      </c>
      <c r="M428" s="199">
        <v>3.4464046901302885E-2</v>
      </c>
      <c r="N428" s="199">
        <v>3.7013934540528703E-2</v>
      </c>
    </row>
    <row r="429" spans="3:14">
      <c r="C429" s="29">
        <v>19</v>
      </c>
      <c r="D429" s="34" t="s">
        <v>873</v>
      </c>
      <c r="E429" s="199">
        <v>4.8503553405087059E-2</v>
      </c>
      <c r="F429" s="199">
        <v>3.4403227317758266E-2</v>
      </c>
      <c r="G429" s="199">
        <v>4.1250752309656406E-2</v>
      </c>
      <c r="H429" s="199">
        <v>3.9015558474683555E-2</v>
      </c>
      <c r="I429" s="199">
        <v>4.0839651053667957E-2</v>
      </c>
      <c r="J429" s="199">
        <v>5.0042446505711193E-2</v>
      </c>
      <c r="K429" s="199">
        <v>3.3750456863542298E-2</v>
      </c>
      <c r="L429" s="199">
        <v>4.0293093724956791E-2</v>
      </c>
      <c r="M429" s="199">
        <v>3.4157751326901416E-2</v>
      </c>
      <c r="N429" s="199">
        <v>6.8870395824618028E-2</v>
      </c>
    </row>
    <row r="430" spans="3:14">
      <c r="C430" s="29">
        <v>20</v>
      </c>
      <c r="D430" s="34" t="s">
        <v>874</v>
      </c>
      <c r="E430" s="199">
        <v>5.0145751936954724E-2</v>
      </c>
      <c r="F430" s="199">
        <v>3.9830422038677211E-2</v>
      </c>
      <c r="G430" s="199">
        <v>4.1904520595741561E-2</v>
      </c>
      <c r="H430" s="199">
        <v>3.9093666936464488E-2</v>
      </c>
      <c r="I430" s="199">
        <v>4.2842817600312749E-2</v>
      </c>
      <c r="J430" s="199">
        <v>5.156221144655225E-2</v>
      </c>
      <c r="K430" s="199">
        <v>3.6491670179823243E-2</v>
      </c>
      <c r="L430" s="199">
        <v>4.0639932238573838E-2</v>
      </c>
      <c r="M430" s="199">
        <v>3.4644678507612083E-2</v>
      </c>
      <c r="N430" s="199">
        <v>4.4951592661208399E-2</v>
      </c>
    </row>
    <row r="431" spans="3:14">
      <c r="C431" s="29">
        <v>21</v>
      </c>
      <c r="D431" s="34" t="s">
        <v>875</v>
      </c>
      <c r="E431" s="199">
        <v>5.053448636523266E-2</v>
      </c>
      <c r="F431" s="199">
        <v>3.8887067500680779E-2</v>
      </c>
      <c r="G431" s="199">
        <v>4.0502965530262336E-2</v>
      </c>
      <c r="H431" s="199">
        <v>3.9143957440488243E-2</v>
      </c>
      <c r="I431" s="199">
        <v>4.1741719125112431E-2</v>
      </c>
      <c r="J431" s="199">
        <v>5.1465974825978075E-2</v>
      </c>
      <c r="K431" s="199">
        <v>3.6687251274018444E-2</v>
      </c>
      <c r="L431" s="199">
        <v>3.7887045095725991E-2</v>
      </c>
      <c r="M431" s="199">
        <v>3.4881685056128681E-2</v>
      </c>
      <c r="N431" s="199">
        <v>3.7604583756648539E-2</v>
      </c>
    </row>
    <row r="432" spans="3:14">
      <c r="C432" s="29">
        <v>22</v>
      </c>
      <c r="D432" s="34" t="s">
        <v>876</v>
      </c>
      <c r="E432" s="199">
        <v>4.7412073671802543E-2</v>
      </c>
      <c r="F432" s="199">
        <v>3.6525011349101487E-2</v>
      </c>
      <c r="G432" s="199">
        <v>3.804718834791649E-2</v>
      </c>
      <c r="H432" s="199">
        <v>3.797783956031045E-2</v>
      </c>
      <c r="I432" s="199">
        <v>4.0888223949822666E-2</v>
      </c>
      <c r="J432" s="199">
        <v>4.6522024685116063E-2</v>
      </c>
      <c r="K432" s="199">
        <v>3.7383434469421509E-2</v>
      </c>
      <c r="L432" s="199">
        <v>3.3194784939594268E-2</v>
      </c>
      <c r="M432" s="199">
        <v>3.3846571579827053E-2</v>
      </c>
      <c r="N432" s="199">
        <v>3.3814169604972209E-2</v>
      </c>
    </row>
    <row r="433" spans="1:14">
      <c r="C433" s="29">
        <v>23</v>
      </c>
      <c r="D433" s="34" t="s">
        <v>877</v>
      </c>
      <c r="E433" s="199">
        <v>4.2024930469161489E-2</v>
      </c>
      <c r="F433" s="199">
        <v>3.5414753178138893E-2</v>
      </c>
      <c r="G433" s="199">
        <v>3.5329954531365622E-2</v>
      </c>
      <c r="H433" s="199">
        <v>3.6147690664964274E-2</v>
      </c>
      <c r="I433" s="199">
        <v>4.3409783461351964E-2</v>
      </c>
      <c r="J433" s="199">
        <v>4.1538053364987754E-2</v>
      </c>
      <c r="K433" s="199">
        <v>3.6726153743027769E-2</v>
      </c>
      <c r="L433" s="199">
        <v>2.974340246786546E-2</v>
      </c>
      <c r="M433" s="199">
        <v>3.3386548740111113E-2</v>
      </c>
      <c r="N433" s="199">
        <v>2.98514412637702E-2</v>
      </c>
    </row>
    <row r="434" spans="1:14">
      <c r="C434" s="29">
        <v>24</v>
      </c>
      <c r="D434" s="34" t="s">
        <v>878</v>
      </c>
      <c r="E434" s="199">
        <v>3.684045210097852E-2</v>
      </c>
      <c r="F434" s="199">
        <v>3.4946483093035177E-2</v>
      </c>
      <c r="G434" s="199">
        <v>3.3078652067817696E-2</v>
      </c>
      <c r="H434" s="199">
        <v>3.535902429004071E-2</v>
      </c>
      <c r="I434" s="199">
        <v>4.028216283090285E-2</v>
      </c>
      <c r="J434" s="199">
        <v>3.5781776578900165E-2</v>
      </c>
      <c r="K434" s="199">
        <v>3.6938963073498539E-2</v>
      </c>
      <c r="L434" s="199">
        <v>2.7611402995317679E-2</v>
      </c>
      <c r="M434" s="199">
        <v>3.2972635801730744E-2</v>
      </c>
      <c r="N434" s="199">
        <v>3.3977768481443862E-2</v>
      </c>
    </row>
    <row r="435" spans="1:14">
      <c r="A435" s="16" t="s">
        <v>433</v>
      </c>
      <c r="B435" s="16" t="s">
        <v>311</v>
      </c>
      <c r="C435" s="29">
        <v>1</v>
      </c>
      <c r="D435" s="34" t="s">
        <v>879</v>
      </c>
      <c r="E435" s="199">
        <v>3.3445155001430263E-2</v>
      </c>
      <c r="F435" s="199">
        <v>3.4398439821212032E-2</v>
      </c>
      <c r="G435" s="199">
        <v>3.2186463651988934E-2</v>
      </c>
      <c r="H435" s="199">
        <v>3.6115132234747466E-2</v>
      </c>
      <c r="I435" s="199">
        <v>3.7282424542229693E-2</v>
      </c>
      <c r="J435" s="199">
        <v>3.3911025624516852E-2</v>
      </c>
      <c r="K435" s="199">
        <v>3.6917332474691381E-2</v>
      </c>
      <c r="L435" s="199">
        <v>2.6886894632700352E-2</v>
      </c>
      <c r="M435" s="199">
        <v>3.347196119551922E-2</v>
      </c>
      <c r="N435" s="199">
        <v>3.3843379171281163E-2</v>
      </c>
    </row>
    <row r="436" spans="1:14">
      <c r="C436" s="29">
        <v>2</v>
      </c>
      <c r="D436" s="34" t="s">
        <v>880</v>
      </c>
      <c r="E436" s="199">
        <v>3.2028331016452929E-2</v>
      </c>
      <c r="F436" s="199">
        <v>3.3932536233074059E-2</v>
      </c>
      <c r="G436" s="199">
        <v>3.1838032533559539E-2</v>
      </c>
      <c r="H436" s="199">
        <v>3.5832526514941253E-2</v>
      </c>
      <c r="I436" s="199">
        <v>4.0997643226229771E-2</v>
      </c>
      <c r="J436" s="199">
        <v>3.2616948353275464E-2</v>
      </c>
      <c r="K436" s="199">
        <v>3.6218776673315169E-2</v>
      </c>
      <c r="L436" s="199">
        <v>2.6010564697383286E-2</v>
      </c>
      <c r="M436" s="199">
        <v>3.394942571905607E-2</v>
      </c>
      <c r="N436" s="199">
        <v>2.8603549191875948E-2</v>
      </c>
    </row>
    <row r="437" spans="1:14">
      <c r="C437" s="29">
        <v>3</v>
      </c>
      <c r="D437" s="34" t="s">
        <v>881</v>
      </c>
      <c r="E437" s="199">
        <v>3.1831720225936527E-2</v>
      </c>
      <c r="F437" s="199">
        <v>3.4589611954930689E-2</v>
      </c>
      <c r="G437" s="199">
        <v>3.223219548173057E-2</v>
      </c>
      <c r="H437" s="199">
        <v>3.5129803681830794E-2</v>
      </c>
      <c r="I437" s="199">
        <v>4.2955053415079242E-2</v>
      </c>
      <c r="J437" s="199">
        <v>3.1309755505596927E-2</v>
      </c>
      <c r="K437" s="199">
        <v>3.6738258434014098E-2</v>
      </c>
      <c r="L437" s="199">
        <v>2.5665163469792536E-2</v>
      </c>
      <c r="M437" s="199">
        <v>3.2950129762804342E-2</v>
      </c>
      <c r="N437" s="199">
        <v>3.6382445875900289E-2</v>
      </c>
    </row>
    <row r="438" spans="1:14">
      <c r="C438" s="29">
        <v>4</v>
      </c>
      <c r="D438" s="34" t="s">
        <v>882</v>
      </c>
      <c r="E438" s="199">
        <v>3.2413038303868408E-2</v>
      </c>
      <c r="F438" s="199">
        <v>3.5396211250658775E-2</v>
      </c>
      <c r="G438" s="199">
        <v>3.2728268346758231E-2</v>
      </c>
      <c r="H438" s="199">
        <v>3.4632555692255845E-2</v>
      </c>
      <c r="I438" s="199">
        <v>4.1669496760237026E-2</v>
      </c>
      <c r="J438" s="199">
        <v>3.1480780644759759E-2</v>
      </c>
      <c r="K438" s="199">
        <v>3.6442339057549532E-2</v>
      </c>
      <c r="L438" s="199">
        <v>2.6399224646407472E-2</v>
      </c>
      <c r="M438" s="199">
        <v>3.3178873227009235E-2</v>
      </c>
      <c r="N438" s="199">
        <v>3.5566547945664224E-2</v>
      </c>
    </row>
    <row r="439" spans="1:14">
      <c r="C439" s="29">
        <v>5</v>
      </c>
      <c r="D439" s="34" t="s">
        <v>883</v>
      </c>
      <c r="E439" s="199">
        <v>3.4696884666961088E-2</v>
      </c>
      <c r="F439" s="199">
        <v>3.4999335527449757E-2</v>
      </c>
      <c r="G439" s="199">
        <v>3.4282914928108248E-2</v>
      </c>
      <c r="H439" s="199">
        <v>3.4795984871030451E-2</v>
      </c>
      <c r="I439" s="199">
        <v>4.1330205919744095E-2</v>
      </c>
      <c r="J439" s="199">
        <v>3.237775329285722E-2</v>
      </c>
      <c r="K439" s="199">
        <v>3.7005442231156392E-2</v>
      </c>
      <c r="L439" s="199">
        <v>3.0176563093271245E-2</v>
      </c>
      <c r="M439" s="199">
        <v>3.4918838522596904E-2</v>
      </c>
      <c r="N439" s="199">
        <v>2.8705685930724034E-2</v>
      </c>
    </row>
    <row r="440" spans="1:14">
      <c r="C440" s="29">
        <v>6</v>
      </c>
      <c r="D440" s="34" t="s">
        <v>884</v>
      </c>
      <c r="E440" s="199">
        <v>4.1227828842754506E-2</v>
      </c>
      <c r="F440" s="199">
        <v>3.7121231671287155E-2</v>
      </c>
      <c r="G440" s="199">
        <v>3.7064165501024267E-2</v>
      </c>
      <c r="H440" s="199">
        <v>3.8191837221821678E-2</v>
      </c>
      <c r="I440" s="199">
        <v>3.9495183928315108E-2</v>
      </c>
      <c r="J440" s="199">
        <v>3.9690283961199585E-2</v>
      </c>
      <c r="K440" s="199">
        <v>3.9413077801084107E-2</v>
      </c>
      <c r="L440" s="199">
        <v>3.8191748739712865E-2</v>
      </c>
      <c r="M440" s="199">
        <v>4.425020672648957E-2</v>
      </c>
      <c r="N440" s="199">
        <v>3.6052355244494315E-2</v>
      </c>
    </row>
    <row r="441" spans="1:14">
      <c r="C441" s="29">
        <v>7</v>
      </c>
      <c r="D441" s="34" t="s">
        <v>885</v>
      </c>
      <c r="E441" s="199">
        <v>4.868215348507459E-2</v>
      </c>
      <c r="F441" s="199">
        <v>4.3209166436780778E-2</v>
      </c>
      <c r="G441" s="199">
        <v>4.3172614500095116E-2</v>
      </c>
      <c r="H441" s="199">
        <v>4.6617211231591106E-2</v>
      </c>
      <c r="I441" s="199">
        <v>4.169785109393262E-2</v>
      </c>
      <c r="J441" s="199">
        <v>4.8046467025322011E-2</v>
      </c>
      <c r="K441" s="199">
        <v>4.3148618534380984E-2</v>
      </c>
      <c r="L441" s="199">
        <v>4.6254125718627317E-2</v>
      </c>
      <c r="M441" s="199">
        <v>4.9150211371280429E-2</v>
      </c>
      <c r="N441" s="199">
        <v>4.1629212542487221E-2</v>
      </c>
    </row>
    <row r="442" spans="1:14">
      <c r="C442" s="29">
        <v>8</v>
      </c>
      <c r="D442" s="34" t="s">
        <v>886</v>
      </c>
      <c r="E442" s="199">
        <v>5.1509119258227397E-2</v>
      </c>
      <c r="F442" s="199">
        <v>4.5235000411931577E-2</v>
      </c>
      <c r="G442" s="199">
        <v>4.6573754887118859E-2</v>
      </c>
      <c r="H442" s="199">
        <v>4.8543106398224074E-2</v>
      </c>
      <c r="I442" s="199">
        <v>4.0154061750292194E-2</v>
      </c>
      <c r="J442" s="199">
        <v>5.1092861586554489E-2</v>
      </c>
      <c r="K442" s="199">
        <v>4.6214613926073685E-2</v>
      </c>
      <c r="L442" s="199">
        <v>5.1065531129598607E-2</v>
      </c>
      <c r="M442" s="199">
        <v>5.511410619656721E-2</v>
      </c>
      <c r="N442" s="199">
        <v>4.4666046351422156E-2</v>
      </c>
    </row>
    <row r="443" spans="1:14">
      <c r="C443" s="29">
        <v>9</v>
      </c>
      <c r="D443" s="34" t="s">
        <v>887</v>
      </c>
      <c r="E443" s="199">
        <v>4.9608893407685713E-2</v>
      </c>
      <c r="F443" s="199">
        <v>4.9260793262924547E-2</v>
      </c>
      <c r="G443" s="199">
        <v>4.7376611291837407E-2</v>
      </c>
      <c r="H443" s="199">
        <v>4.7914911345046489E-2</v>
      </c>
      <c r="I443" s="199">
        <v>4.3181888084643925E-2</v>
      </c>
      <c r="J443" s="199">
        <v>4.5650801400565585E-2</v>
      </c>
      <c r="K443" s="199">
        <v>4.7665792398823945E-2</v>
      </c>
      <c r="L443" s="199">
        <v>5.5085406807965816E-2</v>
      </c>
      <c r="M443" s="199">
        <v>5.3531297982645776E-2</v>
      </c>
      <c r="N443" s="199">
        <v>4.2330296340060337E-2</v>
      </c>
    </row>
    <row r="444" spans="1:14">
      <c r="C444" s="29">
        <v>10</v>
      </c>
      <c r="D444" s="34" t="s">
        <v>888</v>
      </c>
      <c r="E444" s="199">
        <v>4.508823673821942E-2</v>
      </c>
      <c r="F444" s="199">
        <v>5.0922788841663576E-2</v>
      </c>
      <c r="G444" s="199">
        <v>4.8907374168202851E-2</v>
      </c>
      <c r="H444" s="199">
        <v>4.8825429172776186E-2</v>
      </c>
      <c r="I444" s="199">
        <v>4.5302856322663981E-2</v>
      </c>
      <c r="J444" s="199">
        <v>4.3150006343786081E-2</v>
      </c>
      <c r="K444" s="199">
        <v>4.8584633163687684E-2</v>
      </c>
      <c r="L444" s="199">
        <v>5.5292930692515098E-2</v>
      </c>
      <c r="M444" s="199">
        <v>5.2231921899589591E-2</v>
      </c>
      <c r="N444" s="199">
        <v>5.5749915683371343E-2</v>
      </c>
    </row>
    <row r="445" spans="1:14">
      <c r="C445" s="29">
        <v>11</v>
      </c>
      <c r="D445" s="34" t="s">
        <v>889</v>
      </c>
      <c r="E445" s="199">
        <v>4.4005827330881771E-2</v>
      </c>
      <c r="F445" s="199">
        <v>5.0505337239484326E-2</v>
      </c>
      <c r="G445" s="199">
        <v>4.9123499117117816E-2</v>
      </c>
      <c r="H445" s="199">
        <v>4.6144466301022195E-2</v>
      </c>
      <c r="I445" s="199">
        <v>4.4370527384198971E-2</v>
      </c>
      <c r="J445" s="199">
        <v>4.1153359354674658E-2</v>
      </c>
      <c r="K445" s="199">
        <v>4.9234704282660656E-2</v>
      </c>
      <c r="L445" s="199">
        <v>5.3480534460192436E-2</v>
      </c>
      <c r="M445" s="199">
        <v>5.1232126503459693E-2</v>
      </c>
      <c r="N445" s="199">
        <v>6.5362489744466817E-2</v>
      </c>
    </row>
    <row r="446" spans="1:14">
      <c r="C446" s="29">
        <v>12</v>
      </c>
      <c r="D446" s="34" t="s">
        <v>890</v>
      </c>
      <c r="E446" s="199">
        <v>4.017083014094746E-2</v>
      </c>
      <c r="F446" s="199">
        <v>5.12398174584194E-2</v>
      </c>
      <c r="G446" s="199">
        <v>4.9427684183013437E-2</v>
      </c>
      <c r="H446" s="199">
        <v>4.7973084889291744E-2</v>
      </c>
      <c r="I446" s="199">
        <v>3.8979038938670052E-2</v>
      </c>
      <c r="J446" s="199">
        <v>4.0088758763034318E-2</v>
      </c>
      <c r="K446" s="199">
        <v>5.0300669522082481E-2</v>
      </c>
      <c r="L446" s="199">
        <v>5.4040420293872231E-2</v>
      </c>
      <c r="M446" s="199">
        <v>5.0203613314334622E-2</v>
      </c>
      <c r="N446" s="199">
        <v>4.7679199745495351E-2</v>
      </c>
    </row>
    <row r="447" spans="1:14">
      <c r="C447" s="29">
        <v>13</v>
      </c>
      <c r="D447" s="34" t="s">
        <v>891</v>
      </c>
      <c r="E447" s="199">
        <v>3.8573696988420912E-2</v>
      </c>
      <c r="F447" s="199">
        <v>5.0569134884339693E-2</v>
      </c>
      <c r="G447" s="199">
        <v>5.0108693766138974E-2</v>
      </c>
      <c r="H447" s="199">
        <v>4.7290168223969066E-2</v>
      </c>
      <c r="I447" s="199">
        <v>4.0924754967294794E-2</v>
      </c>
      <c r="J447" s="199">
        <v>3.8318883410026143E-2</v>
      </c>
      <c r="K447" s="199">
        <v>4.8018929198133331E-2</v>
      </c>
      <c r="L447" s="199">
        <v>5.3923477550263853E-2</v>
      </c>
      <c r="M447" s="199">
        <v>5.2575037095896941E-2</v>
      </c>
      <c r="N447" s="199">
        <v>4.3575072895014444E-2</v>
      </c>
    </row>
    <row r="448" spans="1:14">
      <c r="C448" s="29">
        <v>14</v>
      </c>
      <c r="D448" s="34" t="s">
        <v>892</v>
      </c>
      <c r="E448" s="199">
        <v>3.6422918130102955E-2</v>
      </c>
      <c r="F448" s="199">
        <v>5.0206248691582481E-2</v>
      </c>
      <c r="G448" s="199">
        <v>4.9798742313811067E-2</v>
      </c>
      <c r="H448" s="199">
        <v>4.8958866154614998E-2</v>
      </c>
      <c r="I448" s="199">
        <v>4.8547425106112485E-2</v>
      </c>
      <c r="J448" s="199">
        <v>3.6088204250305601E-2</v>
      </c>
      <c r="K448" s="199">
        <v>4.8285415221826292E-2</v>
      </c>
      <c r="L448" s="199">
        <v>5.5654494951477812E-2</v>
      </c>
      <c r="M448" s="199">
        <v>5.0265127659330049E-2</v>
      </c>
      <c r="N448" s="199">
        <v>4.6094047126417549E-2</v>
      </c>
    </row>
    <row r="449" spans="1:14">
      <c r="C449" s="29">
        <v>15</v>
      </c>
      <c r="D449" s="34" t="s">
        <v>893</v>
      </c>
      <c r="E449" s="199">
        <v>3.5361598029594925E-2</v>
      </c>
      <c r="F449" s="199">
        <v>5.0549649209553668E-2</v>
      </c>
      <c r="G449" s="199">
        <v>4.8450232593185677E-2</v>
      </c>
      <c r="H449" s="199">
        <v>4.6686080106441763E-2</v>
      </c>
      <c r="I449" s="199">
        <v>5.105125694601078E-2</v>
      </c>
      <c r="J449" s="199">
        <v>3.7601404170422764E-2</v>
      </c>
      <c r="K449" s="199">
        <v>4.90191134314686E-2</v>
      </c>
      <c r="L449" s="199">
        <v>5.422154324964365E-2</v>
      </c>
      <c r="M449" s="199">
        <v>5.2476231239997666E-2</v>
      </c>
      <c r="N449" s="199">
        <v>4.6847754068127849E-2</v>
      </c>
    </row>
    <row r="450" spans="1:14">
      <c r="C450" s="29">
        <v>16</v>
      </c>
      <c r="D450" s="34" t="s">
        <v>894</v>
      </c>
      <c r="E450" s="199">
        <v>3.5640348439260401E-2</v>
      </c>
      <c r="F450" s="199">
        <v>4.7605242308919972E-2</v>
      </c>
      <c r="G450" s="199">
        <v>4.8424470394550639E-2</v>
      </c>
      <c r="H450" s="199">
        <v>4.428008343263299E-2</v>
      </c>
      <c r="I450" s="199">
        <v>4.4836371465480113E-2</v>
      </c>
      <c r="J450" s="199">
        <v>4.0265985020189514E-2</v>
      </c>
      <c r="K450" s="199">
        <v>4.830104111816122E-2</v>
      </c>
      <c r="L450" s="199">
        <v>5.0409479847301958E-2</v>
      </c>
      <c r="M450" s="199">
        <v>4.623356572270864E-2</v>
      </c>
      <c r="N450" s="199">
        <v>4.2994304740627709E-2</v>
      </c>
    </row>
    <row r="451" spans="1:14">
      <c r="C451" s="29">
        <v>17</v>
      </c>
      <c r="D451" s="34" t="s">
        <v>895</v>
      </c>
      <c r="E451" s="199">
        <v>4.0668947525622723E-2</v>
      </c>
      <c r="F451" s="199">
        <v>4.2937098392583632E-2</v>
      </c>
      <c r="G451" s="199">
        <v>4.5105879003762957E-2</v>
      </c>
      <c r="H451" s="199">
        <v>4.1407566623845746E-2</v>
      </c>
      <c r="I451" s="199">
        <v>3.7281623572351291E-2</v>
      </c>
      <c r="J451" s="199">
        <v>4.4179052917233334E-2</v>
      </c>
      <c r="K451" s="199">
        <v>4.3320291947565405E-2</v>
      </c>
      <c r="L451" s="199">
        <v>4.6090384903650049E-2</v>
      </c>
      <c r="M451" s="199">
        <v>3.5476463146581101E-2</v>
      </c>
      <c r="N451" s="199">
        <v>4.3166765135731838E-2</v>
      </c>
    </row>
    <row r="452" spans="1:14">
      <c r="C452" s="29">
        <v>18</v>
      </c>
      <c r="D452" s="34" t="s">
        <v>896</v>
      </c>
      <c r="E452" s="199">
        <v>4.4937376966575571E-2</v>
      </c>
      <c r="F452" s="199">
        <v>3.677908695813574E-2</v>
      </c>
      <c r="G452" s="199">
        <v>4.3875086036809154E-2</v>
      </c>
      <c r="H452" s="199">
        <v>4.0202559375637173E-2</v>
      </c>
      <c r="I452" s="199">
        <v>4.0956633568455372E-2</v>
      </c>
      <c r="J452" s="199">
        <v>4.8616426046808749E-2</v>
      </c>
      <c r="K452" s="199">
        <v>3.7905992873787771E-2</v>
      </c>
      <c r="L452" s="199">
        <v>4.3015384571016689E-2</v>
      </c>
      <c r="M452" s="199">
        <v>3.5482789385038002E-2</v>
      </c>
      <c r="N452" s="199">
        <v>4.1838987530706813E-2</v>
      </c>
    </row>
    <row r="453" spans="1:14">
      <c r="C453" s="29">
        <v>19</v>
      </c>
      <c r="D453" s="34" t="s">
        <v>897</v>
      </c>
      <c r="E453" s="199">
        <v>4.9186534511367418E-2</v>
      </c>
      <c r="F453" s="199">
        <v>3.3687778493693851E-2</v>
      </c>
      <c r="G453" s="199">
        <v>4.2273752015707149E-2</v>
      </c>
      <c r="H453" s="199">
        <v>3.9350724393610141E-2</v>
      </c>
      <c r="I453" s="199">
        <v>3.9848892226619366E-2</v>
      </c>
      <c r="J453" s="199">
        <v>5.0702233529696418E-2</v>
      </c>
      <c r="K453" s="199">
        <v>3.3621135278670722E-2</v>
      </c>
      <c r="L453" s="199">
        <v>4.0159142281801861E-2</v>
      </c>
      <c r="M453" s="199">
        <v>3.3945596679990045E-2</v>
      </c>
      <c r="N453" s="199">
        <v>4.3009374095539732E-2</v>
      </c>
    </row>
    <row r="454" spans="1:14">
      <c r="C454" s="29">
        <v>20</v>
      </c>
      <c r="D454" s="34" t="s">
        <v>898</v>
      </c>
      <c r="E454" s="199">
        <v>5.1373562451567156E-2</v>
      </c>
      <c r="F454" s="199">
        <v>3.9041039839510905E-2</v>
      </c>
      <c r="G454" s="199">
        <v>4.2097291427495541E-2</v>
      </c>
      <c r="H454" s="199">
        <v>3.9847972383185076E-2</v>
      </c>
      <c r="I454" s="199">
        <v>4.8229760452336519E-2</v>
      </c>
      <c r="J454" s="199">
        <v>5.2799150760422339E-2</v>
      </c>
      <c r="K454" s="199">
        <v>3.5772053653196058E-2</v>
      </c>
      <c r="L454" s="199">
        <v>4.0541746009825366E-2</v>
      </c>
      <c r="M454" s="199">
        <v>3.4416402005151212E-2</v>
      </c>
      <c r="N454" s="199">
        <v>4.326794509014107E-2</v>
      </c>
    </row>
    <row r="455" spans="1:14">
      <c r="C455" s="29">
        <v>21</v>
      </c>
      <c r="D455" s="34" t="s">
        <v>899</v>
      </c>
      <c r="E455" s="199">
        <v>5.2813843884548392E-2</v>
      </c>
      <c r="F455" s="199">
        <v>3.8607138574197848E-2</v>
      </c>
      <c r="G455" s="199">
        <v>3.9211113566388858E-2</v>
      </c>
      <c r="H455" s="199">
        <v>3.938467782410348E-2</v>
      </c>
      <c r="I455" s="199">
        <v>4.4011212296745879E-2</v>
      </c>
      <c r="J455" s="199">
        <v>5.1532674820746027E-2</v>
      </c>
      <c r="K455" s="199">
        <v>3.6283902195252356E-2</v>
      </c>
      <c r="L455" s="199">
        <v>3.7070312267013274E-2</v>
      </c>
      <c r="M455" s="199">
        <v>3.3132258838379419E-2</v>
      </c>
      <c r="N455" s="199">
        <v>3.9302551983294548E-2</v>
      </c>
    </row>
    <row r="456" spans="1:14">
      <c r="C456" s="29">
        <v>22</v>
      </c>
      <c r="D456" s="34" t="s">
        <v>900</v>
      </c>
      <c r="E456" s="199">
        <v>4.9454134464061876E-2</v>
      </c>
      <c r="F456" s="199">
        <v>3.795347146542348E-2</v>
      </c>
      <c r="G456" s="199">
        <v>3.8006259520469272E-2</v>
      </c>
      <c r="H456" s="199">
        <v>3.996296133445585E-2</v>
      </c>
      <c r="I456" s="199">
        <v>3.6902764819865076E-2</v>
      </c>
      <c r="J456" s="199">
        <v>4.8506571617135466E-2</v>
      </c>
      <c r="K456" s="199">
        <v>3.7030075748382629E-2</v>
      </c>
      <c r="L456" s="199">
        <v>3.3172072248094799E-2</v>
      </c>
      <c r="M456" s="199">
        <v>3.3823400389796171E-2</v>
      </c>
      <c r="N456" s="199">
        <v>3.1803993139855581E-2</v>
      </c>
    </row>
    <row r="457" spans="1:14">
      <c r="C457" s="29">
        <v>23</v>
      </c>
      <c r="D457" s="34" t="s">
        <v>901</v>
      </c>
      <c r="E457" s="199">
        <v>4.3957550294756648E-2</v>
      </c>
      <c r="F457" s="199">
        <v>3.5858499224920029E-2</v>
      </c>
      <c r="G457" s="199">
        <v>3.494316944724199E-2</v>
      </c>
      <c r="H457" s="199">
        <v>3.6559186516549512E-2</v>
      </c>
      <c r="I457" s="199">
        <v>3.6893633763251242E-2</v>
      </c>
      <c r="J457" s="199">
        <v>4.2630927566054411E-2</v>
      </c>
      <c r="K457" s="199">
        <v>3.7045828512617444E-2</v>
      </c>
      <c r="L457" s="199">
        <v>2.9519266484145452E-2</v>
      </c>
      <c r="M457" s="199">
        <v>3.3472543875377091E-2</v>
      </c>
      <c r="N457" s="199">
        <v>3.8252481061648025E-2</v>
      </c>
    </row>
    <row r="458" spans="1:14">
      <c r="C458" s="29">
        <v>24</v>
      </c>
      <c r="D458" s="34" t="s">
        <v>902</v>
      </c>
      <c r="E458" s="199">
        <v>3.6901469895680883E-2</v>
      </c>
      <c r="F458" s="199">
        <v>3.5395341847322008E-2</v>
      </c>
      <c r="G458" s="199">
        <v>3.2791731323883591E-2</v>
      </c>
      <c r="H458" s="199">
        <v>3.5353104076375312E-2</v>
      </c>
      <c r="I458" s="199">
        <v>3.3099439449240292E-2</v>
      </c>
      <c r="J458" s="199">
        <v>3.8189684034816332E-2</v>
      </c>
      <c r="K458" s="199">
        <v>3.7511962321417833E-2</v>
      </c>
      <c r="L458" s="199">
        <v>2.767358725372597E-2</v>
      </c>
      <c r="M458" s="199">
        <v>3.4517871540400764E-2</v>
      </c>
      <c r="N458" s="199">
        <v>4.3275599365651923E-2</v>
      </c>
    </row>
    <row r="459" spans="1:14">
      <c r="A459" s="16" t="s">
        <v>433</v>
      </c>
      <c r="B459" s="16" t="s">
        <v>420</v>
      </c>
      <c r="C459" s="29">
        <v>1</v>
      </c>
      <c r="D459" s="34" t="s">
        <v>903</v>
      </c>
      <c r="E459" s="199">
        <v>3.4596582281054646E-2</v>
      </c>
      <c r="F459" s="199">
        <v>3.5308697102662767E-2</v>
      </c>
      <c r="G459" s="199">
        <v>3.2857627582234136E-2</v>
      </c>
      <c r="H459" s="199">
        <v>3.4270047863354289E-2</v>
      </c>
      <c r="I459" s="199">
        <v>3.5040875414376067E-2</v>
      </c>
      <c r="J459" s="199">
        <v>3.3948892771391022E-2</v>
      </c>
      <c r="K459" s="199">
        <v>3.8217606543263012E-2</v>
      </c>
      <c r="L459" s="199">
        <v>2.7731871545417768E-2</v>
      </c>
      <c r="M459" s="199">
        <v>3.4092685734848568E-2</v>
      </c>
      <c r="N459" s="199">
        <v>3.4903183343408098E-2</v>
      </c>
    </row>
    <row r="460" spans="1:14">
      <c r="C460" s="29">
        <v>2</v>
      </c>
      <c r="D460" s="34" t="s">
        <v>904</v>
      </c>
      <c r="E460" s="199">
        <v>3.301335999444803E-2</v>
      </c>
      <c r="F460" s="199">
        <v>3.5440490572446283E-2</v>
      </c>
      <c r="G460" s="199">
        <v>3.2329887107006197E-2</v>
      </c>
      <c r="H460" s="199">
        <v>3.3707363070270654E-2</v>
      </c>
      <c r="I460" s="199">
        <v>4.0682219884726756E-2</v>
      </c>
      <c r="J460" s="199">
        <v>3.217063976292165E-2</v>
      </c>
      <c r="K460" s="199">
        <v>3.7298773138183375E-2</v>
      </c>
      <c r="L460" s="199">
        <v>2.6569208998244179E-2</v>
      </c>
      <c r="M460" s="199">
        <v>3.5266640722695954E-2</v>
      </c>
      <c r="N460" s="199">
        <v>3.8168133440928877E-2</v>
      </c>
    </row>
    <row r="461" spans="1:14">
      <c r="C461" s="29">
        <v>3</v>
      </c>
      <c r="D461" s="34" t="s">
        <v>905</v>
      </c>
      <c r="E461" s="199">
        <v>3.3084468633522227E-2</v>
      </c>
      <c r="F461" s="199">
        <v>3.5852329176341131E-2</v>
      </c>
      <c r="G461" s="199">
        <v>3.2771475244707325E-2</v>
      </c>
      <c r="H461" s="199">
        <v>3.4521487518562287E-2</v>
      </c>
      <c r="I461" s="199">
        <v>4.3936967316815956E-2</v>
      </c>
      <c r="J461" s="199">
        <v>3.07272769552395E-2</v>
      </c>
      <c r="K461" s="199">
        <v>3.815678002582866E-2</v>
      </c>
      <c r="L461" s="199">
        <v>2.6373311360937603E-2</v>
      </c>
      <c r="M461" s="199">
        <v>3.4394913343290784E-2</v>
      </c>
      <c r="N461" s="199">
        <v>4.1564582469281464E-2</v>
      </c>
    </row>
    <row r="462" spans="1:14">
      <c r="C462" s="29">
        <v>4</v>
      </c>
      <c r="D462" s="34" t="s">
        <v>906</v>
      </c>
      <c r="E462" s="199">
        <v>3.3575284452351521E-2</v>
      </c>
      <c r="F462" s="199">
        <v>3.6525594404111524E-2</v>
      </c>
      <c r="G462" s="199">
        <v>3.2999938330433215E-2</v>
      </c>
      <c r="H462" s="199">
        <v>3.4349212023713757E-2</v>
      </c>
      <c r="I462" s="199">
        <v>4.5180075066593321E-2</v>
      </c>
      <c r="J462" s="199">
        <v>3.0257864235000372E-2</v>
      </c>
      <c r="K462" s="199">
        <v>3.892324580284115E-2</v>
      </c>
      <c r="L462" s="199">
        <v>2.732377414733329E-2</v>
      </c>
      <c r="M462" s="199">
        <v>3.5083892655063717E-2</v>
      </c>
      <c r="N462" s="199">
        <v>3.5339996400842406E-2</v>
      </c>
    </row>
    <row r="463" spans="1:14">
      <c r="C463" s="29">
        <v>5</v>
      </c>
      <c r="D463" s="34" t="s">
        <v>907</v>
      </c>
      <c r="E463" s="199">
        <v>3.5252776271145418E-2</v>
      </c>
      <c r="F463" s="199">
        <v>3.7463725705739963E-2</v>
      </c>
      <c r="G463" s="199">
        <v>3.444196339610326E-2</v>
      </c>
      <c r="H463" s="199">
        <v>3.4498390998203711E-2</v>
      </c>
      <c r="I463" s="199">
        <v>4.3469413784549452E-2</v>
      </c>
      <c r="J463" s="199">
        <v>3.1959973188186157E-2</v>
      </c>
      <c r="K463" s="199">
        <v>3.9018984072320261E-2</v>
      </c>
      <c r="L463" s="199">
        <v>3.134272385540484E-2</v>
      </c>
      <c r="M463" s="199">
        <v>3.6877663328905907E-2</v>
      </c>
      <c r="N463" s="199">
        <v>3.471731028719776E-2</v>
      </c>
    </row>
    <row r="464" spans="1:14">
      <c r="C464" s="29">
        <v>6</v>
      </c>
      <c r="D464" s="34" t="s">
        <v>908</v>
      </c>
      <c r="E464" s="199">
        <v>4.1229348988015842E-2</v>
      </c>
      <c r="F464" s="199">
        <v>3.864469354621463E-2</v>
      </c>
      <c r="G464" s="199">
        <v>3.7556009741157546E-2</v>
      </c>
      <c r="H464" s="199">
        <v>3.8586140369492997E-2</v>
      </c>
      <c r="I464" s="199">
        <v>4.3719439791500204E-2</v>
      </c>
      <c r="J464" s="199">
        <v>3.6523534814379255E-2</v>
      </c>
      <c r="K464" s="199">
        <v>4.0342057684029264E-2</v>
      </c>
      <c r="L464" s="199">
        <v>3.8417722971919567E-2</v>
      </c>
      <c r="M464" s="199">
        <v>4.3855882930973443E-2</v>
      </c>
      <c r="N464" s="199">
        <v>3.4010674164077451E-2</v>
      </c>
    </row>
    <row r="465" spans="3:14">
      <c r="C465" s="29">
        <v>7</v>
      </c>
      <c r="D465" s="34" t="s">
        <v>909</v>
      </c>
      <c r="E465" s="199">
        <v>4.9610235591412373E-2</v>
      </c>
      <c r="F465" s="199">
        <v>4.2174464622250975E-2</v>
      </c>
      <c r="G465" s="199">
        <v>4.4126395204721454E-2</v>
      </c>
      <c r="H465" s="199">
        <v>4.5947068354207789E-2</v>
      </c>
      <c r="I465" s="199">
        <v>4.6022912572715367E-2</v>
      </c>
      <c r="J465" s="199">
        <v>4.3612297019652038E-2</v>
      </c>
      <c r="K465" s="199">
        <v>4.2127270770555308E-2</v>
      </c>
      <c r="L465" s="199">
        <v>4.6316591673950351E-2</v>
      </c>
      <c r="M465" s="199">
        <v>4.8260352146642156E-2</v>
      </c>
      <c r="N465" s="199">
        <v>4.7953655954660626E-2</v>
      </c>
    </row>
    <row r="466" spans="3:14">
      <c r="C466" s="29">
        <v>8</v>
      </c>
      <c r="D466" s="34" t="s">
        <v>910</v>
      </c>
      <c r="E466" s="199">
        <v>5.3972475992081236E-2</v>
      </c>
      <c r="F466" s="199">
        <v>4.2522801314898891E-2</v>
      </c>
      <c r="G466" s="199">
        <v>4.6484859344658562E-2</v>
      </c>
      <c r="H466" s="199">
        <v>4.9318267707415944E-2</v>
      </c>
      <c r="I466" s="199">
        <v>4.3108337689599673E-2</v>
      </c>
      <c r="J466" s="199">
        <v>4.9188063701799567E-2</v>
      </c>
      <c r="K466" s="199">
        <v>4.2585213086526033E-2</v>
      </c>
      <c r="L466" s="199">
        <v>4.9238985442380645E-2</v>
      </c>
      <c r="M466" s="199">
        <v>5.2133930338030772E-2</v>
      </c>
      <c r="N466" s="199">
        <v>4.805193889258335E-2</v>
      </c>
    </row>
    <row r="467" spans="3:14">
      <c r="C467" s="29">
        <v>9</v>
      </c>
      <c r="D467" s="34" t="s">
        <v>911</v>
      </c>
      <c r="E467" s="199">
        <v>4.8894972290773588E-2</v>
      </c>
      <c r="F467" s="199">
        <v>4.9408708093268854E-2</v>
      </c>
      <c r="G467" s="199">
        <v>4.8478168868671838E-2</v>
      </c>
      <c r="H467" s="199">
        <v>4.9940702194470686E-2</v>
      </c>
      <c r="I467" s="199">
        <v>3.8713693765991028E-2</v>
      </c>
      <c r="J467" s="199">
        <v>4.8687984671343894E-2</v>
      </c>
      <c r="K467" s="199">
        <v>4.6338764528626772E-2</v>
      </c>
      <c r="L467" s="199">
        <v>5.372138900787006E-2</v>
      </c>
      <c r="M467" s="199">
        <v>5.0965787419576511E-2</v>
      </c>
      <c r="N467" s="199">
        <v>4.59179251015761E-2</v>
      </c>
    </row>
    <row r="468" spans="3:14">
      <c r="C468" s="29">
        <v>10</v>
      </c>
      <c r="D468" s="34" t="s">
        <v>912</v>
      </c>
      <c r="E468" s="199">
        <v>4.7604299906162974E-2</v>
      </c>
      <c r="F468" s="199">
        <v>5.0627609371773526E-2</v>
      </c>
      <c r="G468" s="199">
        <v>5.0010743039799868E-2</v>
      </c>
      <c r="H468" s="199">
        <v>5.0984676072417731E-2</v>
      </c>
      <c r="I468" s="199">
        <v>3.6283493237294608E-2</v>
      </c>
      <c r="J468" s="199">
        <v>4.5579494068487873E-2</v>
      </c>
      <c r="K468" s="199">
        <v>4.7626151528196284E-2</v>
      </c>
      <c r="L468" s="199">
        <v>5.5232397180037467E-2</v>
      </c>
      <c r="M468" s="199">
        <v>5.0002229343760064E-2</v>
      </c>
      <c r="N468" s="199">
        <v>4.5987314675803942E-2</v>
      </c>
    </row>
    <row r="469" spans="3:14">
      <c r="C469" s="29">
        <v>11</v>
      </c>
      <c r="D469" s="34" t="s">
        <v>913</v>
      </c>
      <c r="E469" s="199">
        <v>4.460999749670852E-2</v>
      </c>
      <c r="F469" s="199">
        <v>5.0201543952042023E-2</v>
      </c>
      <c r="G469" s="199">
        <v>5.0974344372843171E-2</v>
      </c>
      <c r="H469" s="199">
        <v>5.0279060638854213E-2</v>
      </c>
      <c r="I469" s="199">
        <v>4.2751181009520432E-2</v>
      </c>
      <c r="J469" s="199">
        <v>4.6185766885957213E-2</v>
      </c>
      <c r="K469" s="199">
        <v>4.9087386999569514E-2</v>
      </c>
      <c r="L469" s="199">
        <v>5.5081922320817114E-2</v>
      </c>
      <c r="M469" s="199">
        <v>4.9793077875170524E-2</v>
      </c>
      <c r="N469" s="199">
        <v>4.0642724912654457E-2</v>
      </c>
    </row>
    <row r="470" spans="3:14">
      <c r="C470" s="29">
        <v>12</v>
      </c>
      <c r="D470" s="34" t="s">
        <v>914</v>
      </c>
      <c r="E470" s="199">
        <v>4.3876989555495884E-2</v>
      </c>
      <c r="F470" s="199">
        <v>4.9840216940038748E-2</v>
      </c>
      <c r="G470" s="199">
        <v>4.9397255459112499E-2</v>
      </c>
      <c r="H470" s="199">
        <v>5.159160130184038E-2</v>
      </c>
      <c r="I470" s="199">
        <v>4.4051120274920835E-2</v>
      </c>
      <c r="J470" s="199">
        <v>4.1547382444094359E-2</v>
      </c>
      <c r="K470" s="199">
        <v>4.8818402927249233E-2</v>
      </c>
      <c r="L470" s="199">
        <v>5.5701702383943348E-2</v>
      </c>
      <c r="M470" s="199">
        <v>5.0512196918224922E-2</v>
      </c>
      <c r="N470" s="199">
        <v>3.9601881299236745E-2</v>
      </c>
    </row>
    <row r="471" spans="3:14">
      <c r="C471" s="29">
        <v>13</v>
      </c>
      <c r="D471" s="34" t="s">
        <v>915</v>
      </c>
      <c r="E471" s="199">
        <v>4.131654378873427E-2</v>
      </c>
      <c r="F471" s="199">
        <v>4.8922864464337579E-2</v>
      </c>
      <c r="G471" s="199">
        <v>4.9141722871285057E-2</v>
      </c>
      <c r="H471" s="199">
        <v>4.8559931955642628E-2</v>
      </c>
      <c r="I471" s="199">
        <v>4.2294895795006775E-2</v>
      </c>
      <c r="J471" s="199">
        <v>4.2765023321031048E-2</v>
      </c>
      <c r="K471" s="199">
        <v>4.6705510116229004E-2</v>
      </c>
      <c r="L471" s="199">
        <v>5.4766725254067172E-2</v>
      </c>
      <c r="M471" s="199">
        <v>5.1759467009988368E-2</v>
      </c>
      <c r="N471" s="199">
        <v>4.4624093925727679E-2</v>
      </c>
    </row>
    <row r="472" spans="3:14">
      <c r="C472" s="29">
        <v>14</v>
      </c>
      <c r="D472" s="34" t="s">
        <v>916</v>
      </c>
      <c r="E472" s="199">
        <v>3.7800156548125921E-2</v>
      </c>
      <c r="F472" s="199">
        <v>4.9691965275710931E-2</v>
      </c>
      <c r="G472" s="199">
        <v>4.9535041115892409E-2</v>
      </c>
      <c r="H472" s="199">
        <v>5.1268640537695906E-2</v>
      </c>
      <c r="I472" s="199">
        <v>4.6307396768736415E-2</v>
      </c>
      <c r="J472" s="199">
        <v>3.9890073677199302E-2</v>
      </c>
      <c r="K472" s="199">
        <v>4.8663624623331889E-2</v>
      </c>
      <c r="L472" s="199">
        <v>5.5858382391997516E-2</v>
      </c>
      <c r="M472" s="199">
        <v>5.3018361240538048E-2</v>
      </c>
      <c r="N472" s="199">
        <v>4.5216976648474468E-2</v>
      </c>
    </row>
    <row r="473" spans="3:14">
      <c r="C473" s="29">
        <v>15</v>
      </c>
      <c r="D473" s="34" t="s">
        <v>917</v>
      </c>
      <c r="E473" s="199">
        <v>3.8858334756861082E-2</v>
      </c>
      <c r="F473" s="199">
        <v>4.8933339152920606E-2</v>
      </c>
      <c r="G473" s="199">
        <v>4.8859667844647015E-2</v>
      </c>
      <c r="H473" s="199">
        <v>4.7686225179469438E-2</v>
      </c>
      <c r="I473" s="199">
        <v>5.0550816601922843E-2</v>
      </c>
      <c r="J473" s="199">
        <v>3.7564048276008621E-2</v>
      </c>
      <c r="K473" s="199">
        <v>4.7700839431769247E-2</v>
      </c>
      <c r="L473" s="199">
        <v>5.4279117582657993E-2</v>
      </c>
      <c r="M473" s="199">
        <v>5.3332960253831337E-2</v>
      </c>
      <c r="N473" s="199">
        <v>4.8018495392873534E-2</v>
      </c>
    </row>
    <row r="474" spans="3:14">
      <c r="C474" s="29">
        <v>16</v>
      </c>
      <c r="D474" s="34" t="s">
        <v>918</v>
      </c>
      <c r="E474" s="199">
        <v>3.7846496400571382E-2</v>
      </c>
      <c r="F474" s="199">
        <v>4.665039712074262E-2</v>
      </c>
      <c r="G474" s="199">
        <v>4.6589733403698735E-2</v>
      </c>
      <c r="H474" s="199">
        <v>4.2983349640369324E-2</v>
      </c>
      <c r="I474" s="199">
        <v>5.106654627530658E-2</v>
      </c>
      <c r="J474" s="199">
        <v>4.1165937179785728E-2</v>
      </c>
      <c r="K474" s="199">
        <v>4.5866250538097286E-2</v>
      </c>
      <c r="L474" s="199">
        <v>4.9562551295386732E-2</v>
      </c>
      <c r="M474" s="199">
        <v>4.5956281780084075E-2</v>
      </c>
      <c r="N474" s="199">
        <v>4.9630836089767809E-2</v>
      </c>
    </row>
    <row r="475" spans="3:14">
      <c r="C475" s="29">
        <v>17</v>
      </c>
      <c r="D475" s="34" t="s">
        <v>919</v>
      </c>
      <c r="E475" s="199">
        <v>3.9518886319041463E-2</v>
      </c>
      <c r="F475" s="199">
        <v>4.2715211537472944E-2</v>
      </c>
      <c r="G475" s="199">
        <v>4.4721215094837778E-2</v>
      </c>
      <c r="H475" s="199">
        <v>3.9907105125653437E-2</v>
      </c>
      <c r="I475" s="199">
        <v>5.1111619546317946E-2</v>
      </c>
      <c r="J475" s="199">
        <v>4.2138728641721232E-2</v>
      </c>
      <c r="K475" s="199">
        <v>4.2463108049935416E-2</v>
      </c>
      <c r="L475" s="199">
        <v>4.5533654298285507E-2</v>
      </c>
      <c r="M475" s="199">
        <v>3.6803434899799495E-2</v>
      </c>
      <c r="N475" s="199">
        <v>4.7717048881883703E-2</v>
      </c>
    </row>
    <row r="476" spans="3:14">
      <c r="C476" s="29">
        <v>18</v>
      </c>
      <c r="D476" s="34" t="s">
        <v>920</v>
      </c>
      <c r="E476" s="199">
        <v>4.236672950206128E-2</v>
      </c>
      <c r="F476" s="199">
        <v>3.6488044706368829E-2</v>
      </c>
      <c r="G476" s="199">
        <v>4.1787118803175191E-2</v>
      </c>
      <c r="H476" s="199">
        <v>3.8528901166865213E-2</v>
      </c>
      <c r="I476" s="199">
        <v>4.3099355697187987E-2</v>
      </c>
      <c r="J476" s="199">
        <v>4.8532464605413626E-2</v>
      </c>
      <c r="K476" s="199">
        <v>3.7127636676711144E-2</v>
      </c>
      <c r="L476" s="199">
        <v>4.1672282711915122E-2</v>
      </c>
      <c r="M476" s="199">
        <v>3.4932612791717096E-2</v>
      </c>
      <c r="N476" s="199">
        <v>4.115734529594426E-2</v>
      </c>
    </row>
    <row r="477" spans="3:14">
      <c r="C477" s="29">
        <v>19</v>
      </c>
      <c r="D477" s="34" t="s">
        <v>921</v>
      </c>
      <c r="E477" s="199">
        <v>4.4889987763063167E-2</v>
      </c>
      <c r="F477" s="199">
        <v>3.46513926283235E-2</v>
      </c>
      <c r="G477" s="199">
        <v>4.0516554179085035E-2</v>
      </c>
      <c r="H477" s="199">
        <v>3.8571579519701721E-2</v>
      </c>
      <c r="I477" s="199">
        <v>4.0497354149998957E-2</v>
      </c>
      <c r="J477" s="199">
        <v>4.8337964583081289E-2</v>
      </c>
      <c r="K477" s="199">
        <v>3.4515863108049931E-2</v>
      </c>
      <c r="L477" s="199">
        <v>3.9921219648130238E-2</v>
      </c>
      <c r="M477" s="199">
        <v>3.430889471627261E-2</v>
      </c>
      <c r="N477" s="199">
        <v>4.9398551646205088E-2</v>
      </c>
    </row>
    <row r="478" spans="3:14">
      <c r="C478" s="29">
        <v>20</v>
      </c>
      <c r="D478" s="34" t="s">
        <v>922</v>
      </c>
      <c r="E478" s="199">
        <v>4.6673260908967638E-2</v>
      </c>
      <c r="F478" s="199">
        <v>3.9684956614678434E-2</v>
      </c>
      <c r="G478" s="199">
        <v>4.1134202142330913E-2</v>
      </c>
      <c r="H478" s="199">
        <v>3.8278019398622395E-2</v>
      </c>
      <c r="I478" s="199">
        <v>3.8807923031837263E-2</v>
      </c>
      <c r="J478" s="199">
        <v>5.1034282631122266E-2</v>
      </c>
      <c r="K478" s="199">
        <v>3.8041368919500641E-2</v>
      </c>
      <c r="L478" s="199">
        <v>3.9734194285033428E-2</v>
      </c>
      <c r="M478" s="199">
        <v>3.3998032033303476E-2</v>
      </c>
      <c r="N478" s="199">
        <v>4.1885822071936286E-2</v>
      </c>
    </row>
    <row r="479" spans="3:14">
      <c r="C479" s="29">
        <v>21</v>
      </c>
      <c r="D479" s="34" t="s">
        <v>923</v>
      </c>
      <c r="E479" s="199">
        <v>4.680600064848333E-2</v>
      </c>
      <c r="F479" s="199">
        <v>3.8599156365454752E-2</v>
      </c>
      <c r="G479" s="199">
        <v>3.994711532412281E-2</v>
      </c>
      <c r="H479" s="199">
        <v>3.7347519729393576E-2</v>
      </c>
      <c r="I479" s="199">
        <v>3.5583714373947785E-2</v>
      </c>
      <c r="J479" s="199">
        <v>5.0596532232500886E-2</v>
      </c>
      <c r="K479" s="199">
        <v>3.772085665088247E-2</v>
      </c>
      <c r="L479" s="199">
        <v>3.6631143595730525E-2</v>
      </c>
      <c r="M479" s="199">
        <v>3.3430026794470193E-2</v>
      </c>
      <c r="N479" s="199">
        <v>4.0384504693806562E-2</v>
      </c>
    </row>
    <row r="480" spans="3:14">
      <c r="C480" s="29">
        <v>22</v>
      </c>
      <c r="D480" s="34" t="s">
        <v>924</v>
      </c>
      <c r="E480" s="199">
        <v>4.4449681480088453E-2</v>
      </c>
      <c r="F480" s="199">
        <v>3.7404714977114804E-2</v>
      </c>
      <c r="G480" s="199">
        <v>3.7886854708709165E-2</v>
      </c>
      <c r="H480" s="199">
        <v>3.8044320548907211E-2</v>
      </c>
      <c r="I480" s="199">
        <v>3.2579482875668163E-2</v>
      </c>
      <c r="J480" s="199">
        <v>4.8466050294158083E-2</v>
      </c>
      <c r="K480" s="199">
        <v>3.7472277227722769E-2</v>
      </c>
      <c r="L480" s="199">
        <v>3.2825931327862802E-2</v>
      </c>
      <c r="M480" s="199">
        <v>3.3836041356360966E-2</v>
      </c>
      <c r="N480" s="199">
        <v>4.0260968501000916E-2</v>
      </c>
    </row>
    <row r="481" spans="1:14">
      <c r="C481" s="29">
        <v>23</v>
      </c>
      <c r="D481" s="34" t="s">
        <v>925</v>
      </c>
      <c r="E481" s="199">
        <v>4.2400043610408035E-2</v>
      </c>
      <c r="F481" s="199">
        <v>3.5879048870419962E-2</v>
      </c>
      <c r="G481" s="199">
        <v>3.5102910405749616E-2</v>
      </c>
      <c r="H481" s="199">
        <v>3.6436601892642681E-2</v>
      </c>
      <c r="I481" s="199">
        <v>3.2409641564610826E-2</v>
      </c>
      <c r="J481" s="199">
        <v>4.1602400216732088E-2</v>
      </c>
      <c r="K481" s="199">
        <v>3.7254520017219107E-2</v>
      </c>
      <c r="L481" s="199">
        <v>2.8948121540195777E-2</v>
      </c>
      <c r="M481" s="199">
        <v>3.3354469892359642E-2</v>
      </c>
      <c r="N481" s="199">
        <v>2.9545170679014521E-2</v>
      </c>
    </row>
    <row r="482" spans="1:14">
      <c r="C482" s="29">
        <v>24</v>
      </c>
      <c r="D482" s="34" t="s">
        <v>926</v>
      </c>
      <c r="E482" s="199">
        <v>3.775308682042168E-2</v>
      </c>
      <c r="F482" s="199">
        <v>3.6368033484665815E-2</v>
      </c>
      <c r="G482" s="199">
        <v>3.234919641501726E-2</v>
      </c>
      <c r="H482" s="199">
        <v>3.4393787192231885E-2</v>
      </c>
      <c r="I482" s="199">
        <v>3.2731523510855079E-2</v>
      </c>
      <c r="J482" s="199">
        <v>3.7517323822793124E-2</v>
      </c>
      <c r="K482" s="199">
        <v>3.7927507533362027E-2</v>
      </c>
      <c r="L482" s="199">
        <v>2.7215075180481045E-2</v>
      </c>
      <c r="M482" s="199">
        <v>3.4030164474091164E-2</v>
      </c>
      <c r="N482" s="199">
        <v>3.5300865231113927E-2</v>
      </c>
    </row>
    <row r="483" spans="1:14">
      <c r="A483" s="16" t="s">
        <v>433</v>
      </c>
      <c r="B483" s="16" t="s">
        <v>424</v>
      </c>
      <c r="C483" s="29">
        <v>1</v>
      </c>
      <c r="D483" s="34" t="s">
        <v>927</v>
      </c>
      <c r="E483" s="199">
        <v>3.3215203739798367E-2</v>
      </c>
      <c r="F483" s="199">
        <v>4.0792368387491916E-2</v>
      </c>
      <c r="G483" s="199">
        <v>3.7560401624964442E-2</v>
      </c>
      <c r="H483" s="199">
        <v>4.3011697416806369E-2</v>
      </c>
      <c r="I483" s="199">
        <v>3.6304934153576544E-2</v>
      </c>
      <c r="J483" s="199">
        <v>3.3367034296169301E-2</v>
      </c>
      <c r="K483" s="199">
        <v>4.2761385868443393E-2</v>
      </c>
      <c r="L483" s="199">
        <v>3.3873565796792182E-2</v>
      </c>
      <c r="M483" s="199">
        <v>3.9038301795808084E-2</v>
      </c>
      <c r="N483" s="199">
        <v>3.3214026586273142E-2</v>
      </c>
    </row>
    <row r="484" spans="1:14">
      <c r="C484" s="29">
        <v>2</v>
      </c>
      <c r="D484" s="34" t="s">
        <v>928</v>
      </c>
      <c r="E484" s="199">
        <v>3.2912671722617609E-2</v>
      </c>
      <c r="F484" s="199">
        <v>4.090974057402659E-2</v>
      </c>
      <c r="G484" s="199">
        <v>3.6694772362320195E-2</v>
      </c>
      <c r="H484" s="199">
        <v>4.1115395723987189E-2</v>
      </c>
      <c r="I484" s="199">
        <v>3.7126864722361638E-2</v>
      </c>
      <c r="J484" s="199">
        <v>3.1160198550392957E-2</v>
      </c>
      <c r="K484" s="199">
        <v>4.1579366945705389E-2</v>
      </c>
      <c r="L484" s="199">
        <v>3.3835879774191079E-2</v>
      </c>
      <c r="M484" s="199">
        <v>3.9398487538027806E-2</v>
      </c>
      <c r="N484" s="199">
        <v>2.9421284947183299E-2</v>
      </c>
    </row>
    <row r="485" spans="1:14">
      <c r="C485" s="29">
        <v>3</v>
      </c>
      <c r="D485" s="34" t="s">
        <v>929</v>
      </c>
      <c r="E485" s="199">
        <v>3.1861422618069749E-2</v>
      </c>
      <c r="F485" s="199">
        <v>4.1597391922123333E-2</v>
      </c>
      <c r="G485" s="199">
        <v>3.7386770848330503E-2</v>
      </c>
      <c r="H485" s="199">
        <v>4.0444991334706991E-2</v>
      </c>
      <c r="I485" s="199">
        <v>3.8798906336575865E-2</v>
      </c>
      <c r="J485" s="199">
        <v>3.1771156577228135E-2</v>
      </c>
      <c r="K485" s="199">
        <v>4.2548470510719499E-2</v>
      </c>
      <c r="L485" s="199">
        <v>3.3840158595525083E-2</v>
      </c>
      <c r="M485" s="199">
        <v>3.926759353959338E-2</v>
      </c>
      <c r="N485" s="199">
        <v>3.0306860801650744E-2</v>
      </c>
    </row>
    <row r="486" spans="1:14">
      <c r="C486" s="29">
        <v>4</v>
      </c>
      <c r="D486" s="34" t="s">
        <v>930</v>
      </c>
      <c r="E486" s="199">
        <v>3.22728052477722E-2</v>
      </c>
      <c r="F486" s="199">
        <v>4.1438237205794398E-2</v>
      </c>
      <c r="G486" s="199">
        <v>3.7460401405953601E-2</v>
      </c>
      <c r="H486" s="199">
        <v>4.1040712010388801E-2</v>
      </c>
      <c r="I486" s="199">
        <v>4.0428807700993656E-2</v>
      </c>
      <c r="J486" s="199">
        <v>3.1836761929056642E-2</v>
      </c>
      <c r="K486" s="199">
        <v>4.2992480499616959E-2</v>
      </c>
      <c r="L486" s="199">
        <v>3.4084564330209302E-2</v>
      </c>
      <c r="M486" s="199">
        <v>4.0148552568408394E-2</v>
      </c>
      <c r="N486" s="199">
        <v>2.877993659218429E-2</v>
      </c>
    </row>
    <row r="487" spans="1:14">
      <c r="C487" s="29">
        <v>5</v>
      </c>
      <c r="D487" s="34" t="s">
        <v>931</v>
      </c>
      <c r="E487" s="199">
        <v>3.421003507019009E-2</v>
      </c>
      <c r="F487" s="199">
        <v>4.1096430621074667E-2</v>
      </c>
      <c r="G487" s="199">
        <v>3.7939397658236486E-2</v>
      </c>
      <c r="H487" s="199">
        <v>4.1124957104963097E-2</v>
      </c>
      <c r="I487" s="199">
        <v>4.3802506522932314E-2</v>
      </c>
      <c r="J487" s="199">
        <v>3.2220811126791885E-2</v>
      </c>
      <c r="K487" s="199">
        <v>4.2850652874828747E-2</v>
      </c>
      <c r="L487" s="199">
        <v>3.5643459073134681E-2</v>
      </c>
      <c r="M487" s="199">
        <v>4.1193962332524987E-2</v>
      </c>
      <c r="N487" s="199">
        <v>2.9158059945886352E-2</v>
      </c>
    </row>
    <row r="488" spans="1:14">
      <c r="C488" s="29">
        <v>6</v>
      </c>
      <c r="D488" s="34" t="s">
        <v>932</v>
      </c>
      <c r="E488" s="199">
        <v>3.6015739469456513E-2</v>
      </c>
      <c r="F488" s="199">
        <v>4.3829633987310483E-2</v>
      </c>
      <c r="G488" s="199">
        <v>4.0754412659563206E-2</v>
      </c>
      <c r="H488" s="199">
        <v>4.3030295468826578E-2</v>
      </c>
      <c r="I488" s="199">
        <v>4.7361074490262799E-2</v>
      </c>
      <c r="J488" s="199">
        <v>3.47199330044222E-2</v>
      </c>
      <c r="K488" s="199">
        <v>4.5865409849706107E-2</v>
      </c>
      <c r="L488" s="199">
        <v>4.0059405157718234E-2</v>
      </c>
      <c r="M488" s="199">
        <v>4.8451761849883666E-2</v>
      </c>
      <c r="N488" s="199">
        <v>3.6840905420937153E-2</v>
      </c>
    </row>
    <row r="489" spans="1:14">
      <c r="C489" s="29">
        <v>7</v>
      </c>
      <c r="D489" s="34" t="s">
        <v>933</v>
      </c>
      <c r="E489" s="199">
        <v>3.9902161435684945E-2</v>
      </c>
      <c r="F489" s="199">
        <v>4.3542696155096143E-2</v>
      </c>
      <c r="G489" s="199">
        <v>4.3193095102272171E-2</v>
      </c>
      <c r="H489" s="199">
        <v>4.3069298907075858E-2</v>
      </c>
      <c r="I489" s="199">
        <v>4.0737227362042543E-2</v>
      </c>
      <c r="J489" s="199">
        <v>3.9202514133329265E-2</v>
      </c>
      <c r="K489" s="199">
        <v>4.4107567474991373E-2</v>
      </c>
      <c r="L489" s="199">
        <v>4.4082401568246055E-2</v>
      </c>
      <c r="M489" s="199">
        <v>4.7753736273741763E-2</v>
      </c>
      <c r="N489" s="199">
        <v>3.9619290063356676E-2</v>
      </c>
    </row>
    <row r="490" spans="1:14">
      <c r="C490" s="29">
        <v>8</v>
      </c>
      <c r="D490" s="34" t="s">
        <v>934</v>
      </c>
      <c r="E490" s="199">
        <v>4.4540008041505229E-2</v>
      </c>
      <c r="F490" s="199">
        <v>3.8458831134549266E-2</v>
      </c>
      <c r="G490" s="199">
        <v>4.3734114969312649E-2</v>
      </c>
      <c r="H490" s="199">
        <v>4.2742171415272118E-2</v>
      </c>
      <c r="I490" s="199">
        <v>4.0325348821462458E-2</v>
      </c>
      <c r="J490" s="199">
        <v>4.6489351653618546E-2</v>
      </c>
      <c r="K490" s="199">
        <v>4.0735962163677718E-2</v>
      </c>
      <c r="L490" s="199">
        <v>4.4569012886581549E-2</v>
      </c>
      <c r="M490" s="199">
        <v>4.6956858459198871E-2</v>
      </c>
      <c r="N490" s="199">
        <v>4.0721693174270671E-2</v>
      </c>
    </row>
    <row r="491" spans="1:14">
      <c r="C491" s="29">
        <v>9</v>
      </c>
      <c r="D491" s="34" t="s">
        <v>935</v>
      </c>
      <c r="E491" s="199">
        <v>4.8927870683498631E-2</v>
      </c>
      <c r="F491" s="199">
        <v>3.8275258056652266E-2</v>
      </c>
      <c r="G491" s="199">
        <v>4.3803396868080755E-2</v>
      </c>
      <c r="H491" s="199">
        <v>4.2741530103133488E-2</v>
      </c>
      <c r="I491" s="199">
        <v>4.165948564628727E-2</v>
      </c>
      <c r="J491" s="199">
        <v>4.8143794315727378E-2</v>
      </c>
      <c r="K491" s="199">
        <v>4.2162531675278628E-2</v>
      </c>
      <c r="L491" s="199">
        <v>4.6386337639793787E-2</v>
      </c>
      <c r="M491" s="199">
        <v>4.6734005366956918E-2</v>
      </c>
      <c r="N491" s="199">
        <v>4.9312034698206428E-2</v>
      </c>
    </row>
    <row r="492" spans="1:14">
      <c r="C492" s="29">
        <v>10</v>
      </c>
      <c r="D492" s="34" t="s">
        <v>936</v>
      </c>
      <c r="E492" s="199">
        <v>5.0396836737431117E-2</v>
      </c>
      <c r="F492" s="199">
        <v>4.137767714524393E-2</v>
      </c>
      <c r="G492" s="199">
        <v>4.4314298012253291E-2</v>
      </c>
      <c r="H492" s="199">
        <v>4.2230462629750568E-2</v>
      </c>
      <c r="I492" s="199">
        <v>4.3749276733715751E-2</v>
      </c>
      <c r="J492" s="199">
        <v>4.9193363494392288E-2</v>
      </c>
      <c r="K492" s="199">
        <v>4.3419208278910701E-2</v>
      </c>
      <c r="L492" s="199">
        <v>4.6649167952146527E-2</v>
      </c>
      <c r="M492" s="199">
        <v>4.6588113097868561E-2</v>
      </c>
      <c r="N492" s="199">
        <v>5.3764026184402909E-2</v>
      </c>
    </row>
    <row r="493" spans="1:14">
      <c r="C493" s="29">
        <v>11</v>
      </c>
      <c r="D493" s="34" t="s">
        <v>937</v>
      </c>
      <c r="E493" s="199">
        <v>4.8663595051776733E-2</v>
      </c>
      <c r="F493" s="199">
        <v>4.2963760148037621E-2</v>
      </c>
      <c r="G493" s="199">
        <v>4.5305987889281737E-2</v>
      </c>
      <c r="H493" s="199">
        <v>4.3726643849169453E-2</v>
      </c>
      <c r="I493" s="199">
        <v>4.4918114188596002E-2</v>
      </c>
      <c r="J493" s="199">
        <v>4.9112629269921125E-2</v>
      </c>
      <c r="K493" s="199">
        <v>4.5790202946049206E-2</v>
      </c>
      <c r="L493" s="199">
        <v>4.8203756878019699E-2</v>
      </c>
      <c r="M493" s="199">
        <v>4.4513503821756298E-2</v>
      </c>
      <c r="N493" s="199">
        <v>6.5176775407880028E-2</v>
      </c>
    </row>
    <row r="494" spans="1:14">
      <c r="C494" s="29">
        <v>12</v>
      </c>
      <c r="D494" s="34" t="s">
        <v>938</v>
      </c>
      <c r="E494" s="199">
        <v>4.8169578228735355E-2</v>
      </c>
      <c r="F494" s="199">
        <v>4.3130448591423981E-2</v>
      </c>
      <c r="G494" s="199">
        <v>4.4113268791367538E-2</v>
      </c>
      <c r="H494" s="199">
        <v>4.4038321548542605E-2</v>
      </c>
      <c r="I494" s="199">
        <v>4.195851181512146E-2</v>
      </c>
      <c r="J494" s="199">
        <v>4.7684464662876444E-2</v>
      </c>
      <c r="K494" s="199">
        <v>4.4775934962505017E-2</v>
      </c>
      <c r="L494" s="199">
        <v>4.7845645178295454E-2</v>
      </c>
      <c r="M494" s="199">
        <v>4.5059652970316603E-2</v>
      </c>
      <c r="N494" s="199">
        <v>5.8616791891866221E-2</v>
      </c>
    </row>
    <row r="495" spans="1:14">
      <c r="C495" s="29">
        <v>13</v>
      </c>
      <c r="D495" s="34" t="s">
        <v>939</v>
      </c>
      <c r="E495" s="199">
        <v>4.557823785237658E-2</v>
      </c>
      <c r="F495" s="199">
        <v>4.2496656451168346E-2</v>
      </c>
      <c r="G495" s="199">
        <v>4.433013369449882E-2</v>
      </c>
      <c r="H495" s="199">
        <v>4.436783938559033E-2</v>
      </c>
      <c r="I495" s="199">
        <v>4.0330567428248393E-2</v>
      </c>
      <c r="J495" s="199">
        <v>4.6512127448417963E-2</v>
      </c>
      <c r="K495" s="199">
        <v>4.3381092219170275E-2</v>
      </c>
      <c r="L495" s="199">
        <v>4.8520889077522972E-2</v>
      </c>
      <c r="M495" s="199">
        <v>4.6513954981857397E-2</v>
      </c>
      <c r="N495" s="199">
        <v>5.7765192338745927E-2</v>
      </c>
    </row>
    <row r="496" spans="1:14">
      <c r="C496" s="29">
        <v>14</v>
      </c>
      <c r="D496" s="34" t="s">
        <v>940</v>
      </c>
      <c r="E496" s="199">
        <v>4.2828201353019693E-2</v>
      </c>
      <c r="F496" s="199">
        <v>4.1401451922088502E-2</v>
      </c>
      <c r="G496" s="199">
        <v>4.4531118734525386E-2</v>
      </c>
      <c r="H496" s="199">
        <v>4.4130553894298007E-2</v>
      </c>
      <c r="I496" s="199">
        <v>4.382442467143325E-2</v>
      </c>
      <c r="J496" s="199">
        <v>4.4957366492393347E-2</v>
      </c>
      <c r="K496" s="199">
        <v>4.189540803086339E-2</v>
      </c>
      <c r="L496" s="199">
        <v>4.8671282223590871E-2</v>
      </c>
      <c r="M496" s="199">
        <v>4.5696094738167305E-2</v>
      </c>
      <c r="N496" s="199">
        <v>5.5612811915233165E-2</v>
      </c>
    </row>
    <row r="497" spans="1:14">
      <c r="C497" s="29">
        <v>15</v>
      </c>
      <c r="D497" s="34" t="s">
        <v>941</v>
      </c>
      <c r="E497" s="199">
        <v>4.2021015163770208E-2</v>
      </c>
      <c r="F497" s="199">
        <v>3.9935176632332148E-2</v>
      </c>
      <c r="G497" s="199">
        <v>4.2993763688689728E-2</v>
      </c>
      <c r="H497" s="199">
        <v>4.2472237306013287E-2</v>
      </c>
      <c r="I497" s="199">
        <v>4.6078993268127706E-2</v>
      </c>
      <c r="J497" s="199">
        <v>4.2973776234201476E-2</v>
      </c>
      <c r="K497" s="199">
        <v>4.0629925555600611E-2</v>
      </c>
      <c r="L497" s="199">
        <v>4.5979498668726408E-2</v>
      </c>
      <c r="M497" s="199">
        <v>4.4550848000707785E-2</v>
      </c>
      <c r="N497" s="199">
        <v>4.996342980898013E-2</v>
      </c>
    </row>
    <row r="498" spans="1:14">
      <c r="C498" s="29">
        <v>16</v>
      </c>
      <c r="D498" s="34" t="s">
        <v>942</v>
      </c>
      <c r="E498" s="199">
        <v>4.1660920736571419E-2</v>
      </c>
      <c r="F498" s="199">
        <v>4.0978629378057643E-2</v>
      </c>
      <c r="G498" s="199">
        <v>4.3787214050512981E-2</v>
      </c>
      <c r="H498" s="199">
        <v>4.3053849114645271E-2</v>
      </c>
      <c r="I498" s="199">
        <v>4.8468462850238633E-2</v>
      </c>
      <c r="J498" s="199">
        <v>4.1784805993630415E-2</v>
      </c>
      <c r="K498" s="199">
        <v>3.9533548769013292E-2</v>
      </c>
      <c r="L498" s="199">
        <v>4.5305834019013329E-2</v>
      </c>
      <c r="M498" s="199">
        <v>4.1646864656969089E-2</v>
      </c>
      <c r="N498" s="199">
        <v>4.6124107756753074E-2</v>
      </c>
    </row>
    <row r="499" spans="1:14">
      <c r="C499" s="29">
        <v>17</v>
      </c>
      <c r="D499" s="34" t="s">
        <v>943</v>
      </c>
      <c r="E499" s="199">
        <v>4.287683710611908E-2</v>
      </c>
      <c r="F499" s="199">
        <v>4.0116730620900508E-2</v>
      </c>
      <c r="G499" s="199">
        <v>4.2754555893908718E-2</v>
      </c>
      <c r="H499" s="199">
        <v>4.0534250324183285E-2</v>
      </c>
      <c r="I499" s="199">
        <v>4.6403068749534399E-2</v>
      </c>
      <c r="J499" s="199">
        <v>4.2814360226929402E-2</v>
      </c>
      <c r="K499" s="199">
        <v>3.8016632112926788E-2</v>
      </c>
      <c r="L499" s="199">
        <v>4.6478676493881967E-2</v>
      </c>
      <c r="M499" s="199">
        <v>3.8213624156366206E-2</v>
      </c>
      <c r="N499" s="199">
        <v>2.8922783192471734E-2</v>
      </c>
    </row>
    <row r="500" spans="1:14">
      <c r="C500" s="29">
        <v>18</v>
      </c>
      <c r="D500" s="34" t="s">
        <v>944</v>
      </c>
      <c r="E500" s="199">
        <v>4.5143842281100473E-2</v>
      </c>
      <c r="F500" s="199">
        <v>4.0280705913001535E-2</v>
      </c>
      <c r="G500" s="199">
        <v>4.2929638327344741E-2</v>
      </c>
      <c r="H500" s="199">
        <v>4.0074371219683581E-2</v>
      </c>
      <c r="I500" s="199">
        <v>4.0064418482165604E-2</v>
      </c>
      <c r="J500" s="199">
        <v>4.6308086604168838E-2</v>
      </c>
      <c r="K500" s="199">
        <v>3.5852877501629597E-2</v>
      </c>
      <c r="L500" s="199">
        <v>4.4965849944057446E-2</v>
      </c>
      <c r="M500" s="199">
        <v>3.7649522532326188E-2</v>
      </c>
      <c r="N500" s="199">
        <v>2.899329315118139E-2</v>
      </c>
    </row>
    <row r="501" spans="1:14">
      <c r="C501" s="29">
        <v>19</v>
      </c>
      <c r="D501" s="34" t="s">
        <v>945</v>
      </c>
      <c r="E501" s="199">
        <v>4.5653936604355301E-2</v>
      </c>
      <c r="F501" s="199">
        <v>4.1970910828610791E-2</v>
      </c>
      <c r="G501" s="199">
        <v>4.298554604887958E-2</v>
      </c>
      <c r="H501" s="199">
        <v>4.0250440552288685E-2</v>
      </c>
      <c r="I501" s="199">
        <v>4.0388493963572289E-2</v>
      </c>
      <c r="J501" s="199">
        <v>4.9545073392524168E-2</v>
      </c>
      <c r="K501" s="199">
        <v>3.6950609037698562E-2</v>
      </c>
      <c r="L501" s="199">
        <v>4.2920532852823948E-2</v>
      </c>
      <c r="M501" s="199">
        <v>3.7072013363307656E-2</v>
      </c>
      <c r="N501" s="199">
        <v>3.7540342291142566E-2</v>
      </c>
    </row>
    <row r="502" spans="1:14">
      <c r="C502" s="29">
        <v>20</v>
      </c>
      <c r="D502" s="34" t="s">
        <v>946</v>
      </c>
      <c r="E502" s="199">
        <v>4.7009896792166751E-2</v>
      </c>
      <c r="F502" s="199">
        <v>4.5423780728110368E-2</v>
      </c>
      <c r="G502" s="199">
        <v>4.2841169312583645E-2</v>
      </c>
      <c r="H502" s="199">
        <v>4.0508656139741687E-2</v>
      </c>
      <c r="I502" s="199">
        <v>4.1323668299612218E-2</v>
      </c>
      <c r="J502" s="199">
        <v>4.8590217361384788E-2</v>
      </c>
      <c r="K502" s="199">
        <v>4.0182675152402446E-2</v>
      </c>
      <c r="L502" s="199">
        <v>4.3668449225434128E-2</v>
      </c>
      <c r="M502" s="199">
        <v>3.7089132601528824E-2</v>
      </c>
      <c r="N502" s="199">
        <v>5.2290806451259365E-2</v>
      </c>
    </row>
    <row r="503" spans="1:14">
      <c r="C503" s="29">
        <v>21</v>
      </c>
      <c r="D503" s="34" t="s">
        <v>947</v>
      </c>
      <c r="E503" s="199">
        <v>4.5369688704881075E-2</v>
      </c>
      <c r="F503" s="199">
        <v>4.3343487754210618E-2</v>
      </c>
      <c r="G503" s="199">
        <v>4.2418655133005134E-2</v>
      </c>
      <c r="H503" s="199">
        <v>4.0411876307912382E-2</v>
      </c>
      <c r="I503" s="199">
        <v>4.0574145899982005E-2</v>
      </c>
      <c r="J503" s="199">
        <v>4.726646041358467E-2</v>
      </c>
      <c r="K503" s="199">
        <v>4.0804706546158642E-2</v>
      </c>
      <c r="L503" s="199">
        <v>4.0807402517483E-2</v>
      </c>
      <c r="M503" s="199">
        <v>3.5969110228350934E-2</v>
      </c>
      <c r="N503" s="199">
        <v>5.2519324478061916E-2</v>
      </c>
    </row>
    <row r="504" spans="1:14">
      <c r="C504" s="29">
        <v>22</v>
      </c>
      <c r="D504" s="34" t="s">
        <v>948</v>
      </c>
      <c r="E504" s="199">
        <v>4.4396359997846968E-2</v>
      </c>
      <c r="F504" s="199">
        <v>4.273017675133222E-2</v>
      </c>
      <c r="G504" s="199">
        <v>4.100538518599256E-2</v>
      </c>
      <c r="H504" s="199">
        <v>3.8828243433226058E-2</v>
      </c>
      <c r="I504" s="199">
        <v>4.0338264873257645E-2</v>
      </c>
      <c r="J504" s="199">
        <v>4.3280084958081506E-2</v>
      </c>
      <c r="K504" s="199">
        <v>4.0400057521930689E-2</v>
      </c>
      <c r="L504" s="199">
        <v>3.6952103508386479E-2</v>
      </c>
      <c r="M504" s="199">
        <v>3.6281271204941359E-2</v>
      </c>
      <c r="N504" s="199">
        <v>3.3279421832952051E-2</v>
      </c>
    </row>
    <row r="505" spans="1:14">
      <c r="C505" s="29">
        <v>23</v>
      </c>
      <c r="D505" s="34" t="s">
        <v>949</v>
      </c>
      <c r="E505" s="199">
        <v>4.0339883213579453E-2</v>
      </c>
      <c r="F505" s="199">
        <v>4.2779063951701578E-2</v>
      </c>
      <c r="G505" s="199">
        <v>4.0174576751944802E-2</v>
      </c>
      <c r="H505" s="199">
        <v>3.9221484376411979E-2</v>
      </c>
      <c r="I505" s="199">
        <v>3.964536435725486E-2</v>
      </c>
      <c r="J505" s="199">
        <v>3.7066451234366804E-2</v>
      </c>
      <c r="K505" s="199">
        <v>4.197535655770606E-2</v>
      </c>
      <c r="L505" s="199">
        <v>3.433581347945612E-2</v>
      </c>
      <c r="M505" s="199">
        <v>3.7409019959971278E-2</v>
      </c>
      <c r="N505" s="199">
        <v>2.9157877277599539E-2</v>
      </c>
    </row>
    <row r="506" spans="1:14">
      <c r="C506" s="29">
        <v>24</v>
      </c>
      <c r="D506" s="34" t="s">
        <v>950</v>
      </c>
      <c r="E506" s="199">
        <v>3.6033252147676255E-2</v>
      </c>
      <c r="F506" s="199">
        <v>4.1130755139661294E-2</v>
      </c>
      <c r="G506" s="199">
        <v>3.6987924986177555E-2</v>
      </c>
      <c r="H506" s="199">
        <v>3.7829720433382417E-2</v>
      </c>
      <c r="I506" s="199">
        <v>3.5389068662644595E-2</v>
      </c>
      <c r="J506" s="199">
        <v>3.399917662639057E-2</v>
      </c>
      <c r="K506" s="199">
        <v>4.0787936944466897E-2</v>
      </c>
      <c r="L506" s="199">
        <v>3.2320313158969702E-2</v>
      </c>
      <c r="M506" s="199">
        <v>3.6804013961420502E-2</v>
      </c>
      <c r="N506" s="199">
        <v>3.2898923791521414E-2</v>
      </c>
    </row>
    <row r="507" spans="1:14">
      <c r="A507" s="16" t="s">
        <v>434</v>
      </c>
      <c r="B507" s="16" t="s">
        <v>423</v>
      </c>
      <c r="C507" s="29">
        <v>1</v>
      </c>
      <c r="D507" s="34" t="s">
        <v>951</v>
      </c>
      <c r="E507" s="199">
        <v>3.3000468063582915E-2</v>
      </c>
      <c r="F507" s="199">
        <v>4.3709182766444164E-2</v>
      </c>
      <c r="G507" s="199">
        <v>3.8514056422615385E-2</v>
      </c>
      <c r="H507" s="199">
        <v>4.2274103546709983E-2</v>
      </c>
      <c r="I507" s="199">
        <v>4.1918603970002896E-2</v>
      </c>
      <c r="J507" s="199">
        <v>2.9919995279169803E-2</v>
      </c>
      <c r="K507" s="199">
        <v>4.5392876780800805E-2</v>
      </c>
      <c r="L507" s="199">
        <v>3.5879403653018491E-2</v>
      </c>
      <c r="M507" s="199">
        <v>4.2663573500205568E-2</v>
      </c>
      <c r="N507" s="199">
        <v>4.3333785365216634E-2</v>
      </c>
    </row>
    <row r="508" spans="1:14">
      <c r="C508" s="29">
        <v>2</v>
      </c>
      <c r="D508" s="34" t="s">
        <v>952</v>
      </c>
      <c r="E508" s="199">
        <v>3.065687280756553E-2</v>
      </c>
      <c r="F508" s="199">
        <v>4.4754855777476517E-2</v>
      </c>
      <c r="G508" s="199">
        <v>3.8431546611133842E-2</v>
      </c>
      <c r="H508" s="199">
        <v>4.1296523672068805E-2</v>
      </c>
      <c r="I508" s="199">
        <v>3.7501957096191141E-2</v>
      </c>
      <c r="J508" s="199">
        <v>2.9280273082225583E-2</v>
      </c>
      <c r="K508" s="199">
        <v>4.4386569422567745E-2</v>
      </c>
      <c r="L508" s="199">
        <v>3.6431434694336642E-2</v>
      </c>
      <c r="M508" s="199">
        <v>4.368768140681617E-2</v>
      </c>
      <c r="N508" s="199">
        <v>3.3306964806806588E-2</v>
      </c>
    </row>
    <row r="509" spans="1:14">
      <c r="C509" s="29">
        <v>3</v>
      </c>
      <c r="D509" s="34" t="s">
        <v>953</v>
      </c>
      <c r="E509" s="199">
        <v>2.9594304347177289E-2</v>
      </c>
      <c r="F509" s="199">
        <v>4.4178979873613904E-2</v>
      </c>
      <c r="G509" s="199">
        <v>3.7821148474734501E-2</v>
      </c>
      <c r="H509" s="199">
        <v>4.0717688592302646E-2</v>
      </c>
      <c r="I509" s="199">
        <v>3.7971527046270534E-2</v>
      </c>
      <c r="J509" s="199">
        <v>2.943501638231534E-2</v>
      </c>
      <c r="K509" s="199">
        <v>4.3563517579058499E-2</v>
      </c>
      <c r="L509" s="199">
        <v>3.5781687727056477E-2</v>
      </c>
      <c r="M509" s="199">
        <v>4.2639028673466507E-2</v>
      </c>
      <c r="N509" s="199">
        <v>2.7927283137703974E-2</v>
      </c>
    </row>
    <row r="510" spans="1:14">
      <c r="C510" s="29">
        <v>4</v>
      </c>
      <c r="D510" s="34" t="s">
        <v>954</v>
      </c>
      <c r="E510" s="199">
        <v>3.0506390915264577E-2</v>
      </c>
      <c r="F510" s="199">
        <v>4.5439766900752687E-2</v>
      </c>
      <c r="G510" s="199">
        <v>3.869590967088752E-2</v>
      </c>
      <c r="H510" s="199">
        <v>4.0965800594706829E-2</v>
      </c>
      <c r="I510" s="199">
        <v>3.9310340603967861E-2</v>
      </c>
      <c r="J510" s="199">
        <v>2.810833045337453E-2</v>
      </c>
      <c r="K510" s="199">
        <v>4.3848052606541232E-2</v>
      </c>
      <c r="L510" s="199">
        <v>3.5873348124119381E-2</v>
      </c>
      <c r="M510" s="199">
        <v>4.3665024643672418E-2</v>
      </c>
      <c r="N510" s="199">
        <v>1.8937624622678936E-2</v>
      </c>
    </row>
    <row r="511" spans="1:14">
      <c r="C511" s="29">
        <v>5</v>
      </c>
      <c r="D511" s="34" t="s">
        <v>955</v>
      </c>
      <c r="E511" s="199">
        <v>3.093297260295437E-2</v>
      </c>
      <c r="F511" s="199">
        <v>4.4693045005760122E-2</v>
      </c>
      <c r="G511" s="199">
        <v>3.8832409729576314E-2</v>
      </c>
      <c r="H511" s="199">
        <v>4.1222275923034735E-2</v>
      </c>
      <c r="I511" s="199">
        <v>3.9034882643459133E-2</v>
      </c>
      <c r="J511" s="199">
        <v>3.083235148869571E-2</v>
      </c>
      <c r="K511" s="199">
        <v>4.5335349761878085E-2</v>
      </c>
      <c r="L511" s="199">
        <v>3.714136083080051E-2</v>
      </c>
      <c r="M511" s="199">
        <v>4.3217331446454406E-2</v>
      </c>
      <c r="N511" s="199">
        <v>1.8902215458485888E-2</v>
      </c>
    </row>
    <row r="512" spans="1:14">
      <c r="C512" s="29">
        <v>6</v>
      </c>
      <c r="D512" s="34" t="s">
        <v>956</v>
      </c>
      <c r="E512" s="199">
        <v>3.330637219710187E-2</v>
      </c>
      <c r="F512" s="199">
        <v>4.6116591914203434E-2</v>
      </c>
      <c r="G512" s="199">
        <v>4.1767402828999135E-2</v>
      </c>
      <c r="H512" s="199">
        <v>4.259729963074059E-2</v>
      </c>
      <c r="I512" s="199">
        <v>4.2044949839757741E-2</v>
      </c>
      <c r="J512" s="199">
        <v>3.4923024834959501E-2</v>
      </c>
      <c r="K512" s="199">
        <v>4.6381734276627291E-2</v>
      </c>
      <c r="L512" s="199">
        <v>3.9046614521165812E-2</v>
      </c>
      <c r="M512" s="199">
        <v>4.4564076102734641E-2</v>
      </c>
      <c r="N512" s="199">
        <v>3.0489048271982552E-2</v>
      </c>
    </row>
    <row r="513" spans="3:14">
      <c r="C513" s="29">
        <v>7</v>
      </c>
      <c r="D513" s="34" t="s">
        <v>957</v>
      </c>
      <c r="E513" s="199">
        <v>3.7987506928403324E-2</v>
      </c>
      <c r="F513" s="199">
        <v>3.9501605866169194E-2</v>
      </c>
      <c r="G513" s="199">
        <v>4.0553809862258795E-2</v>
      </c>
      <c r="H513" s="199">
        <v>3.919714301352379E-2</v>
      </c>
      <c r="I513" s="199">
        <v>4.2121636057859742E-2</v>
      </c>
      <c r="J513" s="199">
        <v>3.8985941341083935E-2</v>
      </c>
      <c r="K513" s="199">
        <v>4.2962647866410741E-2</v>
      </c>
      <c r="L513" s="199">
        <v>3.9428018811857833E-2</v>
      </c>
      <c r="M513" s="199">
        <v>4.260637627952403E-2</v>
      </c>
      <c r="N513" s="199">
        <v>4.7861386934269529E-2</v>
      </c>
    </row>
    <row r="514" spans="3:14">
      <c r="C514" s="29">
        <v>8</v>
      </c>
      <c r="D514" s="34" t="s">
        <v>958</v>
      </c>
      <c r="E514" s="199">
        <v>4.5112439197862397E-2</v>
      </c>
      <c r="F514" s="199">
        <v>3.6905122716995545E-2</v>
      </c>
      <c r="G514" s="199">
        <v>4.3085841038236518E-2</v>
      </c>
      <c r="H514" s="199">
        <v>3.8744222451831664E-2</v>
      </c>
      <c r="I514" s="199">
        <v>4.6092810560544296E-2</v>
      </c>
      <c r="J514" s="199">
        <v>4.4363254763895923E-2</v>
      </c>
      <c r="K514" s="199">
        <v>3.973768318560341E-2</v>
      </c>
      <c r="L514" s="199">
        <v>3.9153112844630585E-2</v>
      </c>
      <c r="M514" s="199">
        <v>4.1858369908086834E-2</v>
      </c>
      <c r="N514" s="199">
        <v>3.5811723698022602E-2</v>
      </c>
    </row>
    <row r="515" spans="3:14">
      <c r="C515" s="29">
        <v>9</v>
      </c>
      <c r="D515" s="34" t="s">
        <v>959</v>
      </c>
      <c r="E515" s="199">
        <v>4.866850478202453E-2</v>
      </c>
      <c r="F515" s="199">
        <v>3.8646005383430396E-2</v>
      </c>
      <c r="G515" s="199">
        <v>4.4961904961790963E-2</v>
      </c>
      <c r="H515" s="199">
        <v>4.0203622825523658E-2</v>
      </c>
      <c r="I515" s="199">
        <v>5.1697827543346342E-2</v>
      </c>
      <c r="J515" s="199">
        <v>4.8464187015156562E-2</v>
      </c>
      <c r="K515" s="199">
        <v>3.9526111593787647E-2</v>
      </c>
      <c r="L515" s="199">
        <v>4.3138609965753159E-2</v>
      </c>
      <c r="M515" s="199">
        <v>4.2221655556337924E-2</v>
      </c>
      <c r="N515" s="199">
        <v>4.2568093580644978E-2</v>
      </c>
    </row>
    <row r="516" spans="3:14">
      <c r="C516" s="29">
        <v>10</v>
      </c>
      <c r="D516" s="34" t="s">
        <v>960</v>
      </c>
      <c r="E516" s="199">
        <v>4.9044044309802866E-2</v>
      </c>
      <c r="F516" s="199">
        <v>3.9153452827632329E-2</v>
      </c>
      <c r="G516" s="199">
        <v>4.5389162928332207E-2</v>
      </c>
      <c r="H516" s="199">
        <v>4.0675779036840373E-2</v>
      </c>
      <c r="I516" s="199">
        <v>5.2754659486564465E-2</v>
      </c>
      <c r="J516" s="199">
        <v>5.08913138949528E-2</v>
      </c>
      <c r="K516" s="199">
        <v>4.427720416770467E-2</v>
      </c>
      <c r="L516" s="199">
        <v>4.3548317271951881E-2</v>
      </c>
      <c r="M516" s="199">
        <v>4.1758635725228539E-2</v>
      </c>
      <c r="N516" s="199">
        <v>6.3840211751824444E-2</v>
      </c>
    </row>
    <row r="517" spans="3:14">
      <c r="C517" s="29">
        <v>11</v>
      </c>
      <c r="D517" s="34" t="s">
        <v>961</v>
      </c>
      <c r="E517" s="199">
        <v>5.011842417909624E-2</v>
      </c>
      <c r="F517" s="199">
        <v>3.8904623845135128E-2</v>
      </c>
      <c r="G517" s="199">
        <v>4.6546640931689781E-2</v>
      </c>
      <c r="H517" s="199">
        <v>4.0695386389839355E-2</v>
      </c>
      <c r="I517" s="199">
        <v>5.2963549549415199E-2</v>
      </c>
      <c r="J517" s="199">
        <v>4.6158606485830006E-2</v>
      </c>
      <c r="K517" s="199">
        <v>4.5852325905263544E-2</v>
      </c>
      <c r="L517" s="199">
        <v>4.5625758610144028E-2</v>
      </c>
      <c r="M517" s="199">
        <v>4.1087928898634739E-2</v>
      </c>
      <c r="N517" s="199">
        <v>6.4417305789523885E-2</v>
      </c>
    </row>
    <row r="518" spans="3:14">
      <c r="C518" s="29">
        <v>12</v>
      </c>
      <c r="D518" s="34" t="s">
        <v>962</v>
      </c>
      <c r="E518" s="199">
        <v>4.7256729096952776E-2</v>
      </c>
      <c r="F518" s="199">
        <v>3.9105269010972825E-2</v>
      </c>
      <c r="G518" s="199">
        <v>4.5615281096927057E-2</v>
      </c>
      <c r="H518" s="199">
        <v>4.0376464894614203E-2</v>
      </c>
      <c r="I518" s="199">
        <v>4.7091062753823382E-2</v>
      </c>
      <c r="J518" s="199">
        <v>4.7172251320747323E-2</v>
      </c>
      <c r="K518" s="199">
        <v>4.5649447285196099E-2</v>
      </c>
      <c r="L518" s="199">
        <v>4.5263780907504117E-2</v>
      </c>
      <c r="M518" s="199">
        <v>4.1141238929561223E-2</v>
      </c>
      <c r="N518" s="199">
        <v>6.9501157703878921E-2</v>
      </c>
    </row>
    <row r="519" spans="3:14">
      <c r="C519" s="29">
        <v>13</v>
      </c>
      <c r="D519" s="34" t="s">
        <v>963</v>
      </c>
      <c r="E519" s="199">
        <v>4.7552764700984719E-2</v>
      </c>
      <c r="F519" s="199">
        <v>3.765237324386532E-2</v>
      </c>
      <c r="G519" s="199">
        <v>4.4186642669465773E-2</v>
      </c>
      <c r="H519" s="199">
        <v>3.9676733292328265E-2</v>
      </c>
      <c r="I519" s="199">
        <v>3.9964969309536455E-2</v>
      </c>
      <c r="J519" s="199">
        <v>4.6641360211741485E-2</v>
      </c>
      <c r="K519" s="199">
        <v>4.1505584355463282E-2</v>
      </c>
      <c r="L519" s="199">
        <v>4.4752013491567939E-2</v>
      </c>
      <c r="M519" s="199">
        <v>3.960757597734501E-2</v>
      </c>
      <c r="N519" s="199">
        <v>6.2876379325066151E-2</v>
      </c>
    </row>
    <row r="520" spans="3:14">
      <c r="C520" s="29">
        <v>14</v>
      </c>
      <c r="D520" s="34" t="s">
        <v>964</v>
      </c>
      <c r="E520" s="199">
        <v>4.5235984425829906E-2</v>
      </c>
      <c r="F520" s="199">
        <v>3.8344156581545184E-2</v>
      </c>
      <c r="G520" s="199">
        <v>4.3112270434565787E-2</v>
      </c>
      <c r="H520" s="199">
        <v>4.0560922694154386E-2</v>
      </c>
      <c r="I520" s="199">
        <v>3.7716971405626416E-2</v>
      </c>
      <c r="J520" s="199">
        <v>4.5000462806657822E-2</v>
      </c>
      <c r="K520" s="199">
        <v>3.8319546290793642E-2</v>
      </c>
      <c r="L520" s="199">
        <v>4.6259915411407553E-2</v>
      </c>
      <c r="M520" s="199">
        <v>4.1854260593202922E-2</v>
      </c>
      <c r="N520" s="199">
        <v>6.0906273700282752E-2</v>
      </c>
    </row>
    <row r="521" spans="3:14">
      <c r="C521" s="29">
        <v>15</v>
      </c>
      <c r="D521" s="34" t="s">
        <v>965</v>
      </c>
      <c r="E521" s="199">
        <v>4.4042135724842946E-2</v>
      </c>
      <c r="F521" s="199">
        <v>3.7271327555191122E-2</v>
      </c>
      <c r="G521" s="199">
        <v>4.1429711150018186E-2</v>
      </c>
      <c r="H521" s="199">
        <v>3.9773562021356415E-2</v>
      </c>
      <c r="I521" s="199">
        <v>3.7841320238451527E-2</v>
      </c>
      <c r="J521" s="199">
        <v>4.2650321061823836E-2</v>
      </c>
      <c r="K521" s="199">
        <v>3.5865635420280415E-2</v>
      </c>
      <c r="L521" s="199">
        <v>4.5539758816182455E-2</v>
      </c>
      <c r="M521" s="199">
        <v>4.0296052814247633E-2</v>
      </c>
      <c r="N521" s="199">
        <v>5.9070019738725554E-2</v>
      </c>
    </row>
    <row r="522" spans="3:14">
      <c r="C522" s="29">
        <v>16</v>
      </c>
      <c r="D522" s="34" t="s">
        <v>966</v>
      </c>
      <c r="E522" s="199">
        <v>4.2427858463676173E-2</v>
      </c>
      <c r="F522" s="199">
        <v>3.8231929991909969E-2</v>
      </c>
      <c r="G522" s="199">
        <v>4.1704430041862965E-2</v>
      </c>
      <c r="H522" s="199">
        <v>4.0728653841847103E-2</v>
      </c>
      <c r="I522" s="199">
        <v>3.9329245886902731E-2</v>
      </c>
      <c r="J522" s="199">
        <v>4.2106830283582433E-2</v>
      </c>
      <c r="K522" s="199">
        <v>3.5268504963862642E-2</v>
      </c>
      <c r="L522" s="199">
        <v>4.5491088913105146E-2</v>
      </c>
      <c r="M522" s="199">
        <v>4.1161341253723088E-2</v>
      </c>
      <c r="N522" s="199">
        <v>6.3083811733743167E-2</v>
      </c>
    </row>
    <row r="523" spans="3:14">
      <c r="C523" s="29">
        <v>17</v>
      </c>
      <c r="D523" s="34" t="s">
        <v>967</v>
      </c>
      <c r="E523" s="199">
        <v>4.2821666736546783E-2</v>
      </c>
      <c r="F523" s="199">
        <v>3.7206364571169895E-2</v>
      </c>
      <c r="G523" s="199">
        <v>4.1307203124680163E-2</v>
      </c>
      <c r="H523" s="199">
        <v>4.0360202871984725E-2</v>
      </c>
      <c r="I523" s="199">
        <v>4.0346270227321374E-2</v>
      </c>
      <c r="J523" s="199">
        <v>4.331914387097037E-2</v>
      </c>
      <c r="K523" s="199">
        <v>3.3823522126888939E-2</v>
      </c>
      <c r="L523" s="199">
        <v>4.7029550567295859E-2</v>
      </c>
      <c r="M523" s="199">
        <v>4.042288626282689E-2</v>
      </c>
      <c r="N523" s="199">
        <v>4.9204423885364695E-2</v>
      </c>
    </row>
    <row r="524" spans="3:14">
      <c r="C524" s="29">
        <v>18</v>
      </c>
      <c r="D524" s="34" t="s">
        <v>968</v>
      </c>
      <c r="E524" s="199">
        <v>4.3637976244717568E-2</v>
      </c>
      <c r="F524" s="199">
        <v>3.5083848847308398E-2</v>
      </c>
      <c r="G524" s="199">
        <v>4.0043212926704125E-2</v>
      </c>
      <c r="H524" s="199">
        <v>3.9092043884415499E-2</v>
      </c>
      <c r="I524" s="199">
        <v>3.8741584486378065E-2</v>
      </c>
      <c r="J524" s="199">
        <v>4.9310900681864618E-2</v>
      </c>
      <c r="K524" s="199">
        <v>3.1471402120413959E-2</v>
      </c>
      <c r="L524" s="199">
        <v>4.5384477753698166E-2</v>
      </c>
      <c r="M524" s="199">
        <v>3.9048820215696819E-2</v>
      </c>
      <c r="N524" s="199">
        <v>2.9457411062726948E-2</v>
      </c>
    </row>
    <row r="525" spans="3:14">
      <c r="C525" s="29">
        <v>19</v>
      </c>
      <c r="D525" s="34" t="s">
        <v>969</v>
      </c>
      <c r="E525" s="199">
        <v>4.4579019422754627E-2</v>
      </c>
      <c r="F525" s="199">
        <v>3.9481028380874951E-2</v>
      </c>
      <c r="G525" s="199">
        <v>4.2676910907973278E-2</v>
      </c>
      <c r="H525" s="199">
        <v>4.1131766151371194E-2</v>
      </c>
      <c r="I525" s="199">
        <v>4.2576827342045022E-2</v>
      </c>
      <c r="J525" s="199">
        <v>4.8726027503748617E-2</v>
      </c>
      <c r="K525" s="199">
        <v>3.2126794663218453E-2</v>
      </c>
      <c r="L525" s="199">
        <v>4.4690085365279839E-2</v>
      </c>
      <c r="M525" s="199">
        <v>4.0373019171397746E-2</v>
      </c>
      <c r="N525" s="199">
        <v>2.3533784360701342E-2</v>
      </c>
    </row>
    <row r="526" spans="3:14">
      <c r="C526" s="29">
        <v>20</v>
      </c>
      <c r="D526" s="34" t="s">
        <v>970</v>
      </c>
      <c r="E526" s="199">
        <v>4.9585856188284511E-2</v>
      </c>
      <c r="F526" s="199">
        <v>4.4129131845489118E-2</v>
      </c>
      <c r="G526" s="199">
        <v>4.1518957866446396E-2</v>
      </c>
      <c r="H526" s="199">
        <v>4.1471224258031292E-2</v>
      </c>
      <c r="I526" s="199">
        <v>4.0557689870283117E-2</v>
      </c>
      <c r="J526" s="199">
        <v>4.8091868234161846E-2</v>
      </c>
      <c r="K526" s="199">
        <v>3.8870687091528196E-2</v>
      </c>
      <c r="L526" s="199">
        <v>4.4262418338277862E-2</v>
      </c>
      <c r="M526" s="199">
        <v>4.0659782712756436E-2</v>
      </c>
      <c r="N526" s="199">
        <v>2.5098819192269244E-2</v>
      </c>
    </row>
    <row r="527" spans="3:14">
      <c r="C527" s="29">
        <v>21</v>
      </c>
      <c r="D527" s="34" t="s">
        <v>971</v>
      </c>
      <c r="E527" s="199">
        <v>5.1651814381064476E-2</v>
      </c>
      <c r="F527" s="199">
        <v>4.9732649322842139E-2</v>
      </c>
      <c r="G527" s="199">
        <v>4.2144030363748822E-2</v>
      </c>
      <c r="H527" s="199">
        <v>4.4320516474404659E-2</v>
      </c>
      <c r="I527" s="199">
        <v>3.6213069461737295E-2</v>
      </c>
      <c r="J527" s="199">
        <v>5.2169139982700889E-2</v>
      </c>
      <c r="K527" s="199">
        <v>4.5324291790462941E-2</v>
      </c>
      <c r="L527" s="199">
        <v>4.3120781886882495E-2</v>
      </c>
      <c r="M527" s="199">
        <v>4.0298496190665098E-2</v>
      </c>
      <c r="N527" s="199">
        <v>2.5124685461147853E-2</v>
      </c>
    </row>
    <row r="528" spans="3:14">
      <c r="C528" s="29">
        <v>22</v>
      </c>
      <c r="D528" s="34" t="s">
        <v>972</v>
      </c>
      <c r="E528" s="199">
        <v>4.8069177182981503E-2</v>
      </c>
      <c r="F528" s="199">
        <v>4.918261764408742E-2</v>
      </c>
      <c r="G528" s="199">
        <v>4.1522835905319543E-2</v>
      </c>
      <c r="H528" s="199">
        <v>4.8448375372830123E-2</v>
      </c>
      <c r="I528" s="199">
        <v>3.6619399909041624E-2</v>
      </c>
      <c r="J528" s="199">
        <v>4.8247702445980145E-2</v>
      </c>
      <c r="K528" s="199">
        <v>4.8495756343672154E-2</v>
      </c>
      <c r="L528" s="199">
        <v>4.1536132720343295E-2</v>
      </c>
      <c r="M528" s="199">
        <v>4.2231317999443352E-2</v>
      </c>
      <c r="N528" s="199">
        <v>2.9739679860975077E-2</v>
      </c>
    </row>
    <row r="529" spans="1:14">
      <c r="C529" s="29">
        <v>23</v>
      </c>
      <c r="D529" s="34" t="s">
        <v>973</v>
      </c>
      <c r="E529" s="199">
        <v>4.0394195064063325E-2</v>
      </c>
      <c r="F529" s="199">
        <v>4.7155568921457822E-2</v>
      </c>
      <c r="G529" s="199">
        <v>4.1098074048431611E-2</v>
      </c>
      <c r="H529" s="199">
        <v>4.8438246455878034E-2</v>
      </c>
      <c r="I529" s="199">
        <v>4.0212735024619466E-2</v>
      </c>
      <c r="J529" s="199">
        <v>4.0898490215735515E-2</v>
      </c>
      <c r="K529" s="199">
        <v>4.6368630900094902E-2</v>
      </c>
      <c r="L529" s="199">
        <v>3.8526027095746151E-2</v>
      </c>
      <c r="M529" s="199">
        <v>4.1545950914344765E-2</v>
      </c>
      <c r="N529" s="199">
        <v>3.6433518666405477E-2</v>
      </c>
    </row>
    <row r="530" spans="1:14">
      <c r="C530" s="29">
        <v>24</v>
      </c>
      <c r="D530" s="34" t="s">
        <v>974</v>
      </c>
      <c r="E530" s="199">
        <v>3.3816522036464881E-2</v>
      </c>
      <c r="F530" s="199">
        <v>4.5420501205672252E-2</v>
      </c>
      <c r="G530" s="199">
        <v>3.9040606003601479E-2</v>
      </c>
      <c r="H530" s="199">
        <v>4.7031442109661988E-2</v>
      </c>
      <c r="I530" s="199">
        <v>3.9376109686853948E-2</v>
      </c>
      <c r="J530" s="199">
        <v>3.4303206358625361E-2</v>
      </c>
      <c r="K530" s="199">
        <v>4.5646123501880569E-2</v>
      </c>
      <c r="L530" s="199">
        <v>3.709630167787422E-2</v>
      </c>
      <c r="M530" s="199">
        <v>4.1389574823627082E-2</v>
      </c>
      <c r="N530" s="199">
        <v>3.8574391891552512E-2</v>
      </c>
    </row>
    <row r="531" spans="1:14">
      <c r="A531" s="16" t="s">
        <v>434</v>
      </c>
      <c r="B531" s="16" t="s">
        <v>308</v>
      </c>
      <c r="C531" s="29">
        <v>1</v>
      </c>
      <c r="D531" s="34" t="s">
        <v>975</v>
      </c>
      <c r="E531" s="199">
        <v>3.2930846562691178E-2</v>
      </c>
      <c r="F531" s="199">
        <v>3.4249172732692026E-2</v>
      </c>
      <c r="G531" s="199">
        <v>3.0137380269543042E-2</v>
      </c>
      <c r="H531" s="199">
        <v>2.9115478723203529E-2</v>
      </c>
      <c r="I531" s="199">
        <v>2.8965291947977832E-2</v>
      </c>
      <c r="J531" s="199">
        <v>3.372949495193539E-2</v>
      </c>
      <c r="K531" s="199">
        <v>3.6494730688028311E-2</v>
      </c>
      <c r="L531" s="199">
        <v>2.5224819983603611E-2</v>
      </c>
      <c r="M531" s="199">
        <v>3.1215212744484279E-2</v>
      </c>
      <c r="N531" s="199">
        <v>3.3728013831026166E-2</v>
      </c>
    </row>
    <row r="532" spans="1:14">
      <c r="C532" s="29">
        <v>2</v>
      </c>
      <c r="D532" s="34" t="s">
        <v>976</v>
      </c>
      <c r="E532" s="199">
        <v>3.1965086278296063E-2</v>
      </c>
      <c r="F532" s="199">
        <v>3.4313740990618673E-2</v>
      </c>
      <c r="G532" s="199">
        <v>3.0720462938673206E-2</v>
      </c>
      <c r="H532" s="199">
        <v>2.9146539104294083E-2</v>
      </c>
      <c r="I532" s="199">
        <v>2.6458390164981638E-2</v>
      </c>
      <c r="J532" s="199">
        <v>3.1812153819531612E-2</v>
      </c>
      <c r="K532" s="199">
        <v>3.434657755312049E-2</v>
      </c>
      <c r="L532" s="199">
        <v>2.5561537862660431E-2</v>
      </c>
      <c r="M532" s="199">
        <v>3.202729766048705E-2</v>
      </c>
      <c r="N532" s="199">
        <v>2.6512828516886581E-2</v>
      </c>
    </row>
    <row r="533" spans="1:14">
      <c r="C533" s="29">
        <v>3</v>
      </c>
      <c r="D533" s="34" t="s">
        <v>977</v>
      </c>
      <c r="E533" s="199">
        <v>3.1860981422438088E-2</v>
      </c>
      <c r="F533" s="199">
        <v>3.4949628815039657E-2</v>
      </c>
      <c r="G533" s="199">
        <v>3.1351954012998604E-2</v>
      </c>
      <c r="H533" s="199">
        <v>2.9438332516184058E-2</v>
      </c>
      <c r="I533" s="199">
        <v>2.7962594503100617E-2</v>
      </c>
      <c r="J533" s="199">
        <v>3.1088735993136052E-2</v>
      </c>
      <c r="K533" s="199">
        <v>3.5112992422697761E-2</v>
      </c>
      <c r="L533" s="199">
        <v>2.5166597276427512E-2</v>
      </c>
      <c r="M533" s="199">
        <v>3.2180923813803386E-2</v>
      </c>
      <c r="N533" s="199">
        <v>2.8295494111008394E-2</v>
      </c>
    </row>
    <row r="534" spans="1:14">
      <c r="C534" s="29">
        <v>4</v>
      </c>
      <c r="D534" s="34" t="s">
        <v>978</v>
      </c>
      <c r="E534" s="199">
        <v>3.1713331228719305E-2</v>
      </c>
      <c r="F534" s="199">
        <v>3.577556573308565E-2</v>
      </c>
      <c r="G534" s="199">
        <v>3.2031382499308023E-2</v>
      </c>
      <c r="H534" s="199">
        <v>3.0343205599693227E-2</v>
      </c>
      <c r="I534" s="199">
        <v>3.1205306862430091E-2</v>
      </c>
      <c r="J534" s="199">
        <v>3.2646695264231265E-2</v>
      </c>
      <c r="K534" s="199">
        <v>3.6291114397626792E-2</v>
      </c>
      <c r="L534" s="199">
        <v>2.5709677714326331E-2</v>
      </c>
      <c r="M534" s="199">
        <v>3.2403852431837986E-2</v>
      </c>
      <c r="N534" s="199">
        <v>3.2477218426960899E-2</v>
      </c>
    </row>
    <row r="535" spans="1:14">
      <c r="C535" s="29">
        <v>5</v>
      </c>
      <c r="D535" s="34" t="s">
        <v>979</v>
      </c>
      <c r="E535" s="199">
        <v>3.6096972545278001E-2</v>
      </c>
      <c r="F535" s="199">
        <v>3.6072169419581489E-2</v>
      </c>
      <c r="G535" s="199">
        <v>3.309448344075834E-2</v>
      </c>
      <c r="H535" s="199">
        <v>3.1206045569352751E-2</v>
      </c>
      <c r="I535" s="199">
        <v>3.2588352365323092E-2</v>
      </c>
      <c r="J535" s="199">
        <v>3.4412293713543728E-2</v>
      </c>
      <c r="K535" s="199">
        <v>3.6138192436487429E-2</v>
      </c>
      <c r="L535" s="199">
        <v>2.9763879283405043E-2</v>
      </c>
      <c r="M535" s="199">
        <v>3.4923918781266647E-2</v>
      </c>
      <c r="N535" s="199">
        <v>3.404473472524043E-2</v>
      </c>
    </row>
    <row r="536" spans="1:14">
      <c r="C536" s="29">
        <v>6</v>
      </c>
      <c r="D536" s="34" t="s">
        <v>980</v>
      </c>
      <c r="E536" s="199">
        <v>4.1900654864197667E-2</v>
      </c>
      <c r="F536" s="199">
        <v>3.8856394039871622E-2</v>
      </c>
      <c r="G536" s="199">
        <v>3.7622321265937765E-2</v>
      </c>
      <c r="H536" s="199">
        <v>3.4751167159133359E-2</v>
      </c>
      <c r="I536" s="199">
        <v>3.5207133629759475E-2</v>
      </c>
      <c r="J536" s="199">
        <v>4.3126335229692933E-2</v>
      </c>
      <c r="K536" s="199">
        <v>3.8733848873136759E-2</v>
      </c>
      <c r="L536" s="199">
        <v>3.8184241443108946E-2</v>
      </c>
      <c r="M536" s="199">
        <v>4.5354366460679599E-2</v>
      </c>
      <c r="N536" s="199">
        <v>4.0731651679052967E-2</v>
      </c>
    </row>
    <row r="537" spans="1:14">
      <c r="C537" s="29">
        <v>7</v>
      </c>
      <c r="D537" s="34" t="s">
        <v>981</v>
      </c>
      <c r="E537" s="199">
        <v>5.0255308841650831E-2</v>
      </c>
      <c r="F537" s="199">
        <v>3.830909090376234E-2</v>
      </c>
      <c r="G537" s="199">
        <v>4.233674166647123E-2</v>
      </c>
      <c r="H537" s="199">
        <v>3.8768058200767917E-2</v>
      </c>
      <c r="I537" s="199">
        <v>4.2958346562563567E-2</v>
      </c>
      <c r="J537" s="199">
        <v>5.2833141969080899E-2</v>
      </c>
      <c r="K537" s="199">
        <v>3.6505916999400111E-2</v>
      </c>
      <c r="L537" s="199">
        <v>4.4713566753521984E-2</v>
      </c>
      <c r="M537" s="199">
        <v>4.8537158965942351E-2</v>
      </c>
      <c r="N537" s="199">
        <v>4.5965830641966125E-2</v>
      </c>
    </row>
    <row r="538" spans="1:14">
      <c r="C538" s="29">
        <v>8</v>
      </c>
      <c r="D538" s="34" t="s">
        <v>982</v>
      </c>
      <c r="E538" s="199">
        <v>5.2949229129875354E-2</v>
      </c>
      <c r="F538" s="199">
        <v>4.3538163457552771E-2</v>
      </c>
      <c r="G538" s="199">
        <v>4.6117771270652551E-2</v>
      </c>
      <c r="H538" s="199">
        <v>4.6638236258031068E-2</v>
      </c>
      <c r="I538" s="199">
        <v>5.1126603179718184E-2</v>
      </c>
      <c r="J538" s="199">
        <v>5.3592776755336184E-2</v>
      </c>
      <c r="K538" s="199">
        <v>4.2574770576380795E-2</v>
      </c>
      <c r="L538" s="199">
        <v>4.9620922130926282E-2</v>
      </c>
      <c r="M538" s="199">
        <v>5.4172849052489348E-2</v>
      </c>
      <c r="N538" s="199">
        <v>5.6819344226867248E-2</v>
      </c>
    </row>
    <row r="539" spans="1:14">
      <c r="C539" s="29">
        <v>9</v>
      </c>
      <c r="D539" s="34" t="s">
        <v>983</v>
      </c>
      <c r="E539" s="199">
        <v>4.8916164257112996E-2</v>
      </c>
      <c r="F539" s="199">
        <v>4.8314625788614653E-2</v>
      </c>
      <c r="G539" s="199">
        <v>4.7909658016400729E-2</v>
      </c>
      <c r="H539" s="199">
        <v>4.9301243024839889E-2</v>
      </c>
      <c r="I539" s="199">
        <v>4.6539122651862157E-2</v>
      </c>
      <c r="J539" s="199">
        <v>4.8847669891837205E-2</v>
      </c>
      <c r="K539" s="199">
        <v>5.0083277003475993E-2</v>
      </c>
      <c r="L539" s="199">
        <v>5.4746263943937973E-2</v>
      </c>
      <c r="M539" s="199">
        <v>5.5140779166245255E-2</v>
      </c>
      <c r="N539" s="199">
        <v>5.3942923004886491E-2</v>
      </c>
    </row>
    <row r="540" spans="1:14">
      <c r="C540" s="29">
        <v>10</v>
      </c>
      <c r="D540" s="34" t="s">
        <v>984</v>
      </c>
      <c r="E540" s="199">
        <v>4.6439253827802597E-2</v>
      </c>
      <c r="F540" s="199">
        <v>4.9760593825599407E-2</v>
      </c>
      <c r="G540" s="199">
        <v>4.8571922955983317E-2</v>
      </c>
      <c r="H540" s="199">
        <v>5.1492190055859338E-2</v>
      </c>
      <c r="I540" s="199">
        <v>4.6139266861455766E-2</v>
      </c>
      <c r="J540" s="199">
        <v>4.6082478625418082E-2</v>
      </c>
      <c r="K540" s="199">
        <v>5.0538839534092155E-2</v>
      </c>
      <c r="L540" s="199">
        <v>5.5437200094292885E-2</v>
      </c>
      <c r="M540" s="199">
        <v>5.3500222544552639E-2</v>
      </c>
      <c r="N540" s="199">
        <v>5.1173115942899007E-2</v>
      </c>
    </row>
    <row r="541" spans="1:14">
      <c r="C541" s="29">
        <v>11</v>
      </c>
      <c r="D541" s="34" t="s">
        <v>985</v>
      </c>
      <c r="E541" s="199">
        <v>4.184926655854166E-2</v>
      </c>
      <c r="F541" s="199">
        <v>5.1984203698076784E-2</v>
      </c>
      <c r="G541" s="199">
        <v>5.040209175288532E-2</v>
      </c>
      <c r="H541" s="199">
        <v>4.9483076881990579E-2</v>
      </c>
      <c r="I541" s="199">
        <v>4.5462190376698519E-2</v>
      </c>
      <c r="J541" s="199">
        <v>4.5862586003073476E-2</v>
      </c>
      <c r="K541" s="199">
        <v>5.2023212206258891E-2</v>
      </c>
      <c r="L541" s="199">
        <v>5.5747893404813793E-2</v>
      </c>
      <c r="M541" s="199">
        <v>5.2300572982877928E-2</v>
      </c>
      <c r="N541" s="199">
        <v>4.527499969984753E-2</v>
      </c>
    </row>
    <row r="542" spans="1:14">
      <c r="C542" s="29">
        <v>12</v>
      </c>
      <c r="D542" s="34" t="s">
        <v>986</v>
      </c>
      <c r="E542" s="199">
        <v>4.0216710645476078E-2</v>
      </c>
      <c r="F542" s="199">
        <v>5.3146709987350577E-2</v>
      </c>
      <c r="G542" s="199">
        <v>5.065705146031653E-2</v>
      </c>
      <c r="H542" s="199">
        <v>5.1401157013709821E-2</v>
      </c>
      <c r="I542" s="199">
        <v>4.7052017842931955E-2</v>
      </c>
      <c r="J542" s="199">
        <v>4.1834817493690932E-2</v>
      </c>
      <c r="K542" s="199">
        <v>5.254090961185838E-2</v>
      </c>
      <c r="L542" s="199">
        <v>5.7312273486159242E-2</v>
      </c>
      <c r="M542" s="199">
        <v>5.2738322171966542E-2</v>
      </c>
      <c r="N542" s="199">
        <v>4.0020650490449151E-2</v>
      </c>
    </row>
    <row r="543" spans="1:14">
      <c r="C543" s="29">
        <v>13</v>
      </c>
      <c r="D543" s="34" t="s">
        <v>987</v>
      </c>
      <c r="E543" s="199">
        <v>3.9447243821727422E-2</v>
      </c>
      <c r="F543" s="199">
        <v>5.1710999449534785E-2</v>
      </c>
      <c r="G543" s="199">
        <v>5.0775395431008452E-2</v>
      </c>
      <c r="H543" s="199">
        <v>5.2261500541524675E-2</v>
      </c>
      <c r="I543" s="199">
        <v>4.8042483412364244E-2</v>
      </c>
      <c r="J543" s="199">
        <v>3.8985119987599133E-2</v>
      </c>
      <c r="K543" s="199">
        <v>5.0811505873779562E-2</v>
      </c>
      <c r="L543" s="199">
        <v>5.7062269727772411E-2</v>
      </c>
      <c r="M543" s="199">
        <v>5.2733542691641148E-2</v>
      </c>
      <c r="N543" s="199">
        <v>4.0659615084462919E-2</v>
      </c>
    </row>
    <row r="544" spans="1:14">
      <c r="C544" s="29">
        <v>14</v>
      </c>
      <c r="D544" s="34" t="s">
        <v>988</v>
      </c>
      <c r="E544" s="199">
        <v>3.7005795413469537E-2</v>
      </c>
      <c r="F544" s="199">
        <v>5.1542575940623857E-2</v>
      </c>
      <c r="G544" s="199">
        <v>5.0475144185221012E-2</v>
      </c>
      <c r="H544" s="199">
        <v>5.545294018438255E-2</v>
      </c>
      <c r="I544" s="199">
        <v>4.5181489924677999E-2</v>
      </c>
      <c r="J544" s="199">
        <v>3.8218563107906861E-2</v>
      </c>
      <c r="K544" s="199">
        <v>5.1269381936974903E-2</v>
      </c>
      <c r="L544" s="199">
        <v>5.6829830938719995E-2</v>
      </c>
      <c r="M544" s="199">
        <v>5.4023917031635456E-2</v>
      </c>
      <c r="N544" s="199">
        <v>4.5756204151709071E-2</v>
      </c>
    </row>
    <row r="545" spans="1:14">
      <c r="C545" s="29">
        <v>15</v>
      </c>
      <c r="D545" s="34" t="s">
        <v>989</v>
      </c>
      <c r="E545" s="199">
        <v>3.745820393912299E-2</v>
      </c>
      <c r="F545" s="199">
        <v>5.050568931034545E-2</v>
      </c>
      <c r="G545" s="199">
        <v>4.9167043657482819E-2</v>
      </c>
      <c r="H545" s="199">
        <v>5.2454423245008638E-2</v>
      </c>
      <c r="I545" s="199">
        <v>4.2696521159720981E-2</v>
      </c>
      <c r="J545" s="199">
        <v>3.6439364595607281E-2</v>
      </c>
      <c r="K545" s="199">
        <v>4.8843528622262357E-2</v>
      </c>
      <c r="L545" s="199">
        <v>5.5282215070754002E-2</v>
      </c>
      <c r="M545" s="199">
        <v>5.4266304962423462E-2</v>
      </c>
      <c r="N545" s="199">
        <v>5.7145189756396264E-2</v>
      </c>
    </row>
    <row r="546" spans="1:14">
      <c r="C546" s="29">
        <v>16</v>
      </c>
      <c r="D546" s="34" t="s">
        <v>990</v>
      </c>
      <c r="E546" s="199">
        <v>3.7047304109693195E-2</v>
      </c>
      <c r="F546" s="199">
        <v>4.8486627853626632E-2</v>
      </c>
      <c r="G546" s="199">
        <v>4.7095989538520434E-2</v>
      </c>
      <c r="H546" s="199">
        <v>4.6534953233806589E-2</v>
      </c>
      <c r="I546" s="199">
        <v>4.4158335722591181E-2</v>
      </c>
      <c r="J546" s="199">
        <v>3.8329544976857283E-2</v>
      </c>
      <c r="K546" s="199">
        <v>4.8935942808254307E-2</v>
      </c>
      <c r="L546" s="199">
        <v>5.0678862817021213E-2</v>
      </c>
      <c r="M546" s="199">
        <v>4.6641497581881665E-2</v>
      </c>
      <c r="N546" s="199">
        <v>5.3193262177186014E-2</v>
      </c>
    </row>
    <row r="547" spans="1:14">
      <c r="C547" s="29">
        <v>17</v>
      </c>
      <c r="D547" s="34" t="s">
        <v>991</v>
      </c>
      <c r="E547" s="199">
        <v>3.9354418502886741E-2</v>
      </c>
      <c r="F547" s="199">
        <v>4.3963317517092274E-2</v>
      </c>
      <c r="G547" s="199">
        <v>4.4790186861985146E-2</v>
      </c>
      <c r="H547" s="199">
        <v>4.3197442714642473E-2</v>
      </c>
      <c r="I547" s="199">
        <v>4.7187306603240865E-2</v>
      </c>
      <c r="J547" s="199">
        <v>4.2533689057011319E-2</v>
      </c>
      <c r="K547" s="199">
        <v>4.6298058046176475E-2</v>
      </c>
      <c r="L547" s="199">
        <v>4.6889220683123352E-2</v>
      </c>
      <c r="M547" s="199">
        <v>3.5586559589237801E-2</v>
      </c>
      <c r="N547" s="199">
        <v>4.2166380521304829E-2</v>
      </c>
    </row>
    <row r="548" spans="1:14">
      <c r="C548" s="29">
        <v>18</v>
      </c>
      <c r="D548" s="34" t="s">
        <v>992</v>
      </c>
      <c r="E548" s="199">
        <v>4.4331076734399379E-2</v>
      </c>
      <c r="F548" s="199">
        <v>3.6791690568053668E-2</v>
      </c>
      <c r="G548" s="199">
        <v>4.312030813705741E-2</v>
      </c>
      <c r="H548" s="199">
        <v>4.0444331814277493E-2</v>
      </c>
      <c r="I548" s="199">
        <v>4.7926596937243833E-2</v>
      </c>
      <c r="J548" s="199">
        <v>4.6358771740590547E-2</v>
      </c>
      <c r="K548" s="199">
        <v>4.0530548443490869E-2</v>
      </c>
      <c r="L548" s="199">
        <v>4.1929222059390349E-2</v>
      </c>
      <c r="M548" s="199">
        <v>3.462784704468088E-2</v>
      </c>
      <c r="N548" s="199">
        <v>4.7002917482080901E-2</v>
      </c>
    </row>
    <row r="549" spans="1:14">
      <c r="C549" s="29">
        <v>19</v>
      </c>
      <c r="D549" s="34" t="s">
        <v>993</v>
      </c>
      <c r="E549" s="199">
        <v>4.9419252691331267E-2</v>
      </c>
      <c r="F549" s="199">
        <v>3.2672834194991542E-2</v>
      </c>
      <c r="G549" s="199">
        <v>4.1961851849445578E-2</v>
      </c>
      <c r="H549" s="199">
        <v>4.0252976644044841E-2</v>
      </c>
      <c r="I549" s="199">
        <v>4.7842871858767386E-2</v>
      </c>
      <c r="J549" s="199">
        <v>4.5293336348709579E-2</v>
      </c>
      <c r="K549" s="199">
        <v>3.0629366284274474E-2</v>
      </c>
      <c r="L549" s="199">
        <v>3.9224694652381244E-2</v>
      </c>
      <c r="M549" s="199">
        <v>3.2917305175366382E-2</v>
      </c>
      <c r="N549" s="199">
        <v>4.5637824014599419E-2</v>
      </c>
    </row>
    <row r="550" spans="1:14">
      <c r="C550" s="29">
        <v>20</v>
      </c>
      <c r="D550" s="34" t="s">
        <v>994</v>
      </c>
      <c r="E550" s="199">
        <v>5.1605323948218818E-2</v>
      </c>
      <c r="F550" s="199">
        <v>3.4736966948810621E-2</v>
      </c>
      <c r="G550" s="199">
        <v>4.1488891548923094E-2</v>
      </c>
      <c r="H550" s="199">
        <v>4.046610310943443E-2</v>
      </c>
      <c r="I550" s="199">
        <v>4.7098098270254636E-2</v>
      </c>
      <c r="J550" s="199">
        <v>4.4974612927008703E-2</v>
      </c>
      <c r="K550" s="199">
        <v>3.3294810049822814E-2</v>
      </c>
      <c r="L550" s="199">
        <v>3.9160246713426335E-2</v>
      </c>
      <c r="M550" s="199">
        <v>3.2857561671298913E-2</v>
      </c>
      <c r="N550" s="199">
        <v>3.915885269717017E-2</v>
      </c>
    </row>
    <row r="551" spans="1:14">
      <c r="C551" s="29">
        <v>21</v>
      </c>
      <c r="D551" s="34" t="s">
        <v>995</v>
      </c>
      <c r="E551" s="199">
        <v>5.3843154575905348E-2</v>
      </c>
      <c r="F551" s="199">
        <v>3.9294767162249902E-2</v>
      </c>
      <c r="G551" s="199">
        <v>4.0568743973451386E-2</v>
      </c>
      <c r="H551" s="199">
        <v>4.026795529511281E-2</v>
      </c>
      <c r="I551" s="199">
        <v>4.8724515915620721E-2</v>
      </c>
      <c r="J551" s="199">
        <v>4.8905661127411668E-2</v>
      </c>
      <c r="K551" s="199">
        <v>3.6738948204022452E-2</v>
      </c>
      <c r="L551" s="199">
        <v>3.6395985495261615E-2</v>
      </c>
      <c r="M551" s="199">
        <v>3.2728771746102052E-2</v>
      </c>
      <c r="N551" s="199">
        <v>3.7976011814001523E-2</v>
      </c>
    </row>
    <row r="552" spans="1:14">
      <c r="C552" s="29">
        <v>22</v>
      </c>
      <c r="D552" s="34" t="s">
        <v>996</v>
      </c>
      <c r="E552" s="199">
        <v>4.8501536909655807E-2</v>
      </c>
      <c r="F552" s="199">
        <v>3.8685163215398673E-2</v>
      </c>
      <c r="G552" s="199">
        <v>3.8918252160262304E-2</v>
      </c>
      <c r="H552" s="199">
        <v>4.1283020160509602E-2</v>
      </c>
      <c r="I552" s="199">
        <v>4.5683524053930329E-2</v>
      </c>
      <c r="J552" s="199">
        <v>4.8238998167228105E-2</v>
      </c>
      <c r="K552" s="199">
        <v>3.6949555939031348E-2</v>
      </c>
      <c r="L552" s="199">
        <v>3.2659244916065013E-2</v>
      </c>
      <c r="M552" s="199">
        <v>3.2948115753892601E-2</v>
      </c>
      <c r="N552" s="199">
        <v>3.757092603042346E-2</v>
      </c>
    </row>
    <row r="553" spans="1:14">
      <c r="C553" s="29">
        <v>23</v>
      </c>
      <c r="D553" s="34" t="s">
        <v>997</v>
      </c>
      <c r="E553" s="199">
        <v>4.0925967933123808E-2</v>
      </c>
      <c r="F553" s="199">
        <v>3.7023741421433637E-2</v>
      </c>
      <c r="G553" s="199">
        <v>3.6551968414308682E-2</v>
      </c>
      <c r="H553" s="199">
        <v>3.9133061221172258E-2</v>
      </c>
      <c r="I553" s="199">
        <v>3.6847786647410591E-2</v>
      </c>
      <c r="J553" s="199">
        <v>4.1649787337382178E-2</v>
      </c>
      <c r="K553" s="199">
        <v>3.673401605764489E-2</v>
      </c>
      <c r="L553" s="199">
        <v>2.9428401284536537E-2</v>
      </c>
      <c r="M553" s="199">
        <v>3.2840833490160024E-2</v>
      </c>
      <c r="N553" s="199">
        <v>3.4233470603066363E-2</v>
      </c>
    </row>
    <row r="554" spans="1:14">
      <c r="C554" s="29">
        <v>24</v>
      </c>
      <c r="D554" s="34" t="s">
        <v>998</v>
      </c>
      <c r="E554" s="199">
        <v>3.3966915258385903E-2</v>
      </c>
      <c r="F554" s="199">
        <v>3.531556702599329E-2</v>
      </c>
      <c r="G554" s="199">
        <v>3.4133002692404983E-2</v>
      </c>
      <c r="H554" s="199">
        <v>3.7166561729024016E-2</v>
      </c>
      <c r="I554" s="199">
        <v>3.6945852545374192E-2</v>
      </c>
      <c r="J554" s="199">
        <v>3.4203370916179462E-2</v>
      </c>
      <c r="K554" s="199">
        <v>3.7579955431701617E-2</v>
      </c>
      <c r="L554" s="199">
        <v>2.7270932264363737E-2</v>
      </c>
      <c r="M554" s="199">
        <v>3.3332266485046405E-2</v>
      </c>
      <c r="N554" s="199">
        <v>3.0512540370508223E-2</v>
      </c>
    </row>
    <row r="555" spans="1:14">
      <c r="A555" s="16" t="s">
        <v>434</v>
      </c>
      <c r="B555" s="16" t="s">
        <v>309</v>
      </c>
      <c r="C555" s="29">
        <v>1</v>
      </c>
      <c r="D555" s="34" t="s">
        <v>999</v>
      </c>
      <c r="E555" s="199">
        <v>3.365451950974651E-2</v>
      </c>
      <c r="F555" s="199">
        <v>3.3208027284725189E-2</v>
      </c>
      <c r="G555" s="199">
        <v>3.1257344776382569E-2</v>
      </c>
      <c r="H555" s="199">
        <v>3.3651236841067154E-2</v>
      </c>
      <c r="I555" s="199">
        <v>3.7100200930085966E-2</v>
      </c>
      <c r="J555" s="199">
        <v>3.3251138015739048E-2</v>
      </c>
      <c r="K555" s="199">
        <v>3.5159920586080369E-2</v>
      </c>
      <c r="L555" s="199">
        <v>2.6071713561619719E-2</v>
      </c>
      <c r="M555" s="199">
        <v>3.1342151315923765E-2</v>
      </c>
      <c r="N555" s="199">
        <v>2.916068969389915E-2</v>
      </c>
    </row>
    <row r="556" spans="1:14">
      <c r="C556" s="29">
        <v>2</v>
      </c>
      <c r="D556" s="34" t="s">
        <v>1000</v>
      </c>
      <c r="E556" s="199">
        <v>3.0920511325002956E-2</v>
      </c>
      <c r="F556" s="199">
        <v>3.3566546084666478E-2</v>
      </c>
      <c r="G556" s="199">
        <v>3.1360312875310048E-2</v>
      </c>
      <c r="H556" s="199">
        <v>3.3909961588852296E-2</v>
      </c>
      <c r="I556" s="199">
        <v>3.49179863799461E-2</v>
      </c>
      <c r="J556" s="199">
        <v>3.1500235455480419E-2</v>
      </c>
      <c r="K556" s="199">
        <v>3.4483121932590857E-2</v>
      </c>
      <c r="L556" s="199">
        <v>2.6174007277595678E-2</v>
      </c>
      <c r="M556" s="199">
        <v>3.2818229321453472E-2</v>
      </c>
      <c r="N556" s="199">
        <v>2.8561061722412694E-2</v>
      </c>
    </row>
    <row r="557" spans="1:14">
      <c r="C557" s="29">
        <v>3</v>
      </c>
      <c r="D557" s="34" t="s">
        <v>1001</v>
      </c>
      <c r="E557" s="199">
        <v>3.1522520799035281E-2</v>
      </c>
      <c r="F557" s="199">
        <v>3.3451238882704494E-2</v>
      </c>
      <c r="G557" s="199">
        <v>3.1238032890439013E-2</v>
      </c>
      <c r="H557" s="199">
        <v>3.3318232627191718E-2</v>
      </c>
      <c r="I557" s="199">
        <v>3.3996418424865719E-2</v>
      </c>
      <c r="J557" s="199">
        <v>3.1025679643416251E-2</v>
      </c>
      <c r="K557" s="199">
        <v>3.4455437836342882E-2</v>
      </c>
      <c r="L557" s="199">
        <v>2.5250227272610844E-2</v>
      </c>
      <c r="M557" s="199">
        <v>3.1881654479904362E-2</v>
      </c>
      <c r="N557" s="199">
        <v>2.614900224968477E-2</v>
      </c>
    </row>
    <row r="558" spans="1:14">
      <c r="C558" s="29">
        <v>4</v>
      </c>
      <c r="D558" s="34" t="s">
        <v>1002</v>
      </c>
      <c r="E558" s="199">
        <v>3.2107098143001229E-2</v>
      </c>
      <c r="F558" s="199">
        <v>3.3949474212686244E-2</v>
      </c>
      <c r="G558" s="199">
        <v>3.1940002232084749E-2</v>
      </c>
      <c r="H558" s="199">
        <v>3.3748604951146413E-2</v>
      </c>
      <c r="I558" s="199">
        <v>3.6820857768640032E-2</v>
      </c>
      <c r="J558" s="199">
        <v>3.0567929585138386E-2</v>
      </c>
      <c r="K558" s="199">
        <v>3.4533663556924499E-2</v>
      </c>
      <c r="L558" s="199">
        <v>2.5438494131112377E-2</v>
      </c>
      <c r="M558" s="199">
        <v>3.2182159067802162E-2</v>
      </c>
      <c r="N558" s="199">
        <v>3.4390058191793776E-2</v>
      </c>
    </row>
    <row r="559" spans="1:14">
      <c r="C559" s="29">
        <v>5</v>
      </c>
      <c r="D559" s="34" t="s">
        <v>1003</v>
      </c>
      <c r="E559" s="199">
        <v>3.4379084590138657E-2</v>
      </c>
      <c r="F559" s="199">
        <v>3.4529186696164955E-2</v>
      </c>
      <c r="G559" s="199">
        <v>3.3710984830985932E-2</v>
      </c>
      <c r="H559" s="199">
        <v>3.3871128688581296E-2</v>
      </c>
      <c r="I559" s="199">
        <v>3.4771064462515676E-2</v>
      </c>
      <c r="J559" s="199">
        <v>3.3775296881560078E-2</v>
      </c>
      <c r="K559" s="199">
        <v>3.5597176269271176E-2</v>
      </c>
      <c r="L559" s="199">
        <v>2.9597877484853059E-2</v>
      </c>
      <c r="M559" s="199">
        <v>3.4714443758982326E-2</v>
      </c>
      <c r="N559" s="199">
        <v>3.7572366692727774E-2</v>
      </c>
    </row>
    <row r="560" spans="1:14">
      <c r="C560" s="29">
        <v>6</v>
      </c>
      <c r="D560" s="34" t="s">
        <v>1004</v>
      </c>
      <c r="E560" s="199">
        <v>4.0619368923362868E-2</v>
      </c>
      <c r="F560" s="199">
        <v>3.7429741958255679E-2</v>
      </c>
      <c r="G560" s="199">
        <v>3.736551502934643E-2</v>
      </c>
      <c r="H560" s="199">
        <v>3.7777155532714171E-2</v>
      </c>
      <c r="I560" s="199">
        <v>3.9865543189754174E-2</v>
      </c>
      <c r="J560" s="199">
        <v>3.9436851276514993E-2</v>
      </c>
      <c r="K560" s="199">
        <v>3.8303860758138887E-2</v>
      </c>
      <c r="L560" s="199">
        <v>3.8774995530661674E-2</v>
      </c>
      <c r="M560" s="199">
        <v>4.522388585968834E-2</v>
      </c>
      <c r="N560" s="199">
        <v>4.3339515483320962E-2</v>
      </c>
    </row>
    <row r="561" spans="3:14">
      <c r="C561" s="29">
        <v>7</v>
      </c>
      <c r="D561" s="34" t="s">
        <v>1005</v>
      </c>
      <c r="E561" s="199">
        <v>4.9781826524319318E-2</v>
      </c>
      <c r="F561" s="199">
        <v>3.9239583122977512E-2</v>
      </c>
      <c r="G561" s="199">
        <v>4.2426570995218731E-2</v>
      </c>
      <c r="H561" s="199">
        <v>4.4589668838919599E-2</v>
      </c>
      <c r="I561" s="199">
        <v>4.4288704577324527E-2</v>
      </c>
      <c r="J561" s="199">
        <v>4.8764922445485498E-2</v>
      </c>
      <c r="K561" s="199">
        <v>3.8346828986900797E-2</v>
      </c>
      <c r="L561" s="199">
        <v>4.4932744756926921E-2</v>
      </c>
      <c r="M561" s="199">
        <v>4.7908610019806529E-2</v>
      </c>
      <c r="N561" s="199">
        <v>4.6143080579868136E-2</v>
      </c>
    </row>
    <row r="562" spans="3:14">
      <c r="C562" s="29">
        <v>8</v>
      </c>
      <c r="D562" s="34" t="s">
        <v>1006</v>
      </c>
      <c r="E562" s="199">
        <v>5.2914714178771277E-2</v>
      </c>
      <c r="F562" s="199">
        <v>4.1774179631590899E-2</v>
      </c>
      <c r="G562" s="199">
        <v>4.4875638029581985E-2</v>
      </c>
      <c r="H562" s="199">
        <v>4.712937569933854E-2</v>
      </c>
      <c r="I562" s="199">
        <v>4.5302110130699416E-2</v>
      </c>
      <c r="J562" s="199">
        <v>5.2641301228932506E-2</v>
      </c>
      <c r="K562" s="199">
        <v>4.3694901953074738E-2</v>
      </c>
      <c r="L562" s="199">
        <v>4.8884393662310448E-2</v>
      </c>
      <c r="M562" s="199">
        <v>5.2774941814517487E-2</v>
      </c>
      <c r="N562" s="199">
        <v>4.2805269343695988E-2</v>
      </c>
    </row>
    <row r="563" spans="3:14">
      <c r="C563" s="29">
        <v>9</v>
      </c>
      <c r="D563" s="34" t="s">
        <v>1007</v>
      </c>
      <c r="E563" s="199">
        <v>4.7612503373828857E-2</v>
      </c>
      <c r="F563" s="199">
        <v>5.0372652296090441E-2</v>
      </c>
      <c r="G563" s="199">
        <v>4.8294974361861205E-2</v>
      </c>
      <c r="H563" s="199">
        <v>5.0223078080384641E-2</v>
      </c>
      <c r="I563" s="199">
        <v>4.7655870383313904E-2</v>
      </c>
      <c r="J563" s="199">
        <v>4.7211827805549639E-2</v>
      </c>
      <c r="K563" s="199">
        <v>5.0080314290422576E-2</v>
      </c>
      <c r="L563" s="199">
        <v>5.494911248334735E-2</v>
      </c>
      <c r="M563" s="199">
        <v>5.4673210870975493E-2</v>
      </c>
      <c r="N563" s="199">
        <v>4.3974092301868502E-2</v>
      </c>
    </row>
    <row r="564" spans="3:14">
      <c r="C564" s="29">
        <v>10</v>
      </c>
      <c r="D564" s="34" t="s">
        <v>1008</v>
      </c>
      <c r="E564" s="199">
        <v>4.3878917169641901E-2</v>
      </c>
      <c r="F564" s="199">
        <v>5.1764551655355852E-2</v>
      </c>
      <c r="G564" s="199">
        <v>4.9471426757785937E-2</v>
      </c>
      <c r="H564" s="199">
        <v>5.1401874296538502E-2</v>
      </c>
      <c r="I564" s="199">
        <v>4.5883140258538804E-2</v>
      </c>
      <c r="J564" s="199">
        <v>4.5534044904554288E-2</v>
      </c>
      <c r="K564" s="199">
        <v>5.2332418463224228E-2</v>
      </c>
      <c r="L564" s="199">
        <v>5.5074459924152316E-2</v>
      </c>
      <c r="M564" s="199">
        <v>5.4191170758981534E-2</v>
      </c>
      <c r="N564" s="199">
        <v>4.3697053969266215E-2</v>
      </c>
    </row>
    <row r="565" spans="3:14">
      <c r="C565" s="29">
        <v>11</v>
      </c>
      <c r="D565" s="34" t="s">
        <v>1009</v>
      </c>
      <c r="E565" s="199">
        <v>4.215172344704473E-2</v>
      </c>
      <c r="F565" s="199">
        <v>5.2712626383795126E-2</v>
      </c>
      <c r="G565" s="199">
        <v>5.0697731515201412E-2</v>
      </c>
      <c r="H565" s="199">
        <v>4.8256717223174088E-2</v>
      </c>
      <c r="I565" s="199">
        <v>4.1438273460448011E-2</v>
      </c>
      <c r="J565" s="199">
        <v>4.3654338518247626E-2</v>
      </c>
      <c r="K565" s="199">
        <v>5.2266592706376652E-2</v>
      </c>
      <c r="L565" s="199">
        <v>5.5159293449441454E-2</v>
      </c>
      <c r="M565" s="199">
        <v>5.1625481940694946E-2</v>
      </c>
      <c r="N565" s="199">
        <v>4.5610797858617394E-2</v>
      </c>
    </row>
    <row r="566" spans="3:14">
      <c r="C566" s="29">
        <v>12</v>
      </c>
      <c r="D566" s="34" t="s">
        <v>1010</v>
      </c>
      <c r="E566" s="199">
        <v>4.0200287864214618E-2</v>
      </c>
      <c r="F566" s="199">
        <v>5.5028517245280871E-2</v>
      </c>
      <c r="G566" s="199">
        <v>5.1321986349738564E-2</v>
      </c>
      <c r="H566" s="199">
        <v>5.1543660559815623E-2</v>
      </c>
      <c r="I566" s="199">
        <v>4.2262805462613441E-2</v>
      </c>
      <c r="J566" s="199">
        <v>4.1243603389477544E-2</v>
      </c>
      <c r="K566" s="199">
        <v>5.4243562873731624E-2</v>
      </c>
      <c r="L566" s="199">
        <v>5.6285413017517306E-2</v>
      </c>
      <c r="M566" s="199">
        <v>5.2324516322820661E-2</v>
      </c>
      <c r="N566" s="199">
        <v>4.7143442241532663E-2</v>
      </c>
    </row>
    <row r="567" spans="3:14">
      <c r="C567" s="29">
        <v>13</v>
      </c>
      <c r="D567" s="34" t="s">
        <v>1011</v>
      </c>
      <c r="E567" s="199">
        <v>3.9398655899125778E-2</v>
      </c>
      <c r="F567" s="199">
        <v>5.2239331807144421E-2</v>
      </c>
      <c r="G567" s="199">
        <v>5.0286669596083335E-2</v>
      </c>
      <c r="H567" s="199">
        <v>5.0367371110723431E-2</v>
      </c>
      <c r="I567" s="199">
        <v>4.0729108451174868E-2</v>
      </c>
      <c r="J567" s="199">
        <v>3.9314510223308334E-2</v>
      </c>
      <c r="K567" s="199">
        <v>5.1169863002571564E-2</v>
      </c>
      <c r="L567" s="199">
        <v>5.6174713317522079E-2</v>
      </c>
      <c r="M567" s="199">
        <v>5.3889208054424334E-2</v>
      </c>
      <c r="N567" s="199">
        <v>5.1548567705930193E-2</v>
      </c>
    </row>
    <row r="568" spans="3:14">
      <c r="C568" s="29">
        <v>14</v>
      </c>
      <c r="D568" s="34" t="s">
        <v>1012</v>
      </c>
      <c r="E568" s="199">
        <v>3.738300611298058E-2</v>
      </c>
      <c r="F568" s="199">
        <v>5.2152624946048262E-2</v>
      </c>
      <c r="G568" s="199">
        <v>5.021138115135565E-2</v>
      </c>
      <c r="H568" s="199">
        <v>5.1699080117638622E-2</v>
      </c>
      <c r="I568" s="199">
        <v>4.4411914701749433E-2</v>
      </c>
      <c r="J568" s="199">
        <v>3.8547870155998296E-2</v>
      </c>
      <c r="K568" s="199">
        <v>5.1353409934109306E-2</v>
      </c>
      <c r="L568" s="199">
        <v>5.6070966328189545E-2</v>
      </c>
      <c r="M568" s="199">
        <v>5.3320277445135705E-2</v>
      </c>
      <c r="N568" s="199">
        <v>5.2644547842419183E-2</v>
      </c>
    </row>
    <row r="569" spans="3:14">
      <c r="C569" s="29">
        <v>15</v>
      </c>
      <c r="D569" s="34" t="s">
        <v>1013</v>
      </c>
      <c r="E569" s="199">
        <v>3.5865303716364594E-2</v>
      </c>
      <c r="F569" s="199">
        <v>5.0470567398877265E-2</v>
      </c>
      <c r="G569" s="199">
        <v>4.9248212916559016E-2</v>
      </c>
      <c r="H569" s="199">
        <v>4.9135317089101641E-2</v>
      </c>
      <c r="I569" s="199">
        <v>4.2259248693662613E-2</v>
      </c>
      <c r="J569" s="199">
        <v>3.7093141971986508E-2</v>
      </c>
      <c r="K569" s="199">
        <v>5.2283681896902502E-2</v>
      </c>
      <c r="L569" s="199">
        <v>5.536370314292529E-2</v>
      </c>
      <c r="M569" s="199">
        <v>5.3541977455395538E-2</v>
      </c>
      <c r="N569" s="199">
        <v>4.8066052535578115E-2</v>
      </c>
    </row>
    <row r="570" spans="3:14">
      <c r="C570" s="29">
        <v>16</v>
      </c>
      <c r="D570" s="34" t="s">
        <v>1014</v>
      </c>
      <c r="E570" s="199">
        <v>3.6068869523940159E-2</v>
      </c>
      <c r="F570" s="199">
        <v>4.9173611992122931E-2</v>
      </c>
      <c r="G570" s="199">
        <v>4.831057737810298E-2</v>
      </c>
      <c r="H570" s="199">
        <v>4.4267879109267383E-2</v>
      </c>
      <c r="I570" s="199">
        <v>4.345113108900605E-2</v>
      </c>
      <c r="J570" s="199">
        <v>3.8206176485998687E-2</v>
      </c>
      <c r="K570" s="199">
        <v>5.1423787576378242E-2</v>
      </c>
      <c r="L570" s="199">
        <v>5.053625316373167E-2</v>
      </c>
      <c r="M570" s="199">
        <v>4.8358704121353485E-2</v>
      </c>
      <c r="N570" s="199">
        <v>5.4976107161804129E-2</v>
      </c>
    </row>
    <row r="571" spans="3:14">
      <c r="C571" s="29">
        <v>17</v>
      </c>
      <c r="D571" s="34" t="s">
        <v>1015</v>
      </c>
      <c r="E571" s="199">
        <v>3.9794027855566808E-2</v>
      </c>
      <c r="F571" s="199">
        <v>4.5199384474285634E-2</v>
      </c>
      <c r="G571" s="199">
        <v>4.561094962678118E-2</v>
      </c>
      <c r="H571" s="199">
        <v>4.1741585651546814E-2</v>
      </c>
      <c r="I571" s="199">
        <v>4.275382197623568E-2</v>
      </c>
      <c r="J571" s="199">
        <v>4.0462161282401904E-2</v>
      </c>
      <c r="K571" s="199">
        <v>4.5597491958221305E-2</v>
      </c>
      <c r="L571" s="199">
        <v>4.645157224260018E-2</v>
      </c>
      <c r="M571" s="199">
        <v>3.7119540910644226E-2</v>
      </c>
      <c r="N571" s="199">
        <v>4.986689986841171E-2</v>
      </c>
    </row>
    <row r="572" spans="3:14">
      <c r="C572" s="29">
        <v>18</v>
      </c>
      <c r="D572" s="34" t="s">
        <v>1016</v>
      </c>
      <c r="E572" s="199">
        <v>4.3367867566224086E-2</v>
      </c>
      <c r="F572" s="199">
        <v>3.6756510708170528E-2</v>
      </c>
      <c r="G572" s="199">
        <v>4.3417585273449258E-2</v>
      </c>
      <c r="H572" s="199">
        <v>4.0324822478013125E-2</v>
      </c>
      <c r="I572" s="199">
        <v>4.3931750893387404E-2</v>
      </c>
      <c r="J572" s="199">
        <v>4.7253123397366717E-2</v>
      </c>
      <c r="K572" s="199">
        <v>3.7613484929168446E-2</v>
      </c>
      <c r="L572" s="199">
        <v>4.3316328397079537E-2</v>
      </c>
      <c r="M572" s="199">
        <v>3.6412553164921736E-2</v>
      </c>
      <c r="N572" s="199">
        <v>5.3909774642765848E-2</v>
      </c>
    </row>
    <row r="573" spans="3:14">
      <c r="C573" s="29">
        <v>19</v>
      </c>
      <c r="D573" s="34" t="s">
        <v>1017</v>
      </c>
      <c r="E573" s="199">
        <v>4.7617444820375908E-2</v>
      </c>
      <c r="F573" s="199">
        <v>3.2631032316742595E-2</v>
      </c>
      <c r="G573" s="199">
        <v>4.2064873004678434E-2</v>
      </c>
      <c r="H573" s="199">
        <v>3.8909642525781558E-2</v>
      </c>
      <c r="I573" s="199">
        <v>4.4599420264900859E-2</v>
      </c>
      <c r="J573" s="199">
        <v>4.9615158733938465E-2</v>
      </c>
      <c r="K573" s="199">
        <v>3.1436831474937824E-2</v>
      </c>
      <c r="L573" s="199">
        <v>3.9947703487779741E-2</v>
      </c>
      <c r="M573" s="199">
        <v>3.4583544649785559E-2</v>
      </c>
      <c r="N573" s="199">
        <v>5.8081056978793899E-2</v>
      </c>
    </row>
    <row r="574" spans="3:14">
      <c r="C574" s="29">
        <v>20</v>
      </c>
      <c r="D574" s="34" t="s">
        <v>1018</v>
      </c>
      <c r="E574" s="199">
        <v>5.1679556385467097E-2</v>
      </c>
      <c r="F574" s="199">
        <v>3.4782809397956062E-2</v>
      </c>
      <c r="G574" s="199">
        <v>4.0006112174329388E-2</v>
      </c>
      <c r="H574" s="199">
        <v>3.829249406654834E-2</v>
      </c>
      <c r="I574" s="199">
        <v>4.3124729138364522E-2</v>
      </c>
      <c r="J574" s="199">
        <v>5.1844052044582464E-2</v>
      </c>
      <c r="K574" s="199">
        <v>3.2636626067184142E-2</v>
      </c>
      <c r="L574" s="199">
        <v>3.9364271738739846E-2</v>
      </c>
      <c r="M574" s="199">
        <v>3.3489426930990517E-2</v>
      </c>
      <c r="N574" s="199">
        <v>4.0478422228409174E-2</v>
      </c>
    </row>
    <row r="575" spans="3:14">
      <c r="C575" s="29">
        <v>21</v>
      </c>
      <c r="D575" s="34" t="s">
        <v>1019</v>
      </c>
      <c r="E575" s="199">
        <v>5.5608424620905733E-2</v>
      </c>
      <c r="F575" s="199">
        <v>3.9330046194381636E-2</v>
      </c>
      <c r="G575" s="199">
        <v>3.9920765232031329E-2</v>
      </c>
      <c r="H575" s="199">
        <v>3.7592842186127816E-2</v>
      </c>
      <c r="I575" s="199">
        <v>4.125888462644077E-2</v>
      </c>
      <c r="J575" s="199">
        <v>5.2603516907399332E-2</v>
      </c>
      <c r="K575" s="199">
        <v>3.6024092109285047E-2</v>
      </c>
      <c r="L575" s="199">
        <v>3.6815721665908373E-2</v>
      </c>
      <c r="M575" s="199">
        <v>3.2410619437119245E-2</v>
      </c>
      <c r="N575" s="199">
        <v>3.2098945290917738E-2</v>
      </c>
    </row>
    <row r="576" spans="3:14">
      <c r="C576" s="29">
        <v>22</v>
      </c>
      <c r="D576" s="34" t="s">
        <v>1020</v>
      </c>
      <c r="E576" s="199">
        <v>5.2570415551790858E-2</v>
      </c>
      <c r="F576" s="199">
        <v>3.8136803256805851E-2</v>
      </c>
      <c r="G576" s="199">
        <v>3.804304125576511E-2</v>
      </c>
      <c r="H576" s="199">
        <v>3.7159523311416427E-2</v>
      </c>
      <c r="I576" s="199">
        <v>4.209317494342002E-2</v>
      </c>
      <c r="J576" s="199">
        <v>4.9720592257408582E-2</v>
      </c>
      <c r="K576" s="199">
        <v>3.5268106345620623E-2</v>
      </c>
      <c r="L576" s="199">
        <v>3.2120310458082328E-2</v>
      </c>
      <c r="M576" s="199">
        <v>3.1921885244098003E-2</v>
      </c>
      <c r="N576" s="199">
        <v>3.267697566028778E-2</v>
      </c>
    </row>
    <row r="577" spans="1:14">
      <c r="C577" s="29">
        <v>23</v>
      </c>
      <c r="D577" s="34" t="s">
        <v>1021</v>
      </c>
      <c r="E577" s="199">
        <v>4.4670522145400231E-2</v>
      </c>
      <c r="F577" s="199">
        <v>3.7323082494494675E-2</v>
      </c>
      <c r="G577" s="199">
        <v>3.6257174871504989E-2</v>
      </c>
      <c r="H577" s="199">
        <v>3.6439729337763599E-2</v>
      </c>
      <c r="I577" s="199">
        <v>4.3664172429240367E-2</v>
      </c>
      <c r="J577" s="199">
        <v>4.1312963699578181E-2</v>
      </c>
      <c r="K577" s="199">
        <v>3.6068610333513704E-2</v>
      </c>
      <c r="L577" s="199">
        <v>3.0189004264039952E-2</v>
      </c>
      <c r="M577" s="199">
        <v>3.191167842748216E-2</v>
      </c>
      <c r="N577" s="199">
        <v>2.9188570234813058E-2</v>
      </c>
    </row>
    <row r="578" spans="1:14">
      <c r="C578" s="29">
        <v>24</v>
      </c>
      <c r="D578" s="34" t="s">
        <v>1022</v>
      </c>
      <c r="E578" s="199">
        <v>3.6232829953749997E-2</v>
      </c>
      <c r="F578" s="199">
        <v>3.4777869558676448E-2</v>
      </c>
      <c r="G578" s="199">
        <v>3.2662136875423062E-2</v>
      </c>
      <c r="H578" s="199">
        <v>3.4649018088347361E-2</v>
      </c>
      <c r="I578" s="199">
        <v>4.3419667363671796E-2</v>
      </c>
      <c r="J578" s="199">
        <v>3.5419563689936179E-2</v>
      </c>
      <c r="K578" s="199">
        <v>3.5626214159028086E-2</v>
      </c>
      <c r="L578" s="199">
        <v>2.7056719241252466E-2</v>
      </c>
      <c r="M578" s="199">
        <v>3.1380128627098325E-2</v>
      </c>
      <c r="N578" s="199">
        <v>2.791764952118116E-2</v>
      </c>
    </row>
    <row r="579" spans="1:14">
      <c r="A579" s="16" t="s">
        <v>434</v>
      </c>
      <c r="B579" s="16" t="s">
        <v>310</v>
      </c>
      <c r="C579" s="29">
        <v>1</v>
      </c>
      <c r="D579" s="34" t="s">
        <v>1023</v>
      </c>
      <c r="E579" s="199">
        <v>3.261290679626043E-2</v>
      </c>
      <c r="F579" s="199">
        <v>3.3235882634776184E-2</v>
      </c>
      <c r="G579" s="199">
        <v>3.1936221061196507E-2</v>
      </c>
      <c r="H579" s="199">
        <v>3.4478307888212455E-2</v>
      </c>
      <c r="I579" s="199">
        <v>4.0016251634573063E-2</v>
      </c>
      <c r="J579" s="199">
        <v>3.2645768757782585E-2</v>
      </c>
      <c r="K579" s="199">
        <v>3.6629151000845364E-2</v>
      </c>
      <c r="L579" s="199">
        <v>2.6557669357032705E-2</v>
      </c>
      <c r="M579" s="199">
        <v>3.4031058742718209E-2</v>
      </c>
      <c r="N579" s="199">
        <v>3.0914214678744598E-2</v>
      </c>
    </row>
    <row r="580" spans="1:14">
      <c r="C580" s="29">
        <v>2</v>
      </c>
      <c r="D580" s="34" t="s">
        <v>1024</v>
      </c>
      <c r="E580" s="199">
        <v>3.1287239925753288E-2</v>
      </c>
      <c r="F580" s="199">
        <v>3.36549239065096E-2</v>
      </c>
      <c r="G580" s="199">
        <v>3.1755835766760825E-2</v>
      </c>
      <c r="H580" s="199">
        <v>3.4418518814310808E-2</v>
      </c>
      <c r="I580" s="199">
        <v>3.9853208521097007E-2</v>
      </c>
      <c r="J580" s="199">
        <v>3.0782124564428043E-2</v>
      </c>
      <c r="K580" s="199">
        <v>3.5243881757041927E-2</v>
      </c>
      <c r="L580" s="199">
        <v>2.6067024111150985E-2</v>
      </c>
      <c r="M580" s="199">
        <v>3.5026859334742318E-2</v>
      </c>
      <c r="N580" s="199">
        <v>2.5679631124604405E-2</v>
      </c>
    </row>
    <row r="581" spans="1:14">
      <c r="C581" s="29">
        <v>3</v>
      </c>
      <c r="D581" s="34" t="s">
        <v>1025</v>
      </c>
      <c r="E581" s="199">
        <v>3.0853727880157923E-2</v>
      </c>
      <c r="F581" s="199">
        <v>3.4057478034138458E-2</v>
      </c>
      <c r="G581" s="199">
        <v>3.2179437664286457E-2</v>
      </c>
      <c r="H581" s="199">
        <v>3.442735871380246E-2</v>
      </c>
      <c r="I581" s="199">
        <v>4.1066303661384182E-2</v>
      </c>
      <c r="J581" s="199">
        <v>2.9614905687119657E-2</v>
      </c>
      <c r="K581" s="199">
        <v>3.4982099678148824E-2</v>
      </c>
      <c r="L581" s="199">
        <v>2.5271181828871454E-2</v>
      </c>
      <c r="M581" s="199">
        <v>3.3918832030095929E-2</v>
      </c>
      <c r="N581" s="199">
        <v>2.4150244414618324E-2</v>
      </c>
    </row>
    <row r="582" spans="1:14">
      <c r="C582" s="29">
        <v>4</v>
      </c>
      <c r="D582" s="34" t="s">
        <v>1026</v>
      </c>
      <c r="E582" s="199">
        <v>3.1486677235674131E-2</v>
      </c>
      <c r="F582" s="199">
        <v>3.4245400391669505E-2</v>
      </c>
      <c r="G582" s="199">
        <v>3.1936088740185949E-2</v>
      </c>
      <c r="H582" s="199">
        <v>3.3910377005601185E-2</v>
      </c>
      <c r="I582" s="199">
        <v>4.2953066778092214E-2</v>
      </c>
      <c r="J582" s="199">
        <v>3.1063501743292608E-2</v>
      </c>
      <c r="K582" s="199">
        <v>3.538277688938582E-2</v>
      </c>
      <c r="L582" s="199">
        <v>2.5536382485422272E-2</v>
      </c>
      <c r="M582" s="199">
        <v>3.3433973154834574E-2</v>
      </c>
      <c r="N582" s="199">
        <v>2.4834704399463128E-2</v>
      </c>
    </row>
    <row r="583" spans="1:14">
      <c r="C583" s="29">
        <v>5</v>
      </c>
      <c r="D583" s="34" t="s">
        <v>1027</v>
      </c>
      <c r="E583" s="199">
        <v>3.4168707947483633E-2</v>
      </c>
      <c r="F583" s="199">
        <v>3.4598636557419273E-2</v>
      </c>
      <c r="G583" s="199">
        <v>3.3052952169077464E-2</v>
      </c>
      <c r="H583" s="199">
        <v>3.372029739337927E-2</v>
      </c>
      <c r="I583" s="199">
        <v>4.193691480457809E-2</v>
      </c>
      <c r="J583" s="199">
        <v>3.3824159327040894E-2</v>
      </c>
      <c r="K583" s="199">
        <v>3.4574471803215011E-2</v>
      </c>
      <c r="L583" s="199">
        <v>2.8920172345529186E-2</v>
      </c>
      <c r="M583" s="199">
        <v>3.4764550542237593E-2</v>
      </c>
      <c r="N583" s="199">
        <v>2.993695241963043E-2</v>
      </c>
    </row>
    <row r="584" spans="1:14">
      <c r="C584" s="29">
        <v>6</v>
      </c>
      <c r="D584" s="34" t="s">
        <v>1028</v>
      </c>
      <c r="E584" s="199">
        <v>4.1231622126241527E-2</v>
      </c>
      <c r="F584" s="199">
        <v>3.7032229891859399E-2</v>
      </c>
      <c r="G584" s="199">
        <v>3.7131953740362995E-2</v>
      </c>
      <c r="H584" s="199">
        <v>3.7564739199885455E-2</v>
      </c>
      <c r="I584" s="199">
        <v>4.4135575404126458E-2</v>
      </c>
      <c r="J584" s="199">
        <v>3.8523435151468118E-2</v>
      </c>
      <c r="K584" s="199">
        <v>3.8602981968619741E-2</v>
      </c>
      <c r="L584" s="199">
        <v>3.7571625439712035E-2</v>
      </c>
      <c r="M584" s="199">
        <v>4.5668165208154102E-2</v>
      </c>
      <c r="N584" s="199">
        <v>4.5557894319774549E-2</v>
      </c>
    </row>
    <row r="585" spans="1:14">
      <c r="C585" s="29">
        <v>7</v>
      </c>
      <c r="D585" s="34" t="s">
        <v>1029</v>
      </c>
      <c r="E585" s="199">
        <v>5.0133106432935323E-2</v>
      </c>
      <c r="F585" s="199">
        <v>3.6544538017190299E-2</v>
      </c>
      <c r="G585" s="199">
        <v>4.0706351784298545E-2</v>
      </c>
      <c r="H585" s="199">
        <v>4.2488519670431123E-2</v>
      </c>
      <c r="I585" s="199">
        <v>4.3097503095397734E-2</v>
      </c>
      <c r="J585" s="199">
        <v>4.8815483525459433E-2</v>
      </c>
      <c r="K585" s="199">
        <v>3.7547623122097543E-2</v>
      </c>
      <c r="L585" s="199">
        <v>4.414936863290389E-2</v>
      </c>
      <c r="M585" s="199">
        <v>4.7437639274443014E-2</v>
      </c>
      <c r="N585" s="199">
        <v>5.418684469890199E-2</v>
      </c>
    </row>
    <row r="586" spans="1:14">
      <c r="C586" s="29">
        <v>8</v>
      </c>
      <c r="D586" s="34" t="s">
        <v>1030</v>
      </c>
      <c r="E586" s="199">
        <v>5.4134214775448185E-2</v>
      </c>
      <c r="F586" s="199">
        <v>4.1463218616207088E-2</v>
      </c>
      <c r="G586" s="199">
        <v>4.3791585516396239E-2</v>
      </c>
      <c r="H586" s="199">
        <v>4.6783491526891013E-2</v>
      </c>
      <c r="I586" s="199">
        <v>4.2752215334497946E-2</v>
      </c>
      <c r="J586" s="199">
        <v>5.2379661441844062E-2</v>
      </c>
      <c r="K586" s="199">
        <v>4.2549068682934094E-2</v>
      </c>
      <c r="L586" s="199">
        <v>4.8084696868920813E-2</v>
      </c>
      <c r="M586" s="199">
        <v>5.3401234254158665E-2</v>
      </c>
      <c r="N586" s="199">
        <v>5.3136282817677093E-2</v>
      </c>
    </row>
    <row r="587" spans="1:14">
      <c r="C587" s="29">
        <v>9</v>
      </c>
      <c r="D587" s="34" t="s">
        <v>1031</v>
      </c>
      <c r="E587" s="199">
        <v>4.8219137214929021E-2</v>
      </c>
      <c r="F587" s="199">
        <v>5.0037956299049106E-2</v>
      </c>
      <c r="G587" s="199">
        <v>4.847741653494992E-2</v>
      </c>
      <c r="H587" s="199">
        <v>5.0459365594815064E-2</v>
      </c>
      <c r="I587" s="199">
        <v>4.5101939329439955E-2</v>
      </c>
      <c r="J587" s="199">
        <v>4.6871069066866063E-2</v>
      </c>
      <c r="K587" s="199">
        <v>4.918204963730826E-2</v>
      </c>
      <c r="L587" s="199">
        <v>5.4501733604843422E-2</v>
      </c>
      <c r="M587" s="199">
        <v>5.4631568937196805E-2</v>
      </c>
      <c r="N587" s="199">
        <v>5.1502493672954917E-2</v>
      </c>
    </row>
    <row r="588" spans="1:14">
      <c r="C588" s="29">
        <v>10</v>
      </c>
      <c r="D588" s="34" t="s">
        <v>1032</v>
      </c>
      <c r="E588" s="199">
        <v>4.630965956446275E-2</v>
      </c>
      <c r="F588" s="199">
        <v>5.0638655052671226E-2</v>
      </c>
      <c r="G588" s="199">
        <v>4.9856302028952158E-2</v>
      </c>
      <c r="H588" s="199">
        <v>5.1078158559230508E-2</v>
      </c>
      <c r="I588" s="199">
        <v>4.6342902182713135E-2</v>
      </c>
      <c r="J588" s="199">
        <v>4.3946522322629307E-2</v>
      </c>
      <c r="K588" s="199">
        <v>5.0898942331485342E-2</v>
      </c>
      <c r="L588" s="199">
        <v>5.4603364949350142E-2</v>
      </c>
      <c r="M588" s="199">
        <v>5.4340428030708092E-2</v>
      </c>
      <c r="N588" s="199">
        <v>5.1999940567873958E-2</v>
      </c>
    </row>
    <row r="589" spans="1:14">
      <c r="C589" s="29">
        <v>11</v>
      </c>
      <c r="D589" s="34" t="s">
        <v>1033</v>
      </c>
      <c r="E589" s="199">
        <v>4.170653650452974E-2</v>
      </c>
      <c r="F589" s="199">
        <v>5.2215753804543005E-2</v>
      </c>
      <c r="G589" s="199">
        <v>5.1150375048025915E-2</v>
      </c>
      <c r="H589" s="199">
        <v>4.913738693093582E-2</v>
      </c>
      <c r="I589" s="199">
        <v>4.7792787920841774E-2</v>
      </c>
      <c r="J589" s="199">
        <v>4.3901527846619645E-2</v>
      </c>
      <c r="K589" s="199">
        <v>5.2370553389199728E-2</v>
      </c>
      <c r="L589" s="199">
        <v>5.4722560012384257E-2</v>
      </c>
      <c r="M589" s="199">
        <v>5.2534085515486113E-2</v>
      </c>
      <c r="N589" s="199">
        <v>5.5188474129690808E-2</v>
      </c>
    </row>
    <row r="590" spans="1:14">
      <c r="C590" s="29">
        <v>12</v>
      </c>
      <c r="D590" s="34" t="s">
        <v>1034</v>
      </c>
      <c r="E590" s="199">
        <v>3.9725782774994174E-2</v>
      </c>
      <c r="F590" s="199">
        <v>5.3046208503239205E-2</v>
      </c>
      <c r="G590" s="199">
        <v>5.1233282100402323E-2</v>
      </c>
      <c r="H590" s="199">
        <v>5.2401051695470949E-2</v>
      </c>
      <c r="I590" s="199">
        <v>4.3745937197559918E-2</v>
      </c>
      <c r="J590" s="199">
        <v>4.2112757224439294E-2</v>
      </c>
      <c r="K590" s="199">
        <v>5.2934108476074472E-2</v>
      </c>
      <c r="L590" s="199">
        <v>5.7113628858378569E-2</v>
      </c>
      <c r="M590" s="199">
        <v>5.2146508589608405E-2</v>
      </c>
      <c r="N590" s="199">
        <v>4.8075241071561227E-2</v>
      </c>
    </row>
    <row r="591" spans="1:14">
      <c r="C591" s="29">
        <v>13</v>
      </c>
      <c r="D591" s="34" t="s">
        <v>1035</v>
      </c>
      <c r="E591" s="199">
        <v>3.9272320453944826E-2</v>
      </c>
      <c r="F591" s="199">
        <v>5.1788462982822553E-2</v>
      </c>
      <c r="G591" s="199">
        <v>5.0439207837511067E-2</v>
      </c>
      <c r="H591" s="199">
        <v>5.0768370160296554E-2</v>
      </c>
      <c r="I591" s="199">
        <v>4.1201054249176271E-2</v>
      </c>
      <c r="J591" s="199">
        <v>4.0614412914400537E-2</v>
      </c>
      <c r="K591" s="199">
        <v>5.0958328172022498E-2</v>
      </c>
      <c r="L591" s="199">
        <v>5.6816560657801274E-2</v>
      </c>
      <c r="M591" s="199">
        <v>5.3592484927113604E-2</v>
      </c>
      <c r="N591" s="199">
        <v>5.726859854094131E-2</v>
      </c>
    </row>
    <row r="592" spans="1:14">
      <c r="C592" s="29">
        <v>14</v>
      </c>
      <c r="D592" s="34" t="s">
        <v>1036</v>
      </c>
      <c r="E592" s="199">
        <v>3.8053094089666832E-2</v>
      </c>
      <c r="F592" s="199">
        <v>5.1475267024183827E-2</v>
      </c>
      <c r="G592" s="199">
        <v>5.046454466461308E-2</v>
      </c>
      <c r="H592" s="199">
        <v>5.2409543224539286E-2</v>
      </c>
      <c r="I592" s="199">
        <v>4.2147706865304557E-2</v>
      </c>
      <c r="J592" s="199">
        <v>3.7877756571030333E-2</v>
      </c>
      <c r="K592" s="199">
        <v>5.1543247196888888E-2</v>
      </c>
      <c r="L592" s="199">
        <v>5.5932126603128143E-2</v>
      </c>
      <c r="M592" s="199">
        <v>5.0693482835481203E-2</v>
      </c>
      <c r="N592" s="199">
        <v>4.5672796430110296E-2</v>
      </c>
    </row>
    <row r="593" spans="1:14">
      <c r="C593" s="29">
        <v>15</v>
      </c>
      <c r="D593" s="34" t="s">
        <v>1037</v>
      </c>
      <c r="E593" s="199">
        <v>3.4947374914029022E-2</v>
      </c>
      <c r="F593" s="199">
        <v>5.2422446877261983E-2</v>
      </c>
      <c r="G593" s="199">
        <v>5.0200839476248031E-2</v>
      </c>
      <c r="H593" s="199">
        <v>5.0455881890581894E-2</v>
      </c>
      <c r="I593" s="199">
        <v>4.0443358321099444E-2</v>
      </c>
      <c r="J593" s="199">
        <v>3.8326357462618005E-2</v>
      </c>
      <c r="K593" s="199">
        <v>5.2076105159958093E-2</v>
      </c>
      <c r="L593" s="199">
        <v>5.5581803034713835E-2</v>
      </c>
      <c r="M593" s="199">
        <v>5.473265757155632E-2</v>
      </c>
      <c r="N593" s="199">
        <v>3.7463634967881888E-2</v>
      </c>
    </row>
    <row r="594" spans="1:14">
      <c r="C594" s="29">
        <v>16</v>
      </c>
      <c r="D594" s="34" t="s">
        <v>1038</v>
      </c>
      <c r="E594" s="199">
        <v>3.6383884302510841E-2</v>
      </c>
      <c r="F594" s="199">
        <v>4.9754530455581043E-2</v>
      </c>
      <c r="G594" s="199">
        <v>4.7847684967174064E-2</v>
      </c>
      <c r="H594" s="199">
        <v>4.3664400488032121E-2</v>
      </c>
      <c r="I594" s="199">
        <v>3.9910048460083711E-2</v>
      </c>
      <c r="J594" s="199">
        <v>3.9454999778010508E-2</v>
      </c>
      <c r="K594" s="199">
        <v>5.0710250517868746E-2</v>
      </c>
      <c r="L594" s="199">
        <v>5.0906082043023451E-2</v>
      </c>
      <c r="M594" s="199">
        <v>4.7432140729477851E-2</v>
      </c>
      <c r="N594" s="199">
        <v>3.6310453615701961E-2</v>
      </c>
    </row>
    <row r="595" spans="1:14">
      <c r="C595" s="29">
        <v>17</v>
      </c>
      <c r="D595" s="34" t="s">
        <v>1039</v>
      </c>
      <c r="E595" s="199">
        <v>4.2197009479887297E-2</v>
      </c>
      <c r="F595" s="199">
        <v>4.5889257610562562E-2</v>
      </c>
      <c r="G595" s="199">
        <v>4.5165368712231292E-2</v>
      </c>
      <c r="H595" s="199">
        <v>4.0051537920425394E-2</v>
      </c>
      <c r="I595" s="199">
        <v>3.7909435540323097E-2</v>
      </c>
      <c r="J595" s="199">
        <v>4.0316909313429523E-2</v>
      </c>
      <c r="K595" s="199">
        <v>4.6291853406682723E-2</v>
      </c>
      <c r="L595" s="199">
        <v>4.6318931926976475E-2</v>
      </c>
      <c r="M595" s="199">
        <v>3.5365513309263324E-2</v>
      </c>
      <c r="N595" s="199">
        <v>3.4960948140517353E-2</v>
      </c>
    </row>
    <row r="596" spans="1:14">
      <c r="C596" s="29">
        <v>18</v>
      </c>
      <c r="D596" s="34" t="s">
        <v>1040</v>
      </c>
      <c r="E596" s="199">
        <v>4.4856902688184576E-2</v>
      </c>
      <c r="F596" s="199">
        <v>3.7723769342295418E-2</v>
      </c>
      <c r="G596" s="199">
        <v>4.3347447398031709E-2</v>
      </c>
      <c r="H596" s="199">
        <v>3.9281029636655737E-2</v>
      </c>
      <c r="I596" s="199">
        <v>4.1867415447192267E-2</v>
      </c>
      <c r="J596" s="199">
        <v>4.6660822722580902E-2</v>
      </c>
      <c r="K596" s="199">
        <v>3.8355337500305446E-2</v>
      </c>
      <c r="L596" s="199">
        <v>4.3841308741731241E-2</v>
      </c>
      <c r="M596" s="199">
        <v>3.4946214008586607E-2</v>
      </c>
      <c r="N596" s="199">
        <v>3.8659211236633961E-2</v>
      </c>
    </row>
    <row r="597" spans="1:14">
      <c r="C597" s="29">
        <v>19</v>
      </c>
      <c r="D597" s="34" t="s">
        <v>1041</v>
      </c>
      <c r="E597" s="199">
        <v>4.9186419018074037E-2</v>
      </c>
      <c r="F597" s="199">
        <v>3.3319657412688136E-2</v>
      </c>
      <c r="G597" s="199">
        <v>4.2837884479205939E-2</v>
      </c>
      <c r="H597" s="199">
        <v>3.9250024668980595E-2</v>
      </c>
      <c r="I597" s="199">
        <v>3.9377928074622266E-2</v>
      </c>
      <c r="J597" s="199">
        <v>4.7325937158322222E-2</v>
      </c>
      <c r="K597" s="199">
        <v>3.1718713846826702E-2</v>
      </c>
      <c r="L597" s="199">
        <v>4.1558725374303114E-2</v>
      </c>
      <c r="M597" s="199">
        <v>3.4562443767684775E-2</v>
      </c>
      <c r="N597" s="199">
        <v>4.2481291261991669E-2</v>
      </c>
    </row>
    <row r="598" spans="1:14">
      <c r="C598" s="29">
        <v>20</v>
      </c>
      <c r="D598" s="34" t="s">
        <v>1042</v>
      </c>
      <c r="E598" s="199">
        <v>5.0633464990225363E-2</v>
      </c>
      <c r="F598" s="199">
        <v>3.5215607249494102E-2</v>
      </c>
      <c r="G598" s="199">
        <v>4.0930974638984617E-2</v>
      </c>
      <c r="H598" s="199">
        <v>3.8435447526661441E-2</v>
      </c>
      <c r="I598" s="199">
        <v>3.8153617879109016E-2</v>
      </c>
      <c r="J598" s="199">
        <v>5.0635225920937707E-2</v>
      </c>
      <c r="K598" s="199">
        <v>3.2671368268865533E-2</v>
      </c>
      <c r="L598" s="199">
        <v>3.9759954015447428E-2</v>
      </c>
      <c r="M598" s="199">
        <v>3.2714791671057862E-2</v>
      </c>
      <c r="N598" s="199">
        <v>4.7115412236084217E-2</v>
      </c>
    </row>
    <row r="599" spans="1:14">
      <c r="C599" s="29">
        <v>21</v>
      </c>
      <c r="D599" s="34" t="s">
        <v>1043</v>
      </c>
      <c r="E599" s="199">
        <v>5.3914809967805177E-2</v>
      </c>
      <c r="F599" s="199">
        <v>4.0238124575521804E-2</v>
      </c>
      <c r="G599" s="199">
        <v>4.0378936675769118E-2</v>
      </c>
      <c r="H599" s="199">
        <v>3.8206960075268907E-2</v>
      </c>
      <c r="I599" s="199">
        <v>4.0281844533336039E-2</v>
      </c>
      <c r="J599" s="199">
        <v>5.3732239976985945E-2</v>
      </c>
      <c r="K599" s="199">
        <v>3.6891543477966797E-2</v>
      </c>
      <c r="L599" s="199">
        <v>3.7338940126443315E-2</v>
      </c>
      <c r="M599" s="199">
        <v>3.2089508416686209E-2</v>
      </c>
      <c r="N599" s="199">
        <v>4.877475719500176E-2</v>
      </c>
    </row>
    <row r="600" spans="1:14">
      <c r="C600" s="29">
        <v>22</v>
      </c>
      <c r="D600" s="34" t="s">
        <v>1044</v>
      </c>
      <c r="E600" s="199">
        <v>5.0296221979274962E-2</v>
      </c>
      <c r="F600" s="199">
        <v>3.9041808312834804E-2</v>
      </c>
      <c r="G600" s="199">
        <v>3.7828412147343997E-2</v>
      </c>
      <c r="H600" s="199">
        <v>3.7578848202029759E-2</v>
      </c>
      <c r="I600" s="199">
        <v>4.124311070627406E-2</v>
      </c>
      <c r="J600" s="199">
        <v>5.0205633861015238E-2</v>
      </c>
      <c r="K600" s="199">
        <v>3.6112320913836246E-2</v>
      </c>
      <c r="L600" s="199">
        <v>3.258133521916752E-2</v>
      </c>
      <c r="M600" s="199">
        <v>3.0958641002184536E-2</v>
      </c>
      <c r="N600" s="199">
        <v>4.8335949997771299E-2</v>
      </c>
    </row>
    <row r="601" spans="1:14">
      <c r="C601" s="29">
        <v>23</v>
      </c>
      <c r="D601" s="34" t="s">
        <v>1045</v>
      </c>
      <c r="E601" s="199">
        <v>4.3210336739225169E-2</v>
      </c>
      <c r="F601" s="199">
        <v>3.6556625401301751E-2</v>
      </c>
      <c r="G601" s="199">
        <v>3.4742807916416735E-2</v>
      </c>
      <c r="H601" s="199">
        <v>3.5165642733415367E-2</v>
      </c>
      <c r="I601" s="199">
        <v>3.8235181917116841E-2</v>
      </c>
      <c r="J601" s="199">
        <v>4.3396157930171216E-2</v>
      </c>
      <c r="K601" s="199">
        <v>3.5890155648988488E-2</v>
      </c>
      <c r="L601" s="199">
        <v>2.9209414713163583E-2</v>
      </c>
      <c r="M601" s="199">
        <v>3.0664962305711904E-2</v>
      </c>
      <c r="N601" s="199">
        <v>3.9301870626166968E-2</v>
      </c>
    </row>
    <row r="602" spans="1:14">
      <c r="C602" s="29">
        <v>24</v>
      </c>
      <c r="D602" s="34" t="s">
        <v>1046</v>
      </c>
      <c r="E602" s="199">
        <v>3.5178842198301849E-2</v>
      </c>
      <c r="F602" s="199">
        <v>3.580356104617971E-2</v>
      </c>
      <c r="G602" s="199">
        <v>3.2608088931575054E-2</v>
      </c>
      <c r="H602" s="199">
        <v>3.386474048014676E-2</v>
      </c>
      <c r="I602" s="199">
        <v>4.0434692142061107E-2</v>
      </c>
      <c r="J602" s="199">
        <v>3.6972629731508264E-2</v>
      </c>
      <c r="K602" s="199">
        <v>3.5883067153433659E-2</v>
      </c>
      <c r="L602" s="199">
        <v>2.7055409049600968E-2</v>
      </c>
      <c r="M602" s="199">
        <v>3.091225584081176E-2</v>
      </c>
      <c r="N602" s="199">
        <v>2.8492157435701871E-2</v>
      </c>
    </row>
    <row r="603" spans="1:14">
      <c r="A603" s="16" t="s">
        <v>434</v>
      </c>
      <c r="B603" s="16" t="s">
        <v>311</v>
      </c>
      <c r="C603" s="29">
        <v>1</v>
      </c>
      <c r="D603" s="34" t="s">
        <v>1047</v>
      </c>
      <c r="E603" s="199">
        <v>3.2684984031601118E-2</v>
      </c>
      <c r="F603" s="199">
        <v>3.4807197414289968E-2</v>
      </c>
      <c r="G603" s="199">
        <v>3.2789970036971768E-2</v>
      </c>
      <c r="H603" s="199">
        <v>3.5444406843425355E-2</v>
      </c>
      <c r="I603" s="199">
        <v>3.8948138902291034E-2</v>
      </c>
      <c r="J603" s="199">
        <v>3.3513432621666256E-2</v>
      </c>
      <c r="K603" s="199">
        <v>3.6300325271620082E-2</v>
      </c>
      <c r="L603" s="199">
        <v>2.7035922363196515E-2</v>
      </c>
      <c r="M603" s="199">
        <v>3.1357237645068682E-2</v>
      </c>
      <c r="N603" s="199">
        <v>2.2933620265873155E-2</v>
      </c>
    </row>
    <row r="604" spans="1:14">
      <c r="C604" s="29">
        <v>2</v>
      </c>
      <c r="D604" s="34" t="s">
        <v>1048</v>
      </c>
      <c r="E604" s="199">
        <v>3.1486877274281913E-2</v>
      </c>
      <c r="F604" s="199">
        <v>3.442743079632965E-2</v>
      </c>
      <c r="G604" s="199">
        <v>3.1709347264703806E-2</v>
      </c>
      <c r="H604" s="199">
        <v>3.5042903485636899E-2</v>
      </c>
      <c r="I604" s="199">
        <v>3.9007476090080172E-2</v>
      </c>
      <c r="J604" s="199">
        <v>3.1407825416711735E-2</v>
      </c>
      <c r="K604" s="199">
        <v>3.434293492332418E-2</v>
      </c>
      <c r="L604" s="199">
        <v>2.6483254050187539E-2</v>
      </c>
      <c r="M604" s="199">
        <v>3.1870908019207819E-2</v>
      </c>
      <c r="N604" s="199">
        <v>2.1753331016321067E-2</v>
      </c>
    </row>
    <row r="605" spans="1:14">
      <c r="C605" s="29">
        <v>3</v>
      </c>
      <c r="D605" s="34" t="s">
        <v>1049</v>
      </c>
      <c r="E605" s="199">
        <v>3.0678069232326431E-2</v>
      </c>
      <c r="F605" s="199">
        <v>3.4706088692101796E-2</v>
      </c>
      <c r="G605" s="199">
        <v>3.1911586293977792E-2</v>
      </c>
      <c r="H605" s="199">
        <v>3.5163932155298512E-2</v>
      </c>
      <c r="I605" s="199">
        <v>3.946028476312001E-2</v>
      </c>
      <c r="J605" s="199">
        <v>3.0163851055333823E-2</v>
      </c>
      <c r="K605" s="199">
        <v>3.4600796165772163E-2</v>
      </c>
      <c r="L605" s="199">
        <v>2.5222833914554744E-2</v>
      </c>
      <c r="M605" s="199">
        <v>3.1288720169404191E-2</v>
      </c>
      <c r="N605" s="199">
        <v>1.9755774815214715E-2</v>
      </c>
    </row>
    <row r="606" spans="1:14">
      <c r="C606" s="29">
        <v>4</v>
      </c>
      <c r="D606" s="34" t="s">
        <v>1050</v>
      </c>
      <c r="E606" s="199">
        <v>3.1451089647676081E-2</v>
      </c>
      <c r="F606" s="199">
        <v>3.5531636656301886E-2</v>
      </c>
      <c r="G606" s="199">
        <v>3.2566827421706593E-2</v>
      </c>
      <c r="H606" s="199">
        <v>3.5653430871149555E-2</v>
      </c>
      <c r="I606" s="199">
        <v>3.7310036938058698E-2</v>
      </c>
      <c r="J606" s="199">
        <v>2.9671450662140199E-2</v>
      </c>
      <c r="K606" s="199">
        <v>3.459537609129363E-2</v>
      </c>
      <c r="L606" s="199">
        <v>2.6611343944739706E-2</v>
      </c>
      <c r="M606" s="199">
        <v>3.199462715115798E-2</v>
      </c>
      <c r="N606" s="199">
        <v>1.8942508844167406E-2</v>
      </c>
    </row>
    <row r="607" spans="1:14">
      <c r="C607" s="29">
        <v>5</v>
      </c>
      <c r="D607" s="34" t="s">
        <v>1051</v>
      </c>
      <c r="E607" s="199">
        <v>3.4294377538134045E-2</v>
      </c>
      <c r="F607" s="199">
        <v>3.5304706386760851E-2</v>
      </c>
      <c r="G607" s="199">
        <v>3.3565588366144872E-2</v>
      </c>
      <c r="H607" s="199">
        <v>3.46120122581067E-2</v>
      </c>
      <c r="I607" s="199">
        <v>4.0013307353314841E-2</v>
      </c>
      <c r="J607" s="199">
        <v>3.3093467552694884E-2</v>
      </c>
      <c r="K607" s="199">
        <v>3.5139829767451947E-2</v>
      </c>
      <c r="L607" s="199">
        <v>3.0357577540554365E-2</v>
      </c>
      <c r="M607" s="199">
        <v>3.4307702965534106E-2</v>
      </c>
      <c r="N607" s="199">
        <v>1.9010525512785668E-2</v>
      </c>
    </row>
    <row r="608" spans="1:14">
      <c r="C608" s="29">
        <v>6</v>
      </c>
      <c r="D608" s="34" t="s">
        <v>1052</v>
      </c>
      <c r="E608" s="199">
        <v>4.0661929511970354E-2</v>
      </c>
      <c r="F608" s="199">
        <v>3.8402170902879049E-2</v>
      </c>
      <c r="G608" s="199">
        <v>3.7318458402846762E-2</v>
      </c>
      <c r="H608" s="199">
        <v>3.7789267213467988E-2</v>
      </c>
      <c r="I608" s="199">
        <v>4.0083720816157964E-2</v>
      </c>
      <c r="J608" s="199">
        <v>3.9470293869484689E-2</v>
      </c>
      <c r="K608" s="199">
        <v>3.8015706896186198E-2</v>
      </c>
      <c r="L608" s="199">
        <v>3.8185920574220628E-2</v>
      </c>
      <c r="M608" s="199">
        <v>4.4309821697807415E-2</v>
      </c>
      <c r="N608" s="199">
        <v>3.5372668662000097E-2</v>
      </c>
    </row>
    <row r="609" spans="3:14">
      <c r="C609" s="29">
        <v>7</v>
      </c>
      <c r="D609" s="34" t="s">
        <v>1053</v>
      </c>
      <c r="E609" s="199">
        <v>4.9692495661128974E-2</v>
      </c>
      <c r="F609" s="199">
        <v>4.003272726565258E-2</v>
      </c>
      <c r="G609" s="199">
        <v>4.1083875921990913E-2</v>
      </c>
      <c r="H609" s="199">
        <v>4.3942324398785315E-2</v>
      </c>
      <c r="I609" s="199">
        <v>4.1952974091933347E-2</v>
      </c>
      <c r="J609" s="199">
        <v>4.9145343456850218E-2</v>
      </c>
      <c r="K609" s="199">
        <v>3.6500268461565101E-2</v>
      </c>
      <c r="L609" s="199">
        <v>4.415080870729407E-2</v>
      </c>
      <c r="M609" s="199">
        <v>4.6240784062413769E-2</v>
      </c>
      <c r="N609" s="199">
        <v>4.1231704516386809E-2</v>
      </c>
    </row>
    <row r="610" spans="3:14">
      <c r="C610" s="29">
        <v>8</v>
      </c>
      <c r="D610" s="34" t="s">
        <v>1054</v>
      </c>
      <c r="E610" s="199">
        <v>5.436011190249352E-2</v>
      </c>
      <c r="F610" s="199">
        <v>4.2519663218252311E-2</v>
      </c>
      <c r="G610" s="199">
        <v>4.4493799208095944E-2</v>
      </c>
      <c r="H610" s="199">
        <v>4.5615021374066866E-2</v>
      </c>
      <c r="I610" s="199">
        <v>4.6404318059457703E-2</v>
      </c>
      <c r="J610" s="199">
        <v>5.1175959860955238E-2</v>
      </c>
      <c r="K610" s="199">
        <v>4.2920610490328713E-2</v>
      </c>
      <c r="L610" s="199">
        <v>4.8304113804873455E-2</v>
      </c>
      <c r="M610" s="199">
        <v>5.1498172951592938E-2</v>
      </c>
      <c r="N610" s="199">
        <v>4.5219881885720785E-2</v>
      </c>
    </row>
    <row r="611" spans="3:14">
      <c r="C611" s="29">
        <v>9</v>
      </c>
      <c r="D611" s="34" t="s">
        <v>1055</v>
      </c>
      <c r="E611" s="199">
        <v>4.9084421769455801E-2</v>
      </c>
      <c r="F611" s="199">
        <v>4.83922562184129E-2</v>
      </c>
      <c r="G611" s="199">
        <v>4.7362021755921885E-2</v>
      </c>
      <c r="H611" s="199">
        <v>4.8080573911445823E-2</v>
      </c>
      <c r="I611" s="199">
        <v>4.5674338789233909E-2</v>
      </c>
      <c r="J611" s="199">
        <v>4.649285671538287E-2</v>
      </c>
      <c r="K611" s="199">
        <v>4.9699612757262882E-2</v>
      </c>
      <c r="L611" s="199">
        <v>5.2647646022447335E-2</v>
      </c>
      <c r="M611" s="199">
        <v>5.3413881118050129E-2</v>
      </c>
      <c r="N611" s="199">
        <v>6.3207490048894657E-2</v>
      </c>
    </row>
    <row r="612" spans="3:14">
      <c r="C612" s="29">
        <v>10</v>
      </c>
      <c r="D612" s="34" t="s">
        <v>1056</v>
      </c>
      <c r="E612" s="199">
        <v>4.4810264603052055E-2</v>
      </c>
      <c r="F612" s="199">
        <v>5.0667187616189449E-2</v>
      </c>
      <c r="G612" s="199">
        <v>4.9358517456643304E-2</v>
      </c>
      <c r="H612" s="199">
        <v>4.9648001742633376E-2</v>
      </c>
      <c r="I612" s="199">
        <v>5.4336381462693317E-2</v>
      </c>
      <c r="J612" s="199">
        <v>4.6601867769975228E-2</v>
      </c>
      <c r="K612" s="199">
        <v>5.2545175841126009E-2</v>
      </c>
      <c r="L612" s="199">
        <v>5.5187680311346431E-2</v>
      </c>
      <c r="M612" s="199">
        <v>5.2924988281236172E-2</v>
      </c>
      <c r="N612" s="199">
        <v>6.7316497029538694E-2</v>
      </c>
    </row>
    <row r="613" spans="3:14">
      <c r="C613" s="29">
        <v>11</v>
      </c>
      <c r="D613" s="34" t="s">
        <v>1057</v>
      </c>
      <c r="E613" s="199">
        <v>4.2601292872494978E-2</v>
      </c>
      <c r="F613" s="199">
        <v>5.1900734818925605E-2</v>
      </c>
      <c r="G613" s="199">
        <v>4.9831743458025525E-2</v>
      </c>
      <c r="H613" s="199">
        <v>4.7239766767994996E-2</v>
      </c>
      <c r="I613" s="199">
        <v>5.1740972868796108E-2</v>
      </c>
      <c r="J613" s="199">
        <v>4.469602496213692E-2</v>
      </c>
      <c r="K613" s="199">
        <v>5.3762318318384003E-2</v>
      </c>
      <c r="L613" s="199">
        <v>5.440923895927726E-2</v>
      </c>
      <c r="M613" s="199">
        <v>5.21418832580203E-2</v>
      </c>
      <c r="N613" s="199">
        <v>5.8371371544119741E-2</v>
      </c>
    </row>
    <row r="614" spans="3:14">
      <c r="C614" s="29">
        <v>12</v>
      </c>
      <c r="D614" s="34" t="s">
        <v>1058</v>
      </c>
      <c r="E614" s="199">
        <v>4.0602199549262794E-2</v>
      </c>
      <c r="F614" s="199">
        <v>5.1716814370103871E-2</v>
      </c>
      <c r="G614" s="199">
        <v>5.0016750522564664E-2</v>
      </c>
      <c r="H614" s="199">
        <v>4.9207800617436896E-2</v>
      </c>
      <c r="I614" s="199">
        <v>4.7820498941358633E-2</v>
      </c>
      <c r="J614" s="199">
        <v>4.4276316194656183E-2</v>
      </c>
      <c r="K614" s="199">
        <v>5.4296651324498332E-2</v>
      </c>
      <c r="L614" s="199">
        <v>5.5821718800529885E-2</v>
      </c>
      <c r="M614" s="199">
        <v>5.1319673550046324E-2</v>
      </c>
      <c r="N614" s="199">
        <v>5.9484977785222562E-2</v>
      </c>
    </row>
    <row r="615" spans="3:14">
      <c r="C615" s="29">
        <v>13</v>
      </c>
      <c r="D615" s="34" t="s">
        <v>1059</v>
      </c>
      <c r="E615" s="199">
        <v>4.1123447802903848E-2</v>
      </c>
      <c r="F615" s="199">
        <v>5.0409752453085772E-2</v>
      </c>
      <c r="G615" s="199">
        <v>4.9451654027060518E-2</v>
      </c>
      <c r="H615" s="199">
        <v>4.7221819977313013E-2</v>
      </c>
      <c r="I615" s="199">
        <v>4.3811942255158609E-2</v>
      </c>
      <c r="J615" s="199">
        <v>3.9013760608422342E-2</v>
      </c>
      <c r="K615" s="199">
        <v>5.1436338922917046E-2</v>
      </c>
      <c r="L615" s="199">
        <v>5.5073074246626039E-2</v>
      </c>
      <c r="M615" s="199">
        <v>5.2078253867950564E-2</v>
      </c>
      <c r="N615" s="199">
        <v>6.3682006337019662E-2</v>
      </c>
    </row>
    <row r="616" spans="3:14">
      <c r="C616" s="29">
        <v>14</v>
      </c>
      <c r="D616" s="34" t="s">
        <v>1060</v>
      </c>
      <c r="E616" s="199">
        <v>3.7455734520618317E-2</v>
      </c>
      <c r="F616" s="199">
        <v>5.1183647048341892E-2</v>
      </c>
      <c r="G616" s="199">
        <v>5.0905689343725698E-2</v>
      </c>
      <c r="H616" s="199">
        <v>5.1839360968624182E-2</v>
      </c>
      <c r="I616" s="199">
        <v>4.1269541549019705E-2</v>
      </c>
      <c r="J616" s="199">
        <v>3.7143392942200218E-2</v>
      </c>
      <c r="K616" s="199">
        <v>5.2719745408069729E-2</v>
      </c>
      <c r="L616" s="199">
        <v>5.6710081267782118E-2</v>
      </c>
      <c r="M616" s="199">
        <v>5.3906482157729078E-2</v>
      </c>
      <c r="N616" s="199">
        <v>5.6165764356651667E-2</v>
      </c>
    </row>
    <row r="617" spans="3:14">
      <c r="C617" s="29">
        <v>15</v>
      </c>
      <c r="D617" s="34" t="s">
        <v>1061</v>
      </c>
      <c r="E617" s="199">
        <v>3.6082764649157384E-2</v>
      </c>
      <c r="F617" s="199">
        <v>5.0917137644748048E-2</v>
      </c>
      <c r="G617" s="199">
        <v>5.040345686806242E-2</v>
      </c>
      <c r="H617" s="199">
        <v>4.9303872031306387E-2</v>
      </c>
      <c r="I617" s="199">
        <v>3.9480327546551001E-2</v>
      </c>
      <c r="J617" s="199">
        <v>3.6427128273491115E-2</v>
      </c>
      <c r="K617" s="199">
        <v>5.2190232910673047E-2</v>
      </c>
      <c r="L617" s="199">
        <v>5.6331314128734544E-2</v>
      </c>
      <c r="M617" s="199">
        <v>5.5814352531767072E-2</v>
      </c>
      <c r="N617" s="199">
        <v>4.6077958838446002E-2</v>
      </c>
    </row>
    <row r="618" spans="3:14">
      <c r="C618" s="29">
        <v>16</v>
      </c>
      <c r="D618" s="34" t="s">
        <v>1062</v>
      </c>
      <c r="E618" s="199">
        <v>3.7350808118062316E-2</v>
      </c>
      <c r="F618" s="199">
        <v>4.8157454676433606E-2</v>
      </c>
      <c r="G618" s="199">
        <v>4.8376148868449313E-2</v>
      </c>
      <c r="H618" s="199">
        <v>4.4320440844966308E-2</v>
      </c>
      <c r="I618" s="199">
        <v>3.9136435578208589E-2</v>
      </c>
      <c r="J618" s="199">
        <v>3.7623754703612913E-2</v>
      </c>
      <c r="K618" s="199">
        <v>4.9627688848585275E-2</v>
      </c>
      <c r="L618" s="199">
        <v>5.1340129815149918E-2</v>
      </c>
      <c r="M618" s="199">
        <v>4.8168796720195695E-2</v>
      </c>
      <c r="N618" s="199">
        <v>4.4296722316749082E-2</v>
      </c>
    </row>
    <row r="619" spans="3:14">
      <c r="C619" s="29">
        <v>17</v>
      </c>
      <c r="D619" s="34" t="s">
        <v>1063</v>
      </c>
      <c r="E619" s="199">
        <v>4.11293149766946E-2</v>
      </c>
      <c r="F619" s="199">
        <v>4.4995802161299919E-2</v>
      </c>
      <c r="G619" s="199">
        <v>4.5908179682480732E-2</v>
      </c>
      <c r="H619" s="199">
        <v>4.1228993982553253E-2</v>
      </c>
      <c r="I619" s="199">
        <v>3.5716108213624947E-2</v>
      </c>
      <c r="J619" s="199">
        <v>4.0965933679833345E-2</v>
      </c>
      <c r="K619" s="199">
        <v>4.5732693822103182E-2</v>
      </c>
      <c r="L619" s="199">
        <v>4.6342158164700983E-2</v>
      </c>
      <c r="M619" s="199">
        <v>3.6206218555071785E-2</v>
      </c>
      <c r="N619" s="199">
        <v>4.0547803581731094E-2</v>
      </c>
    </row>
    <row r="620" spans="3:14">
      <c r="C620" s="29">
        <v>18</v>
      </c>
      <c r="D620" s="34" t="s">
        <v>1064</v>
      </c>
      <c r="E620" s="199">
        <v>4.5444619166272293E-2</v>
      </c>
      <c r="F620" s="199">
        <v>3.6277239225152538E-2</v>
      </c>
      <c r="G620" s="199">
        <v>4.2749765784214827E-2</v>
      </c>
      <c r="H620" s="199">
        <v>4.0063686430083845E-2</v>
      </c>
      <c r="I620" s="199">
        <v>3.8632465063252783E-2</v>
      </c>
      <c r="J620" s="199">
        <v>4.8535383600523486E-2</v>
      </c>
      <c r="K620" s="199">
        <v>3.6052872490781318E-2</v>
      </c>
      <c r="L620" s="199">
        <v>4.2244994595372121E-2</v>
      </c>
      <c r="M620" s="199">
        <v>3.5361169688542984E-2</v>
      </c>
      <c r="N620" s="199">
        <v>3.6942920144963524E-2</v>
      </c>
    </row>
    <row r="621" spans="3:14">
      <c r="C621" s="29">
        <v>19</v>
      </c>
      <c r="D621" s="34" t="s">
        <v>1065</v>
      </c>
      <c r="E621" s="199">
        <v>4.7893522035069372E-2</v>
      </c>
      <c r="F621" s="199">
        <v>3.3430912854187388E-2</v>
      </c>
      <c r="G621" s="199">
        <v>4.2679591839658505E-2</v>
      </c>
      <c r="H621" s="199">
        <v>3.9577384486323031E-2</v>
      </c>
      <c r="I621" s="199">
        <v>3.9498919865391606E-2</v>
      </c>
      <c r="J621" s="199">
        <v>4.9325380177466301E-2</v>
      </c>
      <c r="K621" s="199">
        <v>3.1144827172051678E-2</v>
      </c>
      <c r="L621" s="199">
        <v>4.0816785782265677E-2</v>
      </c>
      <c r="M621" s="199">
        <v>3.5424967633288396E-2</v>
      </c>
      <c r="N621" s="199">
        <v>3.9068774454326272E-2</v>
      </c>
    </row>
    <row r="622" spans="3:14">
      <c r="C622" s="29">
        <v>20</v>
      </c>
      <c r="D622" s="34" t="s">
        <v>1066</v>
      </c>
      <c r="E622" s="199">
        <v>4.9845827314217515E-2</v>
      </c>
      <c r="F622" s="199">
        <v>3.6697030520888581E-2</v>
      </c>
      <c r="G622" s="199">
        <v>4.1576539526285566E-2</v>
      </c>
      <c r="H622" s="199">
        <v>3.9384344319049962E-2</v>
      </c>
      <c r="I622" s="199">
        <v>4.1047620466688292E-2</v>
      </c>
      <c r="J622" s="199">
        <v>5.2951277365545717E-2</v>
      </c>
      <c r="K622" s="199">
        <v>3.3147160969784671E-2</v>
      </c>
      <c r="L622" s="199">
        <v>4.0111201235466611E-2</v>
      </c>
      <c r="M622" s="199">
        <v>3.488955370598637E-2</v>
      </c>
      <c r="N622" s="199">
        <v>3.2970213233589771E-2</v>
      </c>
    </row>
    <row r="623" spans="3:14">
      <c r="C623" s="29">
        <v>21</v>
      </c>
      <c r="D623" s="34" t="s">
        <v>1067</v>
      </c>
      <c r="E623" s="199">
        <v>5.3121425637719745E-2</v>
      </c>
      <c r="F623" s="199">
        <v>3.9704391244774755E-2</v>
      </c>
      <c r="G623" s="199">
        <v>4.0369622311782684E-2</v>
      </c>
      <c r="H623" s="199">
        <v>3.9083511240243264E-2</v>
      </c>
      <c r="I623" s="199">
        <v>3.8165019883891628E-2</v>
      </c>
      <c r="J623" s="199">
        <v>5.3076284648465651E-2</v>
      </c>
      <c r="K623" s="199">
        <v>3.7050262125354137E-2</v>
      </c>
      <c r="L623" s="199">
        <v>3.7513143651882339E-2</v>
      </c>
      <c r="M623" s="199">
        <v>3.4105015968027196E-2</v>
      </c>
      <c r="N623" s="199">
        <v>3.3901641495609189E-2</v>
      </c>
    </row>
    <row r="624" spans="3:14">
      <c r="C624" s="29">
        <v>22</v>
      </c>
      <c r="D624" s="34" t="s">
        <v>1068</v>
      </c>
      <c r="E624" s="199">
        <v>4.8600228451959368E-2</v>
      </c>
      <c r="F624" s="199">
        <v>3.8368458094511379E-2</v>
      </c>
      <c r="G624" s="199">
        <v>3.8495496216780785E-2</v>
      </c>
      <c r="H624" s="199">
        <v>3.8962538654302527E-2</v>
      </c>
      <c r="I624" s="199">
        <v>3.9103866055133218E-2</v>
      </c>
      <c r="J624" s="199">
        <v>4.8950554323964071E-2</v>
      </c>
      <c r="K624" s="199">
        <v>3.6863053712170642E-2</v>
      </c>
      <c r="L624" s="199">
        <v>3.3276911054182554E-2</v>
      </c>
      <c r="M624" s="199">
        <v>3.423800560713984E-2</v>
      </c>
      <c r="N624" s="199">
        <v>4.3660566416143042E-2</v>
      </c>
    </row>
    <row r="625" spans="1:14">
      <c r="C625" s="29">
        <v>23</v>
      </c>
      <c r="D625" s="34" t="s">
        <v>1069</v>
      </c>
      <c r="E625" s="199">
        <v>4.3593007390479846E-2</v>
      </c>
      <c r="F625" s="199">
        <v>3.6463981450886099E-2</v>
      </c>
      <c r="G625" s="199">
        <v>3.504059390439572E-2</v>
      </c>
      <c r="H625" s="199">
        <v>3.6758841009717852E-2</v>
      </c>
      <c r="I625" s="199">
        <v>4.1020325360305289E-2</v>
      </c>
      <c r="J625" s="199">
        <v>4.0585469193537026E-2</v>
      </c>
      <c r="K625" s="199">
        <v>3.6050929897716001E-2</v>
      </c>
      <c r="L625" s="199">
        <v>2.9375464171757567E-2</v>
      </c>
      <c r="M625" s="199">
        <v>3.3994949764807228E-2</v>
      </c>
      <c r="N625" s="199">
        <v>4.7448161296061622E-2</v>
      </c>
    </row>
    <row r="626" spans="1:14">
      <c r="C626" s="29">
        <v>24</v>
      </c>
      <c r="D626" s="34" t="s">
        <v>1070</v>
      </c>
      <c r="E626" s="199">
        <v>3.5951186342967192E-2</v>
      </c>
      <c r="F626" s="199">
        <v>3.4985578269490059E-2</v>
      </c>
      <c r="G626" s="199">
        <v>3.2034775517509523E-2</v>
      </c>
      <c r="H626" s="199">
        <v>3.4815764416068075E-2</v>
      </c>
      <c r="I626" s="199">
        <v>4.0364979086278507E-2</v>
      </c>
      <c r="J626" s="199">
        <v>3.5692990344949459E-2</v>
      </c>
      <c r="K626" s="199">
        <v>3.5264587410980076E-2</v>
      </c>
      <c r="L626" s="199">
        <v>2.6446682892857447E-2</v>
      </c>
      <c r="M626" s="199">
        <v>3.3143832929953897E-2</v>
      </c>
      <c r="N626" s="199">
        <v>4.2637115602463638E-2</v>
      </c>
    </row>
    <row r="627" spans="1:14">
      <c r="A627" s="16" t="s">
        <v>434</v>
      </c>
      <c r="B627" s="16" t="s">
        <v>420</v>
      </c>
      <c r="C627" s="29">
        <v>1</v>
      </c>
      <c r="D627" s="34" t="s">
        <v>1071</v>
      </c>
      <c r="E627" s="199">
        <v>3.2871283563177825E-2</v>
      </c>
      <c r="F627" s="199">
        <v>3.5838407635079929E-2</v>
      </c>
      <c r="G627" s="199">
        <v>3.2984732240618812E-2</v>
      </c>
      <c r="H627" s="199">
        <v>3.5981026788086977E-2</v>
      </c>
      <c r="I627" s="199">
        <v>4.4634795758900378E-2</v>
      </c>
      <c r="J627" s="199">
        <v>3.3183107554507388E-2</v>
      </c>
      <c r="K627" s="199">
        <v>3.6512049788211855E-2</v>
      </c>
      <c r="L627" s="199">
        <v>2.7879319216957691E-2</v>
      </c>
      <c r="M627" s="199">
        <v>3.3878640027185193E-2</v>
      </c>
      <c r="N627" s="199">
        <v>3.539297872661093E-2</v>
      </c>
    </row>
    <row r="628" spans="1:14">
      <c r="C628" s="29">
        <v>2</v>
      </c>
      <c r="D628" s="34" t="s">
        <v>1072</v>
      </c>
      <c r="E628" s="199">
        <v>3.2253079212295178E-2</v>
      </c>
      <c r="F628" s="199">
        <v>3.5691480772768881E-2</v>
      </c>
      <c r="G628" s="199">
        <v>3.1949550735137479E-2</v>
      </c>
      <c r="H628" s="199">
        <v>3.5707126078272165E-2</v>
      </c>
      <c r="I628" s="199">
        <v>4.2083430363871528E-2</v>
      </c>
      <c r="J628" s="199">
        <v>3.102447860822374E-2</v>
      </c>
      <c r="K628" s="199">
        <v>3.5421127303427564E-2</v>
      </c>
      <c r="L628" s="199">
        <v>2.7735616018626705E-2</v>
      </c>
      <c r="M628" s="199">
        <v>3.4910169626025299E-2</v>
      </c>
      <c r="N628" s="199">
        <v>2.7802364572740254E-2</v>
      </c>
    </row>
    <row r="629" spans="1:14">
      <c r="C629" s="29">
        <v>3</v>
      </c>
      <c r="D629" s="34" t="s">
        <v>1073</v>
      </c>
      <c r="E629" s="199">
        <v>3.0373715756041583E-2</v>
      </c>
      <c r="F629" s="199">
        <v>3.5720955322271833E-2</v>
      </c>
      <c r="G629" s="199">
        <v>3.2816171688258386E-2</v>
      </c>
      <c r="H629" s="199">
        <v>3.5645646372062419E-2</v>
      </c>
      <c r="I629" s="199">
        <v>3.9868889531082967E-2</v>
      </c>
      <c r="J629" s="199">
        <v>3.0996521954884539E-2</v>
      </c>
      <c r="K629" s="199">
        <v>3.613888558993008E-2</v>
      </c>
      <c r="L629" s="199">
        <v>2.6825082704914967E-2</v>
      </c>
      <c r="M629" s="199">
        <v>3.4178059113592736E-2</v>
      </c>
      <c r="N629" s="199">
        <v>2.7038577383775984E-2</v>
      </c>
    </row>
    <row r="630" spans="1:14">
      <c r="C630" s="29">
        <v>4</v>
      </c>
      <c r="D630" s="34" t="s">
        <v>1074</v>
      </c>
      <c r="E630" s="199">
        <v>3.1683570958177837E-2</v>
      </c>
      <c r="F630" s="199">
        <v>3.5838453761135487E-2</v>
      </c>
      <c r="G630" s="199">
        <v>3.2467026063347802E-2</v>
      </c>
      <c r="H630" s="199">
        <v>3.5253153032699096E-2</v>
      </c>
      <c r="I630" s="199">
        <v>3.5861364637489228E-2</v>
      </c>
      <c r="J630" s="199">
        <v>3.0442283217274033E-2</v>
      </c>
      <c r="K630" s="199">
        <v>3.5776137838436549E-2</v>
      </c>
      <c r="L630" s="199">
        <v>2.7065550323537815E-2</v>
      </c>
      <c r="M630" s="199">
        <v>3.4271189182241091E-2</v>
      </c>
      <c r="N630" s="199">
        <v>1.8878315928436973E-2</v>
      </c>
    </row>
    <row r="631" spans="1:14">
      <c r="C631" s="29">
        <v>5</v>
      </c>
      <c r="D631" s="34" t="s">
        <v>1075</v>
      </c>
      <c r="E631" s="199">
        <v>3.3499277816833893E-2</v>
      </c>
      <c r="F631" s="199">
        <v>3.7159842250120013E-2</v>
      </c>
      <c r="G631" s="199">
        <v>3.5127724439875989E-2</v>
      </c>
      <c r="H631" s="199">
        <v>3.6260730722506636E-2</v>
      </c>
      <c r="I631" s="199">
        <v>3.6126503505725029E-2</v>
      </c>
      <c r="J631" s="199">
        <v>3.1660764378867008E-2</v>
      </c>
      <c r="K631" s="199">
        <v>3.700017049419755E-2</v>
      </c>
      <c r="L631" s="199">
        <v>3.1699648250574586E-2</v>
      </c>
      <c r="M631" s="199">
        <v>3.6363657875283957E-2</v>
      </c>
      <c r="N631" s="199">
        <v>1.9907768226606209E-2</v>
      </c>
    </row>
    <row r="632" spans="1:14">
      <c r="C632" s="29">
        <v>6</v>
      </c>
      <c r="D632" s="34" t="s">
        <v>1076</v>
      </c>
      <c r="E632" s="199">
        <v>4.163964421572687E-2</v>
      </c>
      <c r="F632" s="199">
        <v>3.7344546351934856E-2</v>
      </c>
      <c r="G632" s="199">
        <v>3.6967292707592248E-2</v>
      </c>
      <c r="H632" s="199">
        <v>3.8075071547726318E-2</v>
      </c>
      <c r="I632" s="199">
        <v>3.7421896261962809E-2</v>
      </c>
      <c r="J632" s="199">
        <v>3.8079328589336922E-2</v>
      </c>
      <c r="K632" s="199">
        <v>3.8266545004571342E-2</v>
      </c>
      <c r="L632" s="199">
        <v>3.7768980679429756E-2</v>
      </c>
      <c r="M632" s="199">
        <v>4.3030908788055822E-2</v>
      </c>
      <c r="N632" s="199">
        <v>3.2249956126939899E-2</v>
      </c>
    </row>
    <row r="633" spans="1:14">
      <c r="C633" s="29">
        <v>7</v>
      </c>
      <c r="D633" s="34" t="s">
        <v>1077</v>
      </c>
      <c r="E633" s="199">
        <v>5.1178326168928062E-2</v>
      </c>
      <c r="F633" s="199">
        <v>3.7418132785905209E-2</v>
      </c>
      <c r="G633" s="199">
        <v>4.0825683538636907E-2</v>
      </c>
      <c r="H633" s="199">
        <v>4.4358354980031441E-2</v>
      </c>
      <c r="I633" s="199">
        <v>4.9189011747475572E-2</v>
      </c>
      <c r="J633" s="199">
        <v>4.708867799121505E-2</v>
      </c>
      <c r="K633" s="199">
        <v>3.5272267264590741E-2</v>
      </c>
      <c r="L633" s="199">
        <v>4.385912031827733E-2</v>
      </c>
      <c r="M633" s="199">
        <v>4.4957484264441058E-2</v>
      </c>
      <c r="N633" s="199">
        <v>4.5976667961784075E-2</v>
      </c>
    </row>
    <row r="634" spans="1:14">
      <c r="C634" s="29">
        <v>8</v>
      </c>
      <c r="D634" s="34" t="s">
        <v>1078</v>
      </c>
      <c r="E634" s="199">
        <v>5.4270299348951466E-2</v>
      </c>
      <c r="F634" s="199">
        <v>4.088656615840161E-2</v>
      </c>
      <c r="G634" s="199">
        <v>4.412257476766536E-2</v>
      </c>
      <c r="H634" s="199">
        <v>4.7397348569881474E-2</v>
      </c>
      <c r="I634" s="199">
        <v>5.6791623295185126E-2</v>
      </c>
      <c r="J634" s="199">
        <v>5.1333539640669383E-2</v>
      </c>
      <c r="K634" s="199">
        <v>4.003063036304598E-2</v>
      </c>
      <c r="L634" s="199">
        <v>4.6550903320919226E-2</v>
      </c>
      <c r="M634" s="199">
        <v>5.0375507704653953E-2</v>
      </c>
      <c r="N634" s="199">
        <v>4.6609921621129362E-2</v>
      </c>
    </row>
    <row r="635" spans="1:14">
      <c r="C635" s="29">
        <v>9</v>
      </c>
      <c r="D635" s="34" t="s">
        <v>1079</v>
      </c>
      <c r="E635" s="199">
        <v>4.9829956013237704E-2</v>
      </c>
      <c r="F635" s="199">
        <v>4.8274161342976712E-2</v>
      </c>
      <c r="G635" s="199">
        <v>4.7395634226018502E-2</v>
      </c>
      <c r="H635" s="199">
        <v>4.946140042611756E-2</v>
      </c>
      <c r="I635" s="199">
        <v>5.3256438385374423E-2</v>
      </c>
      <c r="J635" s="199">
        <v>4.7777989490917855E-2</v>
      </c>
      <c r="K635" s="199">
        <v>4.6039843459834813E-2</v>
      </c>
      <c r="L635" s="199">
        <v>5.2101185734538695E-2</v>
      </c>
      <c r="M635" s="199">
        <v>5.2876582461140374E-2</v>
      </c>
      <c r="N635" s="199">
        <v>5.1523193458098866E-2</v>
      </c>
    </row>
    <row r="636" spans="1:14">
      <c r="C636" s="29">
        <v>10</v>
      </c>
      <c r="D636" s="34" t="s">
        <v>1080</v>
      </c>
      <c r="E636" s="199">
        <v>4.7257959158721913E-2</v>
      </c>
      <c r="F636" s="199">
        <v>5.09960137555278E-2</v>
      </c>
      <c r="G636" s="199">
        <v>4.9335689731909819E-2</v>
      </c>
      <c r="H636" s="199">
        <v>5.1248793604409801E-2</v>
      </c>
      <c r="I636" s="199">
        <v>5.2706801302968148E-2</v>
      </c>
      <c r="J636" s="199">
        <v>4.5145981639709204E-2</v>
      </c>
      <c r="K636" s="199">
        <v>4.9655026562815695E-2</v>
      </c>
      <c r="L636" s="199">
        <v>5.4365195376774117E-2</v>
      </c>
      <c r="M636" s="199">
        <v>5.2746690523288731E-2</v>
      </c>
      <c r="N636" s="199">
        <v>6.5093571594064731E-2</v>
      </c>
    </row>
    <row r="637" spans="1:14">
      <c r="C637" s="29">
        <v>11</v>
      </c>
      <c r="D637" s="34" t="s">
        <v>1081</v>
      </c>
      <c r="E637" s="199">
        <v>4.4684241735462552E-2</v>
      </c>
      <c r="F637" s="199">
        <v>5.239188044889017E-2</v>
      </c>
      <c r="G637" s="199">
        <v>5.0375922758012934E-2</v>
      </c>
      <c r="H637" s="199">
        <v>4.9197210062423724E-2</v>
      </c>
      <c r="I637" s="199">
        <v>5.041510365667181E-2</v>
      </c>
      <c r="J637" s="199">
        <v>4.4868069527446243E-2</v>
      </c>
      <c r="K637" s="199">
        <v>5.1701908435776961E-2</v>
      </c>
      <c r="L637" s="199">
        <v>5.3987982991957777E-2</v>
      </c>
      <c r="M637" s="199">
        <v>5.0839721377145257E-2</v>
      </c>
      <c r="N637" s="199">
        <v>6.8710193340337691E-2</v>
      </c>
    </row>
    <row r="638" spans="1:14">
      <c r="C638" s="29">
        <v>12</v>
      </c>
      <c r="D638" s="34" t="s">
        <v>1082</v>
      </c>
      <c r="E638" s="199">
        <v>4.0715507626131964E-2</v>
      </c>
      <c r="F638" s="199">
        <v>5.2464621238508584E-2</v>
      </c>
      <c r="G638" s="199">
        <v>5.0432107345573657E-2</v>
      </c>
      <c r="H638" s="199">
        <v>5.1715062591224818E-2</v>
      </c>
      <c r="I638" s="199">
        <v>4.373837387105553E-2</v>
      </c>
      <c r="J638" s="199">
        <v>4.4020860381555012E-2</v>
      </c>
      <c r="K638" s="199">
        <v>5.1432533112344407E-2</v>
      </c>
      <c r="L638" s="199">
        <v>5.4962980528250667E-2</v>
      </c>
      <c r="M638" s="199">
        <v>4.9430347370930557E-2</v>
      </c>
      <c r="N638" s="199">
        <v>6.3352187892670289E-2</v>
      </c>
    </row>
    <row r="639" spans="1:14">
      <c r="C639" s="29">
        <v>13</v>
      </c>
      <c r="D639" s="34" t="s">
        <v>1083</v>
      </c>
      <c r="E639" s="199">
        <v>3.9619603146595683E-2</v>
      </c>
      <c r="F639" s="199">
        <v>5.122184692355046E-2</v>
      </c>
      <c r="G639" s="199">
        <v>5.06616731570559E-2</v>
      </c>
      <c r="H639" s="199">
        <v>5.0485813213046078E-2</v>
      </c>
      <c r="I639" s="199">
        <v>4.4541927012460118E-2</v>
      </c>
      <c r="J639" s="199">
        <v>4.2797798924428664E-2</v>
      </c>
      <c r="K639" s="199">
        <v>5.0181032086086527E-2</v>
      </c>
      <c r="L639" s="199">
        <v>5.5031489084187674E-2</v>
      </c>
      <c r="M639" s="199">
        <v>5.0445482021206446E-2</v>
      </c>
      <c r="N639" s="199">
        <v>5.1460097994662682E-2</v>
      </c>
    </row>
    <row r="640" spans="1:14">
      <c r="C640" s="29">
        <v>14</v>
      </c>
      <c r="D640" s="34" t="s">
        <v>1084</v>
      </c>
      <c r="E640" s="199">
        <v>3.9421235352797179E-2</v>
      </c>
      <c r="F640" s="199">
        <v>5.0872119170293127E-2</v>
      </c>
      <c r="G640" s="199">
        <v>4.9748828074374467E-2</v>
      </c>
      <c r="H640" s="199">
        <v>5.1627726933805372E-2</v>
      </c>
      <c r="I640" s="199">
        <v>3.9099986813199136E-2</v>
      </c>
      <c r="J640" s="199">
        <v>3.9744909401716065E-2</v>
      </c>
      <c r="K640" s="199">
        <v>5.1103363378021641E-2</v>
      </c>
      <c r="L640" s="199">
        <v>5.4940620947879264E-2</v>
      </c>
      <c r="M640" s="199">
        <v>5.2808298345470801E-2</v>
      </c>
      <c r="N640" s="199">
        <v>5.4459814703695278E-2</v>
      </c>
    </row>
    <row r="641" spans="1:14">
      <c r="C641" s="29">
        <v>15</v>
      </c>
      <c r="D641" s="34" t="s">
        <v>1085</v>
      </c>
      <c r="E641" s="199">
        <v>3.5890823911237324E-2</v>
      </c>
      <c r="F641" s="199">
        <v>5.0117558402735879E-2</v>
      </c>
      <c r="G641" s="199">
        <v>5.0602589376880266E-2</v>
      </c>
      <c r="H641" s="199">
        <v>4.9120848819851071E-2</v>
      </c>
      <c r="I641" s="199">
        <v>3.9344924624807452E-2</v>
      </c>
      <c r="J641" s="199">
        <v>3.9391016467227098E-2</v>
      </c>
      <c r="K641" s="199">
        <v>5.2350482485558521E-2</v>
      </c>
      <c r="L641" s="199">
        <v>5.5619347235608955E-2</v>
      </c>
      <c r="M641" s="199">
        <v>5.3517084085719216E-2</v>
      </c>
      <c r="N641" s="199">
        <v>4.6096728155367091E-2</v>
      </c>
    </row>
    <row r="642" spans="1:14">
      <c r="C642" s="29">
        <v>16</v>
      </c>
      <c r="D642" s="34" t="s">
        <v>1086</v>
      </c>
      <c r="E642" s="199">
        <v>3.7603052120006336E-2</v>
      </c>
      <c r="F642" s="199">
        <v>4.8055985100177029E-2</v>
      </c>
      <c r="G642" s="199">
        <v>4.7845022660686971E-2</v>
      </c>
      <c r="H642" s="199">
        <v>4.2772695678844265E-2</v>
      </c>
      <c r="I642" s="199">
        <v>3.8245229604648483E-2</v>
      </c>
      <c r="J642" s="199">
        <v>3.9336320998324285E-2</v>
      </c>
      <c r="K642" s="199">
        <v>4.9126216611563411E-2</v>
      </c>
      <c r="L642" s="199">
        <v>5.0942845086113867E-2</v>
      </c>
      <c r="M642" s="199">
        <v>4.6266967398475758E-2</v>
      </c>
      <c r="N642" s="199">
        <v>3.4246787048723748E-2</v>
      </c>
    </row>
    <row r="643" spans="1:14">
      <c r="C643" s="29">
        <v>17</v>
      </c>
      <c r="D643" s="34" t="s">
        <v>1087</v>
      </c>
      <c r="E643" s="199">
        <v>4.06117444377447E-2</v>
      </c>
      <c r="F643" s="199">
        <v>4.3095127824678926E-2</v>
      </c>
      <c r="G643" s="199">
        <v>4.5255955389749802E-2</v>
      </c>
      <c r="H643" s="199">
        <v>3.99555461503735E-2</v>
      </c>
      <c r="I643" s="199">
        <v>3.7908264757292712E-2</v>
      </c>
      <c r="J643" s="199">
        <v>4.1189188410004872E-2</v>
      </c>
      <c r="K643" s="199">
        <v>4.5388965772782799E-2</v>
      </c>
      <c r="L643" s="199">
        <v>4.671545458109469E-2</v>
      </c>
      <c r="M643" s="199">
        <v>3.8219920994940128E-2</v>
      </c>
      <c r="N643" s="199">
        <v>2.7575016546593698E-2</v>
      </c>
    </row>
    <row r="644" spans="1:14">
      <c r="C644" s="29">
        <v>18</v>
      </c>
      <c r="D644" s="34" t="s">
        <v>1088</v>
      </c>
      <c r="E644" s="199">
        <v>4.2897344399954428E-2</v>
      </c>
      <c r="F644" s="199">
        <v>3.6168931573872375E-2</v>
      </c>
      <c r="G644" s="199">
        <v>4.284451968132183E-2</v>
      </c>
      <c r="H644" s="199">
        <v>3.8676883176549541E-2</v>
      </c>
      <c r="I644" s="199">
        <v>3.5998984335764005E-2</v>
      </c>
      <c r="J644" s="199">
        <v>4.7531764138891694E-2</v>
      </c>
      <c r="K644" s="199">
        <v>3.7709340220006882E-2</v>
      </c>
      <c r="L644" s="199">
        <v>4.2644172620154588E-2</v>
      </c>
      <c r="M644" s="199">
        <v>3.6517804195805373E-2</v>
      </c>
      <c r="N644" s="199">
        <v>4.2754201276571938E-2</v>
      </c>
    </row>
    <row r="645" spans="1:14">
      <c r="C645" s="29">
        <v>19</v>
      </c>
      <c r="D645" s="34" t="s">
        <v>1089</v>
      </c>
      <c r="E645" s="199">
        <v>4.6996361575076209E-2</v>
      </c>
      <c r="F645" s="199">
        <v>3.2918520690657121E-2</v>
      </c>
      <c r="G645" s="199">
        <v>4.1892389520256541E-2</v>
      </c>
      <c r="H645" s="199">
        <v>3.7068872841983305E-2</v>
      </c>
      <c r="I645" s="199">
        <v>3.4782992954881499E-2</v>
      </c>
      <c r="J645" s="199">
        <v>4.485710132810878E-2</v>
      </c>
      <c r="K645" s="199">
        <v>3.1793549630350103E-2</v>
      </c>
      <c r="L645" s="199">
        <v>4.0258655952551278E-2</v>
      </c>
      <c r="M645" s="199">
        <v>3.5391876877654722E-2</v>
      </c>
      <c r="N645" s="199">
        <v>4.19993547403213E-2</v>
      </c>
    </row>
    <row r="646" spans="1:14">
      <c r="C646" s="29">
        <v>20</v>
      </c>
      <c r="D646" s="34" t="s">
        <v>1090</v>
      </c>
      <c r="E646" s="199">
        <v>4.7847318419144094E-2</v>
      </c>
      <c r="F646" s="199">
        <v>3.5228175295370506E-2</v>
      </c>
      <c r="G646" s="199">
        <v>3.9914203181284733E-2</v>
      </c>
      <c r="H646" s="199">
        <v>3.6527219392974659E-2</v>
      </c>
      <c r="I646" s="199">
        <v>3.8388320422426535E-2</v>
      </c>
      <c r="J646" s="199">
        <v>4.8625688835662158E-2</v>
      </c>
      <c r="K646" s="199">
        <v>3.4998785457328214E-2</v>
      </c>
      <c r="L646" s="199">
        <v>3.9886931333197609E-2</v>
      </c>
      <c r="M646" s="199">
        <v>3.4107662246819527E-2</v>
      </c>
      <c r="N646" s="199">
        <v>4.8359224186355902E-2</v>
      </c>
    </row>
    <row r="647" spans="1:14">
      <c r="C647" s="29">
        <v>21</v>
      </c>
      <c r="D647" s="34" t="s">
        <v>1091</v>
      </c>
      <c r="E647" s="199">
        <v>5.0075308226886113E-2</v>
      </c>
      <c r="F647" s="199">
        <v>3.9865873425613943E-2</v>
      </c>
      <c r="G647" s="199">
        <v>4.0874453797543085E-2</v>
      </c>
      <c r="H647" s="199">
        <v>3.7078927934120411E-2</v>
      </c>
      <c r="I647" s="199">
        <v>3.87418389134076E-2</v>
      </c>
      <c r="J647" s="199">
        <v>4.9985860443863883E-2</v>
      </c>
      <c r="K647" s="199">
        <v>4.0004363890255426E-2</v>
      </c>
      <c r="L647" s="199">
        <v>3.8398140053303227E-2</v>
      </c>
      <c r="M647" s="199">
        <v>3.4375643596804943E-2</v>
      </c>
      <c r="N647" s="199">
        <v>3.8701531125094293E-2</v>
      </c>
    </row>
    <row r="648" spans="1:14">
      <c r="C648" s="29">
        <v>22</v>
      </c>
      <c r="D648" s="34" t="s">
        <v>1092</v>
      </c>
      <c r="E648" s="199">
        <v>4.8046584287583946E-2</v>
      </c>
      <c r="F648" s="199">
        <v>3.8920981177463516E-2</v>
      </c>
      <c r="G648" s="199">
        <v>3.8300276291019293E-2</v>
      </c>
      <c r="H648" s="199">
        <v>3.7111506432644645E-2</v>
      </c>
      <c r="I648" s="199">
        <v>3.5938381165881529E-2</v>
      </c>
      <c r="J648" s="199">
        <v>4.907158596738688E-2</v>
      </c>
      <c r="K648" s="199">
        <v>3.7365572436459236E-2</v>
      </c>
      <c r="L648" s="199">
        <v>3.3206373493531782E-2</v>
      </c>
      <c r="M648" s="199">
        <v>3.3411722033281237E-2</v>
      </c>
      <c r="N648" s="199">
        <v>4.1787844441838883E-2</v>
      </c>
    </row>
    <row r="649" spans="1:14">
      <c r="C649" s="29">
        <v>23</v>
      </c>
      <c r="D649" s="34" t="s">
        <v>1093</v>
      </c>
      <c r="E649" s="199">
        <v>4.3535937712743937E-2</v>
      </c>
      <c r="F649" s="199">
        <v>3.7687647328543378E-2</v>
      </c>
      <c r="G649" s="199">
        <v>3.5374447768308802E-2</v>
      </c>
      <c r="H649" s="199">
        <v>3.6150354539675869E-2</v>
      </c>
      <c r="I649" s="199">
        <v>3.6850935842005286E-2</v>
      </c>
      <c r="J649" s="199">
        <v>4.3091558246488547E-2</v>
      </c>
      <c r="K649" s="199">
        <v>3.8235721336310938E-2</v>
      </c>
      <c r="L649" s="199">
        <v>3.0067289945189483E-2</v>
      </c>
      <c r="M649" s="199">
        <v>3.3906105791532484E-2</v>
      </c>
      <c r="N649" s="199">
        <v>3.6870740896563545E-2</v>
      </c>
    </row>
    <row r="650" spans="1:14">
      <c r="C650" s="29">
        <v>24</v>
      </c>
      <c r="D650" s="34" t="s">
        <v>1094</v>
      </c>
      <c r="E650" s="199">
        <v>3.7197824836543193E-2</v>
      </c>
      <c r="F650" s="199">
        <v>3.5822171263522738E-2</v>
      </c>
      <c r="G650" s="199">
        <v>3.1885530858870401E-2</v>
      </c>
      <c r="H650" s="199">
        <v>3.3122680110688744E-2</v>
      </c>
      <c r="I650" s="199">
        <v>3.8063981235462944E-2</v>
      </c>
      <c r="J650" s="199">
        <v>3.8755603863290869E-2</v>
      </c>
      <c r="K650" s="199">
        <v>3.84954814780928E-2</v>
      </c>
      <c r="L650" s="199">
        <v>2.7487114202428255E-2</v>
      </c>
      <c r="M650" s="199">
        <v>3.3172474098305288E-2</v>
      </c>
      <c r="N650" s="199">
        <v>3.3152962051016387E-2</v>
      </c>
    </row>
    <row r="651" spans="1:14">
      <c r="A651" s="16" t="s">
        <v>434</v>
      </c>
      <c r="B651" s="16" t="s">
        <v>424</v>
      </c>
      <c r="C651" s="29">
        <v>1</v>
      </c>
      <c r="D651" s="34" t="s">
        <v>1095</v>
      </c>
      <c r="E651" s="199">
        <v>3.2125729606924426E-2</v>
      </c>
      <c r="F651" s="199">
        <v>4.2369743437213572E-2</v>
      </c>
      <c r="G651" s="199">
        <v>3.7654772537509609E-2</v>
      </c>
      <c r="H651" s="199">
        <v>4.4630158690424582E-2</v>
      </c>
      <c r="I651" s="199">
        <v>3.9517351306803825E-2</v>
      </c>
      <c r="J651" s="199">
        <v>3.2264834978408319E-2</v>
      </c>
      <c r="K651" s="199">
        <v>4.5066552729098784E-2</v>
      </c>
      <c r="L651" s="199">
        <v>3.3952661532390647E-2</v>
      </c>
      <c r="M651" s="199">
        <v>3.8590985720081065E-2</v>
      </c>
      <c r="N651" s="199">
        <v>3.9825426541045983E-2</v>
      </c>
    </row>
    <row r="652" spans="1:14">
      <c r="C652" s="29">
        <v>2</v>
      </c>
      <c r="D652" s="34" t="s">
        <v>1096</v>
      </c>
      <c r="E652" s="199">
        <v>3.1618800731389916E-2</v>
      </c>
      <c r="F652" s="199">
        <v>4.2934993077768518E-2</v>
      </c>
      <c r="G652" s="199">
        <v>3.6719569441625056E-2</v>
      </c>
      <c r="H652" s="199">
        <v>4.3055754177104104E-2</v>
      </c>
      <c r="I652" s="199">
        <v>4.0447498905011266E-2</v>
      </c>
      <c r="J652" s="199">
        <v>3.0482609039849343E-2</v>
      </c>
      <c r="K652" s="199">
        <v>4.2206090706160486E-2</v>
      </c>
      <c r="L652" s="199">
        <v>3.3839697262570169E-2</v>
      </c>
      <c r="M652" s="199">
        <v>3.915610456659277E-2</v>
      </c>
      <c r="N652" s="199">
        <v>2.9326359949480546E-2</v>
      </c>
    </row>
    <row r="653" spans="1:14">
      <c r="C653" s="29">
        <v>3</v>
      </c>
      <c r="D653" s="34" t="s">
        <v>1097</v>
      </c>
      <c r="E653" s="199">
        <v>3.0597302457019467E-2</v>
      </c>
      <c r="F653" s="199">
        <v>4.3021853368966231E-2</v>
      </c>
      <c r="G653" s="199">
        <v>3.6782473694136661E-2</v>
      </c>
      <c r="H653" s="199">
        <v>4.2717939198095474E-2</v>
      </c>
      <c r="I653" s="199">
        <v>3.8706990808826051E-2</v>
      </c>
      <c r="J653" s="199">
        <v>2.9664165841091782E-2</v>
      </c>
      <c r="K653" s="199">
        <v>4.272135891762955E-2</v>
      </c>
      <c r="L653" s="199">
        <v>3.3464131945128733E-2</v>
      </c>
      <c r="M653" s="199">
        <v>3.8563018103697583E-2</v>
      </c>
      <c r="N653" s="199">
        <v>2.6531930577385426E-2</v>
      </c>
    </row>
    <row r="654" spans="1:14">
      <c r="C654" s="29">
        <v>4</v>
      </c>
      <c r="D654" s="34" t="s">
        <v>1098</v>
      </c>
      <c r="E654" s="199">
        <v>3.1926848604560534E-2</v>
      </c>
      <c r="F654" s="199">
        <v>4.2462786557447209E-2</v>
      </c>
      <c r="G654" s="199">
        <v>3.6317426802018958E-2</v>
      </c>
      <c r="H654" s="199">
        <v>4.2103114283988795E-2</v>
      </c>
      <c r="I654" s="199">
        <v>3.127942567057445E-2</v>
      </c>
      <c r="J654" s="199">
        <v>2.8770638130422369E-2</v>
      </c>
      <c r="K654" s="199">
        <v>4.1966030327409969E-2</v>
      </c>
      <c r="L654" s="199">
        <v>3.2891373118683731E-2</v>
      </c>
      <c r="M654" s="199">
        <v>3.8412511961922517E-2</v>
      </c>
      <c r="N654" s="199">
        <v>3.2637154134369704E-2</v>
      </c>
    </row>
    <row r="655" spans="1:14">
      <c r="C655" s="29">
        <v>5</v>
      </c>
      <c r="D655" s="34" t="s">
        <v>1099</v>
      </c>
      <c r="E655" s="199">
        <v>3.2794775668158173E-2</v>
      </c>
      <c r="F655" s="199">
        <v>4.2141204276405386E-2</v>
      </c>
      <c r="G655" s="199">
        <v>3.6682535226505816E-2</v>
      </c>
      <c r="H655" s="199">
        <v>4.2912581431048355E-2</v>
      </c>
      <c r="I655" s="199">
        <v>2.8761601793716202E-2</v>
      </c>
      <c r="J655" s="199">
        <v>3.2020828663793528E-2</v>
      </c>
      <c r="K655" s="199">
        <v>4.248207101039482E-2</v>
      </c>
      <c r="L655" s="199">
        <v>3.5447956217965107E-2</v>
      </c>
      <c r="M655" s="199">
        <v>4.0070097803042819E-2</v>
      </c>
      <c r="N655" s="199">
        <v>3.5277727868367012E-2</v>
      </c>
    </row>
    <row r="656" spans="1:14">
      <c r="C656" s="29">
        <v>6</v>
      </c>
      <c r="D656" s="34" t="s">
        <v>1100</v>
      </c>
      <c r="E656" s="199">
        <v>3.5367941017475417E-2</v>
      </c>
      <c r="F656" s="199">
        <v>4.3939242372667602E-2</v>
      </c>
      <c r="G656" s="199">
        <v>3.8920422023170295E-2</v>
      </c>
      <c r="H656" s="199">
        <v>4.4620492671215969E-2</v>
      </c>
      <c r="I656" s="199">
        <v>3.4099547516850119E-2</v>
      </c>
      <c r="J656" s="199">
        <v>3.8152260733000688E-2</v>
      </c>
      <c r="K656" s="199">
        <v>4.3732494421344414E-2</v>
      </c>
      <c r="L656" s="199">
        <v>3.8663894999506808E-2</v>
      </c>
      <c r="M656" s="199">
        <v>4.6375786156721874E-2</v>
      </c>
      <c r="N656" s="199">
        <v>3.0951064949736092E-2</v>
      </c>
    </row>
    <row r="657" spans="3:14">
      <c r="C657" s="29">
        <v>7</v>
      </c>
      <c r="D657" s="34" t="s">
        <v>1101</v>
      </c>
      <c r="E657" s="199">
        <v>4.1420066503147883E-2</v>
      </c>
      <c r="F657" s="199">
        <v>3.7884185539219843E-2</v>
      </c>
      <c r="G657" s="199">
        <v>4.0278603133437979E-2</v>
      </c>
      <c r="H657" s="199">
        <v>4.3411579345749289E-2</v>
      </c>
      <c r="I657" s="199">
        <v>4.5339799898938229E-2</v>
      </c>
      <c r="J657" s="199">
        <v>4.100761536037989E-2</v>
      </c>
      <c r="K657" s="199">
        <v>3.9411853260478975E-2</v>
      </c>
      <c r="L657" s="199">
        <v>4.2516228691940022E-2</v>
      </c>
      <c r="M657" s="199">
        <v>4.5906775957576106E-2</v>
      </c>
      <c r="N657" s="199">
        <v>3.3316068482619837E-2</v>
      </c>
    </row>
    <row r="658" spans="3:14">
      <c r="C658" s="29">
        <v>8</v>
      </c>
      <c r="D658" s="34" t="s">
        <v>1102</v>
      </c>
      <c r="E658" s="199">
        <v>4.5629994842233311E-2</v>
      </c>
      <c r="F658" s="199">
        <v>3.5632959229579667E-2</v>
      </c>
      <c r="G658" s="199">
        <v>4.2349500041413621E-2</v>
      </c>
      <c r="H658" s="199">
        <v>4.4574971503831828E-2</v>
      </c>
      <c r="I658" s="199">
        <v>4.547366160098288E-2</v>
      </c>
      <c r="J658" s="199">
        <v>4.9028512840633219E-2</v>
      </c>
      <c r="K658" s="199">
        <v>3.7078662467947263E-2</v>
      </c>
      <c r="L658" s="199">
        <v>4.38376994369961E-2</v>
      </c>
      <c r="M658" s="199">
        <v>4.6140800513912159E-2</v>
      </c>
      <c r="N658" s="199">
        <v>3.7083950907405773E-2</v>
      </c>
    </row>
    <row r="659" spans="3:14">
      <c r="C659" s="29">
        <v>9</v>
      </c>
      <c r="D659" s="34" t="s">
        <v>1103</v>
      </c>
      <c r="E659" s="199">
        <v>5.0815896671018199E-2</v>
      </c>
      <c r="F659" s="199">
        <v>3.800942071458583E-2</v>
      </c>
      <c r="G659" s="199">
        <v>4.3764737896542505E-2</v>
      </c>
      <c r="H659" s="199">
        <v>4.4679314941955546E-2</v>
      </c>
      <c r="I659" s="199">
        <v>4.6737316068284449E-2</v>
      </c>
      <c r="J659" s="199">
        <v>4.9065394529035654E-2</v>
      </c>
      <c r="K659" s="199">
        <v>4.101395918420947E-2</v>
      </c>
      <c r="L659" s="199">
        <v>4.6480981591371894E-2</v>
      </c>
      <c r="M659" s="199">
        <v>4.6522351843954923E-2</v>
      </c>
      <c r="N659" s="199">
        <v>4.4573611755835303E-2</v>
      </c>
    </row>
    <row r="660" spans="3:14">
      <c r="C660" s="29">
        <v>10</v>
      </c>
      <c r="D660" s="34" t="s">
        <v>1104</v>
      </c>
      <c r="E660" s="199">
        <v>5.1147329176111367E-2</v>
      </c>
      <c r="F660" s="199">
        <v>4.0007977916663627E-2</v>
      </c>
      <c r="G660" s="199">
        <v>4.4495079160572611E-2</v>
      </c>
      <c r="H660" s="199">
        <v>4.3617457293337818E-2</v>
      </c>
      <c r="I660" s="199">
        <v>4.3799242939407138E-2</v>
      </c>
      <c r="J660" s="199">
        <v>4.9323147988402247E-2</v>
      </c>
      <c r="K660" s="199">
        <v>4.3034893221708032E-2</v>
      </c>
      <c r="L660" s="199">
        <v>4.7226900063021188E-2</v>
      </c>
      <c r="M660" s="199">
        <v>4.6617787730789305E-2</v>
      </c>
      <c r="N660" s="199">
        <v>4.7122767841853257E-2</v>
      </c>
    </row>
    <row r="661" spans="3:14">
      <c r="C661" s="29">
        <v>11</v>
      </c>
      <c r="D661" s="34" t="s">
        <v>1105</v>
      </c>
      <c r="E661" s="199">
        <v>4.9190830131693591E-2</v>
      </c>
      <c r="F661" s="199">
        <v>4.2214872026620671E-2</v>
      </c>
      <c r="G661" s="199">
        <v>4.4811607652707079E-2</v>
      </c>
      <c r="H661" s="199">
        <v>4.2824678487134157E-2</v>
      </c>
      <c r="I661" s="199">
        <v>4.3325143036965552E-2</v>
      </c>
      <c r="J661" s="199">
        <v>5.0000369183865995E-2</v>
      </c>
      <c r="K661" s="199">
        <v>4.4546530846763362E-2</v>
      </c>
      <c r="L661" s="199">
        <v>4.7596605955128143E-2</v>
      </c>
      <c r="M661" s="199">
        <v>4.4273313386944659E-2</v>
      </c>
      <c r="N661" s="199">
        <v>6.7095021136708621E-2</v>
      </c>
    </row>
    <row r="662" spans="3:14">
      <c r="C662" s="29">
        <v>12</v>
      </c>
      <c r="D662" s="34" t="s">
        <v>1106</v>
      </c>
      <c r="E662" s="199">
        <v>4.6296626365800377E-2</v>
      </c>
      <c r="F662" s="199">
        <v>4.2882034985904566E-2</v>
      </c>
      <c r="G662" s="199">
        <v>4.460730983577494E-2</v>
      </c>
      <c r="H662" s="199">
        <v>4.1232594246372281E-2</v>
      </c>
      <c r="I662" s="199">
        <v>4.3237941699633603E-2</v>
      </c>
      <c r="J662" s="199">
        <v>4.8378404273419946E-2</v>
      </c>
      <c r="K662" s="199">
        <v>4.4292150034528001E-2</v>
      </c>
      <c r="L662" s="199">
        <v>4.7736329402856943E-2</v>
      </c>
      <c r="M662" s="199">
        <v>4.5075436157860763E-2</v>
      </c>
      <c r="N662" s="199">
        <v>6.4865431641465771E-2</v>
      </c>
    </row>
    <row r="663" spans="3:14">
      <c r="C663" s="29">
        <v>13</v>
      </c>
      <c r="D663" s="34" t="s">
        <v>1107</v>
      </c>
      <c r="E663" s="199">
        <v>4.3573317291541964E-2</v>
      </c>
      <c r="F663" s="199">
        <v>4.3178716815661891E-2</v>
      </c>
      <c r="G663" s="199">
        <v>4.5412731439168838E-2</v>
      </c>
      <c r="H663" s="199">
        <v>4.2309322693772494E-2</v>
      </c>
      <c r="I663" s="199">
        <v>4.6838133053024367E-2</v>
      </c>
      <c r="J663" s="199">
        <v>4.4215008455925249E-2</v>
      </c>
      <c r="K663" s="199">
        <v>4.3768354925942415E-2</v>
      </c>
      <c r="L663" s="199">
        <v>4.8467309746545964E-2</v>
      </c>
      <c r="M663" s="199">
        <v>4.6320043141249628E-2</v>
      </c>
      <c r="N663" s="199">
        <v>7.400113705639387E-2</v>
      </c>
    </row>
    <row r="664" spans="3:14">
      <c r="C664" s="29">
        <v>14</v>
      </c>
      <c r="D664" s="34" t="s">
        <v>1108</v>
      </c>
      <c r="E664" s="199">
        <v>4.333945443438731E-2</v>
      </c>
      <c r="F664" s="199">
        <v>4.1534554111941194E-2</v>
      </c>
      <c r="G664" s="199">
        <v>4.540641115430414E-2</v>
      </c>
      <c r="H664" s="199">
        <v>4.2295112819380337E-2</v>
      </c>
      <c r="I664" s="199">
        <v>4.4068649176322167E-2</v>
      </c>
      <c r="J664" s="199">
        <v>4.0913022086722033E-2</v>
      </c>
      <c r="K664" s="199">
        <v>4.4192382367220534E-2</v>
      </c>
      <c r="L664" s="199">
        <v>4.8454756268431112E-2</v>
      </c>
      <c r="M664" s="199">
        <v>4.642172609016279E-2</v>
      </c>
      <c r="N664" s="199">
        <v>6.4797724622645339E-2</v>
      </c>
    </row>
    <row r="665" spans="3:14">
      <c r="C665" s="29">
        <v>15</v>
      </c>
      <c r="D665" s="34" t="s">
        <v>1109</v>
      </c>
      <c r="E665" s="199">
        <v>4.2235994182783392E-2</v>
      </c>
      <c r="F665" s="199">
        <v>4.13425481415459E-2</v>
      </c>
      <c r="G665" s="199">
        <v>4.5062494761089332E-2</v>
      </c>
      <c r="H665" s="199">
        <v>4.1859150568407361E-2</v>
      </c>
      <c r="I665" s="199">
        <v>4.2919733310773159E-2</v>
      </c>
      <c r="J665" s="199">
        <v>3.9184059911891729E-2</v>
      </c>
      <c r="K665" s="199">
        <v>4.4889805304199434E-2</v>
      </c>
      <c r="L665" s="199">
        <v>4.7404028446896805E-2</v>
      </c>
      <c r="M665" s="199">
        <v>4.7246049958620424E-2</v>
      </c>
      <c r="N665" s="199">
        <v>5.3880297152142667E-2</v>
      </c>
    </row>
    <row r="666" spans="3:14">
      <c r="C666" s="29">
        <v>16</v>
      </c>
      <c r="D666" s="34" t="s">
        <v>1110</v>
      </c>
      <c r="E666" s="199">
        <v>4.0463285280312719E-2</v>
      </c>
      <c r="F666" s="199">
        <v>4.2233965504737694E-2</v>
      </c>
      <c r="G666" s="199">
        <v>4.4966678578993599E-2</v>
      </c>
      <c r="H666" s="199">
        <v>4.2031734449832901E-2</v>
      </c>
      <c r="I666" s="199">
        <v>4.288684157827076E-2</v>
      </c>
      <c r="J666" s="199">
        <v>4.1800817538955162E-2</v>
      </c>
      <c r="K666" s="199">
        <v>4.2059499380819522E-2</v>
      </c>
      <c r="L666" s="199">
        <v>4.6962237996605247E-2</v>
      </c>
      <c r="M666" s="199">
        <v>4.46323752935038E-2</v>
      </c>
      <c r="N666" s="199">
        <v>4.0867376966862545E-2</v>
      </c>
    </row>
    <row r="667" spans="3:14">
      <c r="C667" s="29">
        <v>17</v>
      </c>
      <c r="D667" s="34" t="s">
        <v>1111</v>
      </c>
      <c r="E667" s="199">
        <v>4.1724558721535375E-2</v>
      </c>
      <c r="F667" s="199">
        <v>3.9489371989382752E-2</v>
      </c>
      <c r="G667" s="199">
        <v>4.4221448979881971E-2</v>
      </c>
      <c r="H667" s="199">
        <v>3.8882347114350402E-2</v>
      </c>
      <c r="I667" s="199">
        <v>3.9995734783710837E-2</v>
      </c>
      <c r="J667" s="199">
        <v>4.4489988049158609E-2</v>
      </c>
      <c r="K667" s="199">
        <v>3.8888236414550879E-2</v>
      </c>
      <c r="L667" s="199">
        <v>4.6680202052744063E-2</v>
      </c>
      <c r="M667" s="199">
        <v>3.9328619588614624E-2</v>
      </c>
      <c r="N667" s="199">
        <v>3.4464716739651485E-2</v>
      </c>
    </row>
    <row r="668" spans="3:14">
      <c r="C668" s="29">
        <v>18</v>
      </c>
      <c r="D668" s="34" t="s">
        <v>1112</v>
      </c>
      <c r="E668" s="199">
        <v>4.5312855242471882E-2</v>
      </c>
      <c r="F668" s="199">
        <v>3.8483168243967754E-2</v>
      </c>
      <c r="G668" s="199">
        <v>4.4388422279896617E-2</v>
      </c>
      <c r="H668" s="199">
        <v>3.941926556594666E-2</v>
      </c>
      <c r="I668" s="199">
        <v>4.427273090263939E-2</v>
      </c>
      <c r="J668" s="199">
        <v>4.4853080014386267E-2</v>
      </c>
      <c r="K668" s="199">
        <v>3.4517384605159657E-2</v>
      </c>
      <c r="L668" s="199">
        <v>4.5875944825947743E-2</v>
      </c>
      <c r="M668" s="199">
        <v>3.9258844710626954E-2</v>
      </c>
      <c r="N668" s="199">
        <v>3.3844025158558236E-2</v>
      </c>
    </row>
    <row r="669" spans="3:14">
      <c r="C669" s="29">
        <v>19</v>
      </c>
      <c r="D669" s="34" t="s">
        <v>1113</v>
      </c>
      <c r="E669" s="199">
        <v>4.5480950889585536E-2</v>
      </c>
      <c r="F669" s="199">
        <v>3.7743502687660753E-2</v>
      </c>
      <c r="G669" s="199">
        <v>4.3370143103690834E-2</v>
      </c>
      <c r="H669" s="199">
        <v>3.8431431449046163E-2</v>
      </c>
      <c r="I669" s="199">
        <v>4.2031350563603652E-2</v>
      </c>
      <c r="J669" s="199">
        <v>4.7383736330673762E-2</v>
      </c>
      <c r="K669" s="199">
        <v>3.2067194088429986E-2</v>
      </c>
      <c r="L669" s="199">
        <v>4.3331370141959404E-2</v>
      </c>
      <c r="M669" s="199">
        <v>3.8187425509791498E-2</v>
      </c>
      <c r="N669" s="199">
        <v>3.5232150770094887E-2</v>
      </c>
    </row>
    <row r="670" spans="3:14">
      <c r="C670" s="29">
        <v>20</v>
      </c>
      <c r="D670" s="34" t="s">
        <v>1114</v>
      </c>
      <c r="E670" s="199">
        <v>4.6721014436578584E-2</v>
      </c>
      <c r="F670" s="199">
        <v>4.2293106425637571E-2</v>
      </c>
      <c r="G670" s="199">
        <v>4.2031843519434529E-2</v>
      </c>
      <c r="H670" s="199">
        <v>3.9263370025377012E-2</v>
      </c>
      <c r="I670" s="199">
        <v>4.1284937713002637E-2</v>
      </c>
      <c r="J670" s="199">
        <v>4.6987351760750889E-2</v>
      </c>
      <c r="K670" s="199">
        <v>3.8466615519148845E-2</v>
      </c>
      <c r="L670" s="199">
        <v>4.3477174446794033E-2</v>
      </c>
      <c r="M670" s="199">
        <v>3.7513703891756289E-2</v>
      </c>
      <c r="N670" s="199">
        <v>3.3472031732198447E-2</v>
      </c>
    </row>
    <row r="671" spans="3:14">
      <c r="C671" s="29">
        <v>21</v>
      </c>
      <c r="D671" s="34" t="s">
        <v>1115</v>
      </c>
      <c r="E671" s="199">
        <v>4.7435928444514726E-2</v>
      </c>
      <c r="F671" s="199">
        <v>4.7025883521101215E-2</v>
      </c>
      <c r="G671" s="199">
        <v>4.3306202059042634E-2</v>
      </c>
      <c r="H671" s="199">
        <v>4.019750403556302E-2</v>
      </c>
      <c r="I671" s="199">
        <v>4.2072044521025226E-2</v>
      </c>
      <c r="J671" s="199">
        <v>4.9774315627426798E-2</v>
      </c>
      <c r="K671" s="199">
        <v>4.4441979798146652E-2</v>
      </c>
      <c r="L671" s="199">
        <v>4.1176106578450077E-2</v>
      </c>
      <c r="M671" s="199">
        <v>3.7278045488415019E-2</v>
      </c>
      <c r="N671" s="199">
        <v>2.614544732209519E-2</v>
      </c>
    </row>
    <row r="672" spans="3:14">
      <c r="C672" s="29">
        <v>22</v>
      </c>
      <c r="D672" s="34" t="s">
        <v>1116</v>
      </c>
      <c r="E672" s="199">
        <v>4.6663838680769384E-2</v>
      </c>
      <c r="F672" s="199">
        <v>4.5630950843746632E-2</v>
      </c>
      <c r="G672" s="199">
        <v>4.1230718382654692E-2</v>
      </c>
      <c r="H672" s="199">
        <v>3.8871276630812343E-2</v>
      </c>
      <c r="I672" s="199">
        <v>3.9308527051614153E-2</v>
      </c>
      <c r="J672" s="199">
        <v>4.5571300436002472E-2</v>
      </c>
      <c r="K672" s="199">
        <v>4.2999151558881683E-2</v>
      </c>
      <c r="L672" s="199">
        <v>3.7480325148369083E-2</v>
      </c>
      <c r="M672" s="199">
        <v>3.5884470101608945E-2</v>
      </c>
      <c r="N672" s="199">
        <v>2.9904899300957952E-2</v>
      </c>
    </row>
    <row r="673" spans="1:14">
      <c r="C673" s="29">
        <v>23</v>
      </c>
      <c r="D673" s="34" t="s">
        <v>1117</v>
      </c>
      <c r="E673" s="199">
        <v>4.1715958998338971E-2</v>
      </c>
      <c r="F673" s="199">
        <v>4.4677761568575843E-2</v>
      </c>
      <c r="G673" s="199">
        <v>3.943601460553136E-2</v>
      </c>
      <c r="H673" s="199">
        <v>3.8155165053887226E-2</v>
      </c>
      <c r="I673" s="199">
        <v>4.4876408932660213E-2</v>
      </c>
      <c r="J673" s="199">
        <v>4.0925059095474274E-2</v>
      </c>
      <c r="K673" s="199">
        <v>4.3731008899198683E-2</v>
      </c>
      <c r="L673" s="199">
        <v>3.405419651616625E-2</v>
      </c>
      <c r="M673" s="199">
        <v>3.6077552374167106E-2</v>
      </c>
      <c r="N673" s="199">
        <v>3.7788683496295605E-2</v>
      </c>
    </row>
    <row r="674" spans="1:14">
      <c r="C674" s="29">
        <v>24</v>
      </c>
      <c r="D674" s="34" t="s">
        <v>1118</v>
      </c>
      <c r="E674" s="199">
        <v>3.6400701621647318E-2</v>
      </c>
      <c r="F674" s="199">
        <v>4.2865196642998211E-2</v>
      </c>
      <c r="G674" s="199">
        <v>3.7782853690896227E-2</v>
      </c>
      <c r="H674" s="199">
        <v>3.7903683323365765E-2</v>
      </c>
      <c r="I674" s="199">
        <v>4.8719387167359393E-2</v>
      </c>
      <c r="J674" s="199">
        <v>3.5743479130329631E-2</v>
      </c>
      <c r="K674" s="199">
        <v>4.2425740010628613E-2</v>
      </c>
      <c r="L674" s="199">
        <v>3.2981887613530839E-2</v>
      </c>
      <c r="M674" s="199">
        <v>3.6146173948386387E-2</v>
      </c>
      <c r="N674" s="199">
        <v>4.6994993895830242E-2</v>
      </c>
    </row>
    <row r="675" spans="1:14">
      <c r="A675" s="16" t="s">
        <v>265</v>
      </c>
      <c r="B675" s="16" t="s">
        <v>423</v>
      </c>
      <c r="C675" s="29">
        <v>1</v>
      </c>
      <c r="D675" s="34" t="s">
        <v>1119</v>
      </c>
      <c r="E675" s="199">
        <v>2.9911093824657221E-2</v>
      </c>
      <c r="F675" s="199">
        <v>4.6395093553277922E-2</v>
      </c>
      <c r="G675" s="199">
        <v>3.6822513340641301E-2</v>
      </c>
      <c r="H675" s="199">
        <v>4.7341561431167613E-2</v>
      </c>
      <c r="I675" s="199">
        <v>3.9897424406518035E-2</v>
      </c>
      <c r="J675" s="199">
        <v>3.1281775762977054E-2</v>
      </c>
      <c r="K675" s="199">
        <v>4.6798969579718117E-2</v>
      </c>
      <c r="L675" s="199">
        <v>3.5912519247192506E-2</v>
      </c>
      <c r="M675" s="199">
        <v>4.1850075433929955E-2</v>
      </c>
      <c r="N675" s="199">
        <v>3.052869899587508E-2</v>
      </c>
    </row>
    <row r="676" spans="1:14">
      <c r="C676" s="29">
        <v>2</v>
      </c>
      <c r="D676" s="34" t="s">
        <v>1121</v>
      </c>
      <c r="E676" s="199">
        <v>2.7550726225100193E-2</v>
      </c>
      <c r="F676" s="199">
        <v>4.5609829985998884E-2</v>
      </c>
      <c r="G676" s="199">
        <v>3.6707972205579163E-2</v>
      </c>
      <c r="H676" s="199">
        <v>4.7431264934705043E-2</v>
      </c>
      <c r="I676" s="199">
        <v>4.2141209338420048E-2</v>
      </c>
      <c r="J676" s="199">
        <v>2.8500402239159377E-2</v>
      </c>
      <c r="K676" s="199">
        <v>4.4607135306563593E-2</v>
      </c>
      <c r="L676" s="199">
        <v>3.6667175767141895E-2</v>
      </c>
      <c r="M676" s="199">
        <v>4.4314220143305133E-2</v>
      </c>
      <c r="N676" s="199">
        <v>3.2600759353019988E-2</v>
      </c>
    </row>
    <row r="677" spans="1:14">
      <c r="C677" s="29">
        <v>3</v>
      </c>
      <c r="D677" s="34" t="s">
        <v>1122</v>
      </c>
      <c r="E677" s="199">
        <v>2.6318580105250421E-2</v>
      </c>
      <c r="F677" s="199">
        <v>4.4505907508040593E-2</v>
      </c>
      <c r="G677" s="199">
        <v>3.5643117902791982E-2</v>
      </c>
      <c r="H677" s="199">
        <v>4.5830673008841166E-2</v>
      </c>
      <c r="I677" s="199">
        <v>3.9977643043424084E-2</v>
      </c>
      <c r="J677" s="199">
        <v>2.7624456392036537E-2</v>
      </c>
      <c r="K677" s="199">
        <v>4.3001948953159654E-2</v>
      </c>
      <c r="L677" s="199">
        <v>3.5160886145155092E-2</v>
      </c>
      <c r="M677" s="199">
        <v>4.2308184973870573E-2</v>
      </c>
      <c r="N677" s="199">
        <v>3.2542371942058321E-2</v>
      </c>
    </row>
    <row r="678" spans="1:14">
      <c r="C678" s="29">
        <v>4</v>
      </c>
      <c r="D678" s="34" t="s">
        <v>1123</v>
      </c>
      <c r="E678" s="199">
        <v>2.6443855152716231E-2</v>
      </c>
      <c r="F678" s="199">
        <v>4.3588690607513733E-2</v>
      </c>
      <c r="G678" s="199">
        <v>3.4816655430055785E-2</v>
      </c>
      <c r="H678" s="199">
        <v>4.4727945299233504E-2</v>
      </c>
      <c r="I678" s="199">
        <v>4.0083612536883167E-2</v>
      </c>
      <c r="J678" s="199">
        <v>2.753417108308966E-2</v>
      </c>
      <c r="K678" s="199">
        <v>4.110510723276338E-2</v>
      </c>
      <c r="L678" s="199">
        <v>3.4134255119578266E-2</v>
      </c>
      <c r="M678" s="199">
        <v>4.2278379982694902E-2</v>
      </c>
      <c r="N678" s="199">
        <v>3.1609360907233493E-2</v>
      </c>
    </row>
    <row r="679" spans="1:14">
      <c r="C679" s="29">
        <v>5</v>
      </c>
      <c r="D679" s="34" t="s">
        <v>1124</v>
      </c>
      <c r="E679" s="199">
        <v>2.7413656895200287E-2</v>
      </c>
      <c r="F679" s="199">
        <v>4.4756349115260642E-2</v>
      </c>
      <c r="G679" s="199">
        <v>3.6224319599909668E-2</v>
      </c>
      <c r="H679" s="199">
        <v>4.5254733520987599E-2</v>
      </c>
      <c r="I679" s="199">
        <v>4.3008379544436343E-2</v>
      </c>
      <c r="J679" s="199">
        <v>2.8233149717110429E-2</v>
      </c>
      <c r="K679" s="199">
        <v>4.2618172590079717E-2</v>
      </c>
      <c r="L679" s="199">
        <v>3.5927179971784469E-2</v>
      </c>
      <c r="M679" s="199">
        <v>4.27441114096919E-2</v>
      </c>
      <c r="N679" s="199">
        <v>4.1154020250337507E-2</v>
      </c>
    </row>
    <row r="680" spans="1:14">
      <c r="C680" s="29">
        <v>6</v>
      </c>
      <c r="D680" s="34" t="s">
        <v>1125</v>
      </c>
      <c r="E680" s="199">
        <v>2.8702569533163573E-2</v>
      </c>
      <c r="F680" s="199">
        <v>3.9659696749874497E-2</v>
      </c>
      <c r="G680" s="199">
        <v>3.7047502759194204E-2</v>
      </c>
      <c r="H680" s="199">
        <v>4.2477247263310272E-2</v>
      </c>
      <c r="I680" s="199">
        <v>4.307628450822628E-2</v>
      </c>
      <c r="J680" s="199">
        <v>2.9751302373771112E-2</v>
      </c>
      <c r="K680" s="199">
        <v>3.9040599431908289E-2</v>
      </c>
      <c r="L680" s="199">
        <v>3.5153261047150712E-2</v>
      </c>
      <c r="M680" s="199">
        <v>4.2097274845474771E-2</v>
      </c>
      <c r="N680" s="199">
        <v>5.0850486861941872E-2</v>
      </c>
    </row>
    <row r="681" spans="1:14">
      <c r="C681" s="29">
        <v>7</v>
      </c>
      <c r="D681" s="34" t="s">
        <v>1126</v>
      </c>
      <c r="E681" s="199">
        <v>3.1625888402423571E-2</v>
      </c>
      <c r="F681" s="199">
        <v>3.4964383856302926E-2</v>
      </c>
      <c r="G681" s="199">
        <v>3.768639856688466E-2</v>
      </c>
      <c r="H681" s="199">
        <v>3.9092259173942136E-2</v>
      </c>
      <c r="I681" s="199">
        <v>4.4783930315036344E-2</v>
      </c>
      <c r="J681" s="199">
        <v>3.5939221953747331E-2</v>
      </c>
      <c r="K681" s="199">
        <v>3.8218441545249018E-2</v>
      </c>
      <c r="L681" s="199">
        <v>3.8498587398302857E-2</v>
      </c>
      <c r="M681" s="199">
        <v>4.1140216102112354E-2</v>
      </c>
      <c r="N681" s="199">
        <v>5.2895827556443314E-2</v>
      </c>
    </row>
    <row r="682" spans="1:14">
      <c r="C682" s="29">
        <v>8</v>
      </c>
      <c r="D682" s="34" t="s">
        <v>1127</v>
      </c>
      <c r="E682" s="199">
        <v>3.8245360515622065E-2</v>
      </c>
      <c r="F682" s="199">
        <v>3.3820066200517925E-2</v>
      </c>
      <c r="G682" s="199">
        <v>4.1450706542760382E-2</v>
      </c>
      <c r="H682" s="199">
        <v>3.9509605212731176E-2</v>
      </c>
      <c r="I682" s="199">
        <v>4.4636705522597013E-2</v>
      </c>
      <c r="J682" s="199">
        <v>4.2585046927477284E-2</v>
      </c>
      <c r="K682" s="199">
        <v>3.8757965468195238E-2</v>
      </c>
      <c r="L682" s="199">
        <v>3.879840016696872E-2</v>
      </c>
      <c r="M682" s="199">
        <v>4.1137485873913061E-2</v>
      </c>
      <c r="N682" s="199">
        <v>4.5876077371434391E-2</v>
      </c>
    </row>
    <row r="683" spans="1:14">
      <c r="C683" s="29">
        <v>9</v>
      </c>
      <c r="D683" s="34" t="s">
        <v>1128</v>
      </c>
      <c r="E683" s="199">
        <v>4.4676133613728693E-2</v>
      </c>
      <c r="F683" s="199">
        <v>3.6771717632694753E-2</v>
      </c>
      <c r="G683" s="199">
        <v>4.4502178998951231E-2</v>
      </c>
      <c r="H683" s="199">
        <v>4.1102086691107452E-2</v>
      </c>
      <c r="I683" s="199">
        <v>4.5580768774969742E-2</v>
      </c>
      <c r="J683" s="199">
        <v>4.2678307775229393E-2</v>
      </c>
      <c r="K683" s="199">
        <v>3.9462698422739653E-2</v>
      </c>
      <c r="L683" s="199">
        <v>4.4139011203151467E-2</v>
      </c>
      <c r="M683" s="199">
        <v>4.2075319260372078E-2</v>
      </c>
      <c r="N683" s="199">
        <v>5.4743244823956018E-2</v>
      </c>
    </row>
    <row r="684" spans="1:14">
      <c r="C684" s="29">
        <v>10</v>
      </c>
      <c r="D684" s="34" t="s">
        <v>1129</v>
      </c>
      <c r="E684" s="199">
        <v>4.7791976799192358E-2</v>
      </c>
      <c r="F684" s="199">
        <v>3.6934339018929827E-2</v>
      </c>
      <c r="G684" s="199">
        <v>4.5135765841386191E-2</v>
      </c>
      <c r="H684" s="199">
        <v>4.0352505454031656E-2</v>
      </c>
      <c r="I684" s="199">
        <v>4.4055491163434039E-2</v>
      </c>
      <c r="J684" s="199">
        <v>4.768874204347065E-2</v>
      </c>
      <c r="K684" s="199">
        <v>4.2782061416319968E-2</v>
      </c>
      <c r="L684" s="199">
        <v>4.5275493079529501E-2</v>
      </c>
      <c r="M684" s="199">
        <v>4.3050465765554852E-2</v>
      </c>
      <c r="N684" s="199">
        <v>6.2944004097806636E-2</v>
      </c>
    </row>
    <row r="685" spans="1:14">
      <c r="C685" s="29">
        <v>11</v>
      </c>
      <c r="D685" s="34" t="s">
        <v>1130</v>
      </c>
      <c r="E685" s="199">
        <v>4.8342368726238871E-2</v>
      </c>
      <c r="F685" s="199">
        <v>3.8756051099942422E-2</v>
      </c>
      <c r="G685" s="199">
        <v>4.6571174177219822E-2</v>
      </c>
      <c r="H685" s="199">
        <v>4.0490969358729395E-2</v>
      </c>
      <c r="I685" s="199">
        <v>4.242123305077948E-2</v>
      </c>
      <c r="J685" s="199">
        <v>4.7244549606840783E-2</v>
      </c>
      <c r="K685" s="199">
        <v>4.4831643562156083E-2</v>
      </c>
      <c r="L685" s="199">
        <v>4.7623205610976847E-2</v>
      </c>
      <c r="M685" s="199">
        <v>4.2408748379211401E-2</v>
      </c>
      <c r="N685" s="199">
        <v>5.6479033278647103E-2</v>
      </c>
    </row>
    <row r="686" spans="1:14">
      <c r="C686" s="29">
        <v>12</v>
      </c>
      <c r="D686" s="34" t="s">
        <v>1131</v>
      </c>
      <c r="E686" s="199">
        <v>4.5588565343389675E-2</v>
      </c>
      <c r="F686" s="199">
        <v>4.1998454364110656E-2</v>
      </c>
      <c r="G686" s="199">
        <v>4.8927851531205366E-2</v>
      </c>
      <c r="H686" s="199">
        <v>4.1577183024657523E-2</v>
      </c>
      <c r="I686" s="199">
        <v>4.1248288275850725E-2</v>
      </c>
      <c r="J686" s="199">
        <v>4.6638240352613908E-2</v>
      </c>
      <c r="K686" s="199">
        <v>4.6586636551315549E-2</v>
      </c>
      <c r="L686" s="199">
        <v>4.8646946325090666E-2</v>
      </c>
      <c r="M686" s="199">
        <v>4.3477632719236749E-2</v>
      </c>
      <c r="N686" s="199">
        <v>5.8268063135198132E-2</v>
      </c>
    </row>
    <row r="687" spans="1:14">
      <c r="C687" s="29">
        <v>13</v>
      </c>
      <c r="D687" s="34" t="s">
        <v>1132</v>
      </c>
      <c r="E687" s="199">
        <v>4.6774522734287206E-2</v>
      </c>
      <c r="F687" s="199">
        <v>3.9976656599446422E-2</v>
      </c>
      <c r="G687" s="199">
        <v>4.8143802071576688E-2</v>
      </c>
      <c r="H687" s="199">
        <v>4.0528883257828004E-2</v>
      </c>
      <c r="I687" s="199">
        <v>4.0918335764834383E-2</v>
      </c>
      <c r="J687" s="199">
        <v>4.8632060640789281E-2</v>
      </c>
      <c r="K687" s="199">
        <v>4.4721553104252021E-2</v>
      </c>
      <c r="L687" s="199">
        <v>4.8315530282401674E-2</v>
      </c>
      <c r="M687" s="199">
        <v>4.1479333196366888E-2</v>
      </c>
      <c r="N687" s="199">
        <v>4.5781272049906792E-2</v>
      </c>
    </row>
    <row r="688" spans="1:14">
      <c r="C688" s="29">
        <v>14</v>
      </c>
      <c r="D688" s="34" t="s">
        <v>1133</v>
      </c>
      <c r="E688" s="199">
        <v>4.4911895712312633E-2</v>
      </c>
      <c r="F688" s="199">
        <v>4.1125625435012733E-2</v>
      </c>
      <c r="G688" s="199">
        <v>4.7108126110217426E-2</v>
      </c>
      <c r="H688" s="199">
        <v>4.2147552687128068E-2</v>
      </c>
      <c r="I688" s="199">
        <v>4.1857275810144201E-2</v>
      </c>
      <c r="J688" s="199">
        <v>4.7422226581492727E-2</v>
      </c>
      <c r="K688" s="199">
        <v>4.3498859580941143E-2</v>
      </c>
      <c r="L688" s="199">
        <v>4.9562889830758565E-2</v>
      </c>
      <c r="M688" s="199">
        <v>4.3649864614809172E-2</v>
      </c>
      <c r="N688" s="199">
        <v>3.7166654890222764E-2</v>
      </c>
    </row>
    <row r="689" spans="1:14">
      <c r="C689" s="29">
        <v>15</v>
      </c>
      <c r="D689" s="34" t="s">
        <v>1134</v>
      </c>
      <c r="E689" s="199">
        <v>4.6160778118517327E-2</v>
      </c>
      <c r="F689" s="199">
        <v>3.9923603416370128E-2</v>
      </c>
      <c r="G689" s="199">
        <v>4.6252359491189436E-2</v>
      </c>
      <c r="H689" s="199">
        <v>4.0674089582726274E-2</v>
      </c>
      <c r="I689" s="199">
        <v>4.2049620777067379E-2</v>
      </c>
      <c r="J689" s="199">
        <v>4.6130560655298455E-2</v>
      </c>
      <c r="K689" s="199">
        <v>3.9809545708168234E-2</v>
      </c>
      <c r="L689" s="199">
        <v>4.8611311827184929E-2</v>
      </c>
      <c r="M689" s="199">
        <v>4.1825048342103051E-2</v>
      </c>
      <c r="N689" s="199">
        <v>3.0349974141304269E-2</v>
      </c>
    </row>
    <row r="690" spans="1:14">
      <c r="C690" s="29">
        <v>16</v>
      </c>
      <c r="D690" s="34" t="s">
        <v>1135</v>
      </c>
      <c r="E690" s="199">
        <v>4.6927335197831023E-2</v>
      </c>
      <c r="F690" s="199">
        <v>4.0269277398655878E-2</v>
      </c>
      <c r="G690" s="199">
        <v>4.5778603534811377E-2</v>
      </c>
      <c r="H690" s="199">
        <v>4.0939486876416527E-2</v>
      </c>
      <c r="I690" s="199">
        <v>4.1627405598505862E-2</v>
      </c>
      <c r="J690" s="199">
        <v>4.3557192763129277E-2</v>
      </c>
      <c r="K690" s="199">
        <v>3.760883672121864E-2</v>
      </c>
      <c r="L690" s="199">
        <v>4.8175293130824921E-2</v>
      </c>
      <c r="M690" s="199">
        <v>4.2613515494158781E-2</v>
      </c>
      <c r="N690" s="199">
        <v>2.3965558156929138E-2</v>
      </c>
    </row>
    <row r="691" spans="1:14">
      <c r="C691" s="29">
        <v>17</v>
      </c>
      <c r="D691" s="34" t="s">
        <v>1136</v>
      </c>
      <c r="E691" s="199">
        <v>4.8918644398820654E-2</v>
      </c>
      <c r="F691" s="199">
        <v>3.8073644444448211E-2</v>
      </c>
      <c r="G691" s="199">
        <v>4.4587013412157178E-2</v>
      </c>
      <c r="H691" s="199">
        <v>3.8285807088218424E-2</v>
      </c>
      <c r="I691" s="199">
        <v>4.0516029189157664E-2</v>
      </c>
      <c r="J691" s="199">
        <v>4.7376565255117464E-2</v>
      </c>
      <c r="K691" s="199">
        <v>3.613673440236962E-2</v>
      </c>
      <c r="L691" s="199">
        <v>4.6977278044616058E-2</v>
      </c>
      <c r="M691" s="199">
        <v>4.1626765519128993E-2</v>
      </c>
      <c r="N691" s="199">
        <v>3.8785668522990487E-2</v>
      </c>
    </row>
    <row r="692" spans="1:14">
      <c r="C692" s="29">
        <v>18</v>
      </c>
      <c r="D692" s="34" t="s">
        <v>1137</v>
      </c>
      <c r="E692" s="199">
        <v>5.1902854458697315E-2</v>
      </c>
      <c r="F692" s="199">
        <v>3.7662811468696454E-2</v>
      </c>
      <c r="G692" s="199">
        <v>4.4266731002714908E-2</v>
      </c>
      <c r="H692" s="199">
        <v>3.8232844888962114E-2</v>
      </c>
      <c r="I692" s="199">
        <v>3.9958723129621593E-2</v>
      </c>
      <c r="J692" s="199">
        <v>4.9887446832376517E-2</v>
      </c>
      <c r="K692" s="199">
        <v>3.4742524199639253E-2</v>
      </c>
      <c r="L692" s="199">
        <v>4.6195543869907985E-2</v>
      </c>
      <c r="M692" s="199">
        <v>4.0969463080147893E-2</v>
      </c>
      <c r="N692" s="199">
        <v>3.7745976761018749E-2</v>
      </c>
    </row>
    <row r="693" spans="1:14">
      <c r="C693" s="29">
        <v>19</v>
      </c>
      <c r="D693" s="34" t="s">
        <v>1138</v>
      </c>
      <c r="E693" s="199">
        <v>5.3501587975154065E-2</v>
      </c>
      <c r="F693" s="199">
        <v>3.8198270576670683E-2</v>
      </c>
      <c r="G693" s="199">
        <v>4.4056334948371433E-2</v>
      </c>
      <c r="H693" s="199">
        <v>3.8539478433733836E-2</v>
      </c>
      <c r="I693" s="199">
        <v>4.01683701554853E-2</v>
      </c>
      <c r="J693" s="199">
        <v>5.0467776993976567E-2</v>
      </c>
      <c r="K693" s="199">
        <v>3.3967270275558029E-2</v>
      </c>
      <c r="L693" s="199">
        <v>4.2450936202307193E-2</v>
      </c>
      <c r="M693" s="199">
        <v>3.9835849579897512E-2</v>
      </c>
      <c r="N693" s="199">
        <v>3.0576992312060326E-2</v>
      </c>
    </row>
    <row r="694" spans="1:14">
      <c r="C694" s="29">
        <v>20</v>
      </c>
      <c r="D694" s="34" t="s">
        <v>1139</v>
      </c>
      <c r="E694" s="199">
        <v>5.3701862684045094E-2</v>
      </c>
      <c r="F694" s="199">
        <v>4.0072717266801949E-2</v>
      </c>
      <c r="G694" s="199">
        <v>4.2170922614459226E-2</v>
      </c>
      <c r="H694" s="199">
        <v>3.8063502654070658E-2</v>
      </c>
      <c r="I694" s="199">
        <v>4.0948041377716668E-2</v>
      </c>
      <c r="J694" s="199">
        <v>4.987356098461871E-2</v>
      </c>
      <c r="K694" s="199">
        <v>3.5699453049921906E-2</v>
      </c>
      <c r="L694" s="199">
        <v>4.1842525639344492E-2</v>
      </c>
      <c r="M694" s="199">
        <v>4.0547756582864587E-2</v>
      </c>
      <c r="N694" s="199">
        <v>2.7905026047712615E-2</v>
      </c>
    </row>
    <row r="695" spans="1:14">
      <c r="C695" s="29">
        <v>21</v>
      </c>
      <c r="D695" s="34" t="s">
        <v>1140</v>
      </c>
      <c r="E695" s="199">
        <v>5.3506933892856871E-2</v>
      </c>
      <c r="F695" s="199">
        <v>4.8410519838789669E-2</v>
      </c>
      <c r="G695" s="199">
        <v>4.174497250635343E-2</v>
      </c>
      <c r="H695" s="199">
        <v>4.0626404060148641E-2</v>
      </c>
      <c r="I695" s="199">
        <v>4.1303160519919238E-2</v>
      </c>
      <c r="J695" s="199">
        <v>5.236879140975232E-2</v>
      </c>
      <c r="K695" s="199">
        <v>4.4296887047446887E-2</v>
      </c>
      <c r="L695" s="199">
        <v>4.1112189569139743E-2</v>
      </c>
      <c r="M695" s="199">
        <v>3.9674879875647204E-2</v>
      </c>
      <c r="N695" s="199">
        <v>4.0611116290107448E-2</v>
      </c>
    </row>
    <row r="696" spans="1:14">
      <c r="C696" s="29">
        <v>22</v>
      </c>
      <c r="D696" s="34" t="s">
        <v>1141</v>
      </c>
      <c r="E696" s="199">
        <v>5.0981698191345362E-2</v>
      </c>
      <c r="F696" s="199">
        <v>5.092901687991723E-2</v>
      </c>
      <c r="G696" s="199">
        <v>3.9372770832165789E-2</v>
      </c>
      <c r="H696" s="199">
        <v>4.1509074809008735E-2</v>
      </c>
      <c r="I696" s="199">
        <v>4.0384533541209716E-2</v>
      </c>
      <c r="J696" s="199">
        <v>5.1755639326224082E-2</v>
      </c>
      <c r="K696" s="199">
        <v>4.7697259308685465E-2</v>
      </c>
      <c r="L696" s="199">
        <v>3.8654340958786282E-2</v>
      </c>
      <c r="M696" s="199">
        <v>3.8905865599511466E-2</v>
      </c>
      <c r="N696" s="199">
        <v>6.0442845750950186E-2</v>
      </c>
    </row>
    <row r="697" spans="1:14">
      <c r="C697" s="29">
        <v>23</v>
      </c>
      <c r="D697" s="34" t="s">
        <v>1142</v>
      </c>
      <c r="E697" s="199">
        <v>4.4165444035488333E-2</v>
      </c>
      <c r="F697" s="199">
        <v>4.9051193305835156E-2</v>
      </c>
      <c r="G697" s="199">
        <v>3.8205326856384524E-2</v>
      </c>
      <c r="H697" s="199">
        <v>4.2437085890811493E-2</v>
      </c>
      <c r="I697" s="199">
        <v>4.0407273390102964E-2</v>
      </c>
      <c r="J697" s="199">
        <v>4.256055105449956E-2</v>
      </c>
      <c r="K697" s="199">
        <v>4.8038422376600672E-2</v>
      </c>
      <c r="L697" s="199">
        <v>3.6755121099486643E-2</v>
      </c>
      <c r="M697" s="199">
        <v>3.970980404469656E-2</v>
      </c>
      <c r="N697" s="199">
        <v>3.8964195454134314E-2</v>
      </c>
    </row>
    <row r="698" spans="1:14">
      <c r="C698" s="29">
        <v>24</v>
      </c>
      <c r="D698" s="34" t="s">
        <v>1143</v>
      </c>
      <c r="E698" s="199">
        <v>3.5935667463960784E-2</v>
      </c>
      <c r="F698" s="199">
        <v>4.8546083676890568E-2</v>
      </c>
      <c r="G698" s="199">
        <v>3.6776879723018616E-2</v>
      </c>
      <c r="H698" s="199">
        <v>4.2827755397502804E-2</v>
      </c>
      <c r="I698" s="199">
        <v>3.8950260265659863E-2</v>
      </c>
      <c r="J698" s="199">
        <v>3.4268261275201453E-2</v>
      </c>
      <c r="K698" s="199">
        <v>4.5971274165029698E-2</v>
      </c>
      <c r="L698" s="199">
        <v>3.541011846321835E-2</v>
      </c>
      <c r="M698" s="199">
        <v>4.0279739181300123E-2</v>
      </c>
      <c r="N698" s="199">
        <v>3.7212771048711131E-2</v>
      </c>
    </row>
    <row r="699" spans="1:14">
      <c r="A699" s="16" t="s">
        <v>265</v>
      </c>
      <c r="B699" s="16" t="s">
        <v>308</v>
      </c>
      <c r="C699" s="29">
        <v>1</v>
      </c>
      <c r="D699" s="34" t="s">
        <v>1144</v>
      </c>
      <c r="E699" s="199">
        <v>3.1137265603275097E-2</v>
      </c>
      <c r="F699" s="199">
        <v>3.626237105846207E-2</v>
      </c>
      <c r="G699" s="199">
        <v>3.0585594827604739E-2</v>
      </c>
      <c r="H699" s="199">
        <v>3.0301055306753057E-2</v>
      </c>
      <c r="I699" s="199">
        <v>4.1009798595084988E-2</v>
      </c>
      <c r="J699" s="199">
        <v>3.1578780602595787E-2</v>
      </c>
      <c r="K699" s="199">
        <v>3.7067841249503561E-2</v>
      </c>
      <c r="L699" s="199">
        <v>2.6910658526849051E-2</v>
      </c>
      <c r="M699" s="199">
        <v>3.4936525444910847E-2</v>
      </c>
      <c r="N699" s="199">
        <v>2.2463175816194447E-2</v>
      </c>
    </row>
    <row r="700" spans="1:14">
      <c r="C700" s="29">
        <v>2</v>
      </c>
      <c r="D700" s="34" t="s">
        <v>1145</v>
      </c>
      <c r="E700" s="199">
        <v>2.7617294299542957E-2</v>
      </c>
      <c r="F700" s="199">
        <v>3.4899233887853903E-2</v>
      </c>
      <c r="G700" s="199">
        <v>3.0789046522133746E-2</v>
      </c>
      <c r="H700" s="199">
        <v>3.0247754941382432E-2</v>
      </c>
      <c r="I700" s="199">
        <v>4.1178816758719365E-2</v>
      </c>
      <c r="J700" s="199">
        <v>2.9074439926225604E-2</v>
      </c>
      <c r="K700" s="199">
        <v>3.5458300872103908E-2</v>
      </c>
      <c r="L700" s="199">
        <v>2.6821100666249625E-2</v>
      </c>
      <c r="M700" s="199">
        <v>3.5808499909920397E-2</v>
      </c>
      <c r="N700" s="199">
        <v>2.5152974245685408E-2</v>
      </c>
    </row>
    <row r="701" spans="1:14">
      <c r="C701" s="29">
        <v>3</v>
      </c>
      <c r="D701" s="34" t="s">
        <v>1146</v>
      </c>
      <c r="E701" s="199">
        <v>2.755293892231165E-2</v>
      </c>
      <c r="F701" s="199">
        <v>3.5477886702210318E-2</v>
      </c>
      <c r="G701" s="199">
        <v>3.1069857771241445E-2</v>
      </c>
      <c r="H701" s="199">
        <v>3.054185151435785E-2</v>
      </c>
      <c r="I701" s="199">
        <v>3.8808549902623952E-2</v>
      </c>
      <c r="J701" s="199">
        <v>2.8438638584121264E-2</v>
      </c>
      <c r="K701" s="199">
        <v>3.659715034029213E-2</v>
      </c>
      <c r="L701" s="199">
        <v>2.6695599660448707E-2</v>
      </c>
      <c r="M701" s="199">
        <v>3.6389559170928308E-2</v>
      </c>
      <c r="N701" s="199">
        <v>2.2369860862707973E-2</v>
      </c>
    </row>
    <row r="702" spans="1:14">
      <c r="C702" s="29">
        <v>4</v>
      </c>
      <c r="D702" s="34" t="s">
        <v>1147</v>
      </c>
      <c r="E702" s="199">
        <v>2.8787558274454162E-2</v>
      </c>
      <c r="F702" s="199">
        <v>3.4956995635656594E-2</v>
      </c>
      <c r="G702" s="199">
        <v>3.1493838991500045E-2</v>
      </c>
      <c r="H702" s="199">
        <v>3.0592250720600712E-2</v>
      </c>
      <c r="I702" s="199">
        <v>3.6153703004724744E-2</v>
      </c>
      <c r="J702" s="199">
        <v>2.7245586829262786E-2</v>
      </c>
      <c r="K702" s="199">
        <v>3.5286193596360566E-2</v>
      </c>
      <c r="L702" s="199">
        <v>2.621385294245001E-2</v>
      </c>
      <c r="M702" s="199">
        <v>3.6184048496663394E-2</v>
      </c>
      <c r="N702" s="199">
        <v>2.42816943626946E-2</v>
      </c>
    </row>
    <row r="703" spans="1:14">
      <c r="C703" s="29">
        <v>5</v>
      </c>
      <c r="D703" s="34" t="s">
        <v>1148</v>
      </c>
      <c r="E703" s="199">
        <v>3.1369855776047541E-2</v>
      </c>
      <c r="F703" s="199">
        <v>3.5075625140250498E-2</v>
      </c>
      <c r="G703" s="199">
        <v>3.3244137551470057E-2</v>
      </c>
      <c r="H703" s="199">
        <v>3.2301505728574854E-2</v>
      </c>
      <c r="I703" s="199">
        <v>3.8372339479780714E-2</v>
      </c>
      <c r="J703" s="199">
        <v>3.0807190899735729E-2</v>
      </c>
      <c r="K703" s="199">
        <v>3.588353841550692E-2</v>
      </c>
      <c r="L703" s="199">
        <v>3.0126670015169686E-2</v>
      </c>
      <c r="M703" s="199">
        <v>3.9018784851626978E-2</v>
      </c>
      <c r="N703" s="199">
        <v>4.154679847012481E-2</v>
      </c>
    </row>
    <row r="704" spans="1:14">
      <c r="C704" s="29">
        <v>6</v>
      </c>
      <c r="D704" s="34" t="s">
        <v>1149</v>
      </c>
      <c r="E704" s="199">
        <v>3.6104102686640396E-2</v>
      </c>
      <c r="F704" s="199">
        <v>3.2718698685099482E-2</v>
      </c>
      <c r="G704" s="199">
        <v>3.4786474352069122E-2</v>
      </c>
      <c r="H704" s="199">
        <v>3.2737894036444774E-2</v>
      </c>
      <c r="I704" s="199">
        <v>3.9066513261840109E-2</v>
      </c>
      <c r="J704" s="199">
        <v>3.5792822306604244E-2</v>
      </c>
      <c r="K704" s="199">
        <v>3.3397541144543574E-2</v>
      </c>
      <c r="L704" s="199">
        <v>3.5261382594794798E-2</v>
      </c>
      <c r="M704" s="199">
        <v>4.3213728113040903E-2</v>
      </c>
      <c r="N704" s="199">
        <v>5.2576952676658788E-2</v>
      </c>
    </row>
    <row r="705" spans="3:14">
      <c r="C705" s="29">
        <v>7</v>
      </c>
      <c r="D705" s="34" t="s">
        <v>1150</v>
      </c>
      <c r="E705" s="199">
        <v>4.1795764050430943E-2</v>
      </c>
      <c r="F705" s="199">
        <v>3.1903438121504465E-2</v>
      </c>
      <c r="G705" s="199">
        <v>3.8729107001681772E-2</v>
      </c>
      <c r="H705" s="199">
        <v>3.7974486262066981E-2</v>
      </c>
      <c r="I705" s="199">
        <v>4.3450820351124408E-2</v>
      </c>
      <c r="J705" s="199">
        <v>4.5184727671611254E-2</v>
      </c>
      <c r="K705" s="199">
        <v>3.2818602571186829E-2</v>
      </c>
      <c r="L705" s="199">
        <v>4.1819706583648475E-2</v>
      </c>
      <c r="M705" s="199">
        <v>4.4093124867880834E-2</v>
      </c>
      <c r="N705" s="199">
        <v>6.7841808897100953E-2</v>
      </c>
    </row>
    <row r="706" spans="3:14">
      <c r="C706" s="29">
        <v>8</v>
      </c>
      <c r="D706" s="34" t="s">
        <v>1151</v>
      </c>
      <c r="E706" s="199">
        <v>4.6585809048573075E-2</v>
      </c>
      <c r="F706" s="199">
        <v>3.7580237313113864E-2</v>
      </c>
      <c r="G706" s="199">
        <v>4.3792364314102106E-2</v>
      </c>
      <c r="H706" s="199">
        <v>4.486683072384192E-2</v>
      </c>
      <c r="I706" s="199">
        <v>4.4783839099344955E-2</v>
      </c>
      <c r="J706" s="199">
        <v>4.5452710132628298E-2</v>
      </c>
      <c r="K706" s="199">
        <v>4.0266118803675706E-2</v>
      </c>
      <c r="L706" s="199">
        <v>4.6829889593829464E-2</v>
      </c>
      <c r="M706" s="199">
        <v>4.9520553814637665E-2</v>
      </c>
      <c r="N706" s="199">
        <v>6.5717209135554372E-2</v>
      </c>
    </row>
    <row r="707" spans="3:14">
      <c r="C707" s="29">
        <v>9</v>
      </c>
      <c r="D707" s="34" t="s">
        <v>1152</v>
      </c>
      <c r="E707" s="199">
        <v>4.4079525162928755E-2</v>
      </c>
      <c r="F707" s="199">
        <v>4.5722389391930601E-2</v>
      </c>
      <c r="G707" s="199">
        <v>4.8491837829364524E-2</v>
      </c>
      <c r="H707" s="199">
        <v>4.8236290909885841E-2</v>
      </c>
      <c r="I707" s="199">
        <v>4.6823113909325462E-2</v>
      </c>
      <c r="J707" s="199">
        <v>4.3058624563891333E-2</v>
      </c>
      <c r="K707" s="199">
        <v>4.724770844459323E-2</v>
      </c>
      <c r="L707" s="199">
        <v>5.3400442252115758E-2</v>
      </c>
      <c r="M707" s="199">
        <v>5.1341617444193299E-2</v>
      </c>
      <c r="N707" s="199">
        <v>5.3470693489372813E-2</v>
      </c>
    </row>
    <row r="708" spans="3:14">
      <c r="C708" s="29">
        <v>10</v>
      </c>
      <c r="D708" s="34" t="s">
        <v>1153</v>
      </c>
      <c r="E708" s="199">
        <v>4.365363141979197E-2</v>
      </c>
      <c r="F708" s="199">
        <v>4.7564586701585782E-2</v>
      </c>
      <c r="G708" s="199">
        <v>4.925679259671592E-2</v>
      </c>
      <c r="H708" s="199">
        <v>4.8831163468712226E-2</v>
      </c>
      <c r="I708" s="199">
        <v>4.4578574096608828E-2</v>
      </c>
      <c r="J708" s="199">
        <v>4.2872759285494243E-2</v>
      </c>
      <c r="K708" s="199">
        <v>4.8318437048138881E-2</v>
      </c>
      <c r="L708" s="199">
        <v>5.3928803629411944E-2</v>
      </c>
      <c r="M708" s="199">
        <v>5.2218507971298303E-2</v>
      </c>
      <c r="N708" s="199">
        <v>4.6762226351856992E-2</v>
      </c>
    </row>
    <row r="709" spans="3:14">
      <c r="C709" s="29">
        <v>11</v>
      </c>
      <c r="D709" s="34" t="s">
        <v>1154</v>
      </c>
      <c r="E709" s="199">
        <v>4.1990083858304689E-2</v>
      </c>
      <c r="F709" s="199">
        <v>5.1322356608506703E-2</v>
      </c>
      <c r="G709" s="199">
        <v>5.206112562535526E-2</v>
      </c>
      <c r="H709" s="199">
        <v>4.8633344897488572E-2</v>
      </c>
      <c r="I709" s="199">
        <v>4.4720574321134146E-2</v>
      </c>
      <c r="J709" s="199">
        <v>4.6217316700813534E-2</v>
      </c>
      <c r="K709" s="199">
        <v>5.1661508429720275E-2</v>
      </c>
      <c r="L709" s="199">
        <v>5.490351144099883E-2</v>
      </c>
      <c r="M709" s="199">
        <v>5.2297550538323266E-2</v>
      </c>
      <c r="N709" s="199">
        <v>4.5492775441954521E-2</v>
      </c>
    </row>
    <row r="710" spans="3:14">
      <c r="C710" s="29">
        <v>12</v>
      </c>
      <c r="D710" s="34" t="s">
        <v>1155</v>
      </c>
      <c r="E710" s="199">
        <v>4.0816144332775341E-2</v>
      </c>
      <c r="F710" s="199">
        <v>5.1659208293003918E-2</v>
      </c>
      <c r="G710" s="199">
        <v>5.1284389894234485E-2</v>
      </c>
      <c r="H710" s="199">
        <v>4.9346018010665758E-2</v>
      </c>
      <c r="I710" s="199">
        <v>4.1179173431182846E-2</v>
      </c>
      <c r="J710" s="199">
        <v>4.631867484675542E-2</v>
      </c>
      <c r="K710" s="199">
        <v>5.2068043806983356E-2</v>
      </c>
      <c r="L710" s="199">
        <v>5.5108227367365044E-2</v>
      </c>
      <c r="M710" s="199">
        <v>4.945539189352928E-2</v>
      </c>
      <c r="N710" s="199">
        <v>4.3052497522661541E-2</v>
      </c>
    </row>
    <row r="711" spans="3:14">
      <c r="C711" s="29">
        <v>13</v>
      </c>
      <c r="D711" s="34" t="s">
        <v>1156</v>
      </c>
      <c r="E711" s="199">
        <v>4.0698099323388116E-2</v>
      </c>
      <c r="F711" s="199">
        <v>5.1093296795089664E-2</v>
      </c>
      <c r="G711" s="199">
        <v>5.1653969335464983E-2</v>
      </c>
      <c r="H711" s="199">
        <v>5.079909392077625E-2</v>
      </c>
      <c r="I711" s="199">
        <v>4.2392483983845937E-2</v>
      </c>
      <c r="J711" s="199">
        <v>4.5807066874409316E-2</v>
      </c>
      <c r="K711" s="199">
        <v>5.0208332365427197E-2</v>
      </c>
      <c r="L711" s="199">
        <v>5.5653774596679265E-2</v>
      </c>
      <c r="M711" s="199">
        <v>5.2172431938325207E-2</v>
      </c>
      <c r="N711" s="199">
        <v>4.6390600060072777E-2</v>
      </c>
    </row>
    <row r="712" spans="3:14">
      <c r="C712" s="29">
        <v>14</v>
      </c>
      <c r="D712" s="34" t="s">
        <v>1157</v>
      </c>
      <c r="E712" s="199">
        <v>4.0115244372781862E-2</v>
      </c>
      <c r="F712" s="199">
        <v>5.1498647667064953E-2</v>
      </c>
      <c r="G712" s="199">
        <v>5.1000986411596137E-2</v>
      </c>
      <c r="H712" s="199">
        <v>5.4104728606009247E-2</v>
      </c>
      <c r="I712" s="199">
        <v>4.065410698087369E-2</v>
      </c>
      <c r="J712" s="199">
        <v>4.324941911382358E-2</v>
      </c>
      <c r="K712" s="199">
        <v>5.1009714266115912E-2</v>
      </c>
      <c r="L712" s="199">
        <v>5.5303386074279828E-2</v>
      </c>
      <c r="M712" s="199">
        <v>5.1779436150812069E-2</v>
      </c>
      <c r="N712" s="199">
        <v>5.9115737699629169E-2</v>
      </c>
    </row>
    <row r="713" spans="3:14">
      <c r="C713" s="29">
        <v>15</v>
      </c>
      <c r="D713" s="34" t="s">
        <v>1158</v>
      </c>
      <c r="E713" s="199">
        <v>4.1844695411631605E-2</v>
      </c>
      <c r="F713" s="199">
        <v>5.0485687961453155E-2</v>
      </c>
      <c r="G713" s="199">
        <v>5.0402475516986553E-2</v>
      </c>
      <c r="H713" s="199">
        <v>5.2324563871447093E-2</v>
      </c>
      <c r="I713" s="199">
        <v>3.7490199309464269E-2</v>
      </c>
      <c r="J713" s="199">
        <v>4.157335476296789E-2</v>
      </c>
      <c r="K713" s="199">
        <v>4.9991008460155681E-2</v>
      </c>
      <c r="L713" s="199">
        <v>5.4685852553761183E-2</v>
      </c>
      <c r="M713" s="199">
        <v>5.1932123255894427E-2</v>
      </c>
      <c r="N713" s="199">
        <v>5.627524685072241E-2</v>
      </c>
    </row>
    <row r="714" spans="3:14">
      <c r="C714" s="29">
        <v>16</v>
      </c>
      <c r="D714" s="34" t="s">
        <v>1159</v>
      </c>
      <c r="E714" s="199">
        <v>4.2724961292035631E-2</v>
      </c>
      <c r="F714" s="199">
        <v>4.9892807622052546E-2</v>
      </c>
      <c r="G714" s="199">
        <v>4.7854267806217217E-2</v>
      </c>
      <c r="H714" s="199">
        <v>4.7411754498247249E-2</v>
      </c>
      <c r="I714" s="199">
        <v>3.9787080806197452E-2</v>
      </c>
      <c r="J714" s="199">
        <v>4.3907887636396456E-2</v>
      </c>
      <c r="K714" s="199">
        <v>5.0028886264996034E-2</v>
      </c>
      <c r="L714" s="199">
        <v>5.1255467918821462E-2</v>
      </c>
      <c r="M714" s="199">
        <v>4.7694574122986576E-2</v>
      </c>
      <c r="N714" s="199">
        <v>5.0666140128023215E-2</v>
      </c>
    </row>
    <row r="715" spans="3:14">
      <c r="C715" s="29">
        <v>17</v>
      </c>
      <c r="D715" s="34" t="s">
        <v>1160</v>
      </c>
      <c r="E715" s="199">
        <v>4.6577038064087674E-2</v>
      </c>
      <c r="F715" s="199">
        <v>4.7772188334625106E-2</v>
      </c>
      <c r="G715" s="199">
        <v>4.5669583966750395E-2</v>
      </c>
      <c r="H715" s="199">
        <v>4.4271283476846265E-2</v>
      </c>
      <c r="I715" s="199">
        <v>4.0929636458916535E-2</v>
      </c>
      <c r="J715" s="199">
        <v>4.6570646511024723E-2</v>
      </c>
      <c r="K715" s="199">
        <v>4.7027721256168879E-2</v>
      </c>
      <c r="L715" s="199">
        <v>4.6780474912091793E-2</v>
      </c>
      <c r="M715" s="199">
        <v>3.643852700513401E-2</v>
      </c>
      <c r="N715" s="199">
        <v>4.1621736299292292E-2</v>
      </c>
    </row>
    <row r="716" spans="3:14">
      <c r="C716" s="29">
        <v>18</v>
      </c>
      <c r="D716" s="34" t="s">
        <v>1161</v>
      </c>
      <c r="E716" s="199">
        <v>4.957727986213209E-2</v>
      </c>
      <c r="F716" s="199">
        <v>4.0701408969172057E-2</v>
      </c>
      <c r="G716" s="199">
        <v>4.5728889211915057E-2</v>
      </c>
      <c r="H716" s="199">
        <v>4.3801363166964695E-2</v>
      </c>
      <c r="I716" s="199">
        <v>4.1379801691893654E-2</v>
      </c>
      <c r="J716" s="199">
        <v>5.078978552991615E-2</v>
      </c>
      <c r="K716" s="199">
        <v>4.0231555306758884E-2</v>
      </c>
      <c r="L716" s="199">
        <v>4.413353941308016E-2</v>
      </c>
      <c r="M716" s="199">
        <v>3.5639329537812091E-2</v>
      </c>
      <c r="N716" s="199">
        <v>3.7156299280045525E-2</v>
      </c>
    </row>
    <row r="717" spans="3:14">
      <c r="C717" s="29">
        <v>19</v>
      </c>
      <c r="D717" s="34" t="s">
        <v>1162</v>
      </c>
      <c r="E717" s="199">
        <v>5.2764632830016221E-2</v>
      </c>
      <c r="F717" s="199">
        <v>3.5413963033349753E-2</v>
      </c>
      <c r="G717" s="199">
        <v>4.3090817405416454E-2</v>
      </c>
      <c r="H717" s="199">
        <v>4.2018364742091689E-2</v>
      </c>
      <c r="I717" s="199">
        <v>4.0737479169213518E-2</v>
      </c>
      <c r="J717" s="199">
        <v>5.1704781558631729E-2</v>
      </c>
      <c r="K717" s="199">
        <v>3.2135292890273892E-2</v>
      </c>
      <c r="L717" s="199">
        <v>4.0791526914951422E-2</v>
      </c>
      <c r="M717" s="199">
        <v>3.3822989183603061E-2</v>
      </c>
      <c r="N717" s="199">
        <v>2.9365011139600185E-2</v>
      </c>
    </row>
    <row r="718" spans="3:14">
      <c r="C718" s="29">
        <v>20</v>
      </c>
      <c r="D718" s="34" t="s">
        <v>1163</v>
      </c>
      <c r="E718" s="199">
        <v>5.3583055434321999E-2</v>
      </c>
      <c r="F718" s="199">
        <v>3.3693718323926744E-2</v>
      </c>
      <c r="G718" s="199">
        <v>4.0933313380394333E-2</v>
      </c>
      <c r="H718" s="199">
        <v>4.0410717772406374E-2</v>
      </c>
      <c r="I718" s="199">
        <v>4.2559317528641456E-2</v>
      </c>
      <c r="J718" s="199">
        <v>5.0476870144848404E-2</v>
      </c>
      <c r="K718" s="199">
        <v>3.2466901234837156E-2</v>
      </c>
      <c r="L718" s="199">
        <v>3.9517659562957358E-2</v>
      </c>
      <c r="M718" s="199">
        <v>3.3493034662961045E-2</v>
      </c>
      <c r="N718" s="199">
        <v>3.7615114817209881E-2</v>
      </c>
    </row>
    <row r="719" spans="3:14">
      <c r="C719" s="29">
        <v>21</v>
      </c>
      <c r="D719" s="34" t="s">
        <v>1164</v>
      </c>
      <c r="E719" s="199">
        <v>5.6238384322163916E-2</v>
      </c>
      <c r="F719" s="199">
        <v>3.8422650406898864E-2</v>
      </c>
      <c r="G719" s="199">
        <v>3.9589321082517281E-2</v>
      </c>
      <c r="H719" s="199">
        <v>4.0209660697970322E-2</v>
      </c>
      <c r="I719" s="199">
        <v>4.3178768429600556E-2</v>
      </c>
      <c r="J719" s="199">
        <v>5.0660382816376442E-2</v>
      </c>
      <c r="K719" s="199">
        <v>3.847881907184169E-2</v>
      </c>
      <c r="L719" s="199">
        <v>3.7191298061688749E-2</v>
      </c>
      <c r="M719" s="199">
        <v>3.2953135372830782E-2</v>
      </c>
      <c r="N719" s="199">
        <v>3.4191252366309995E-2</v>
      </c>
    </row>
    <row r="720" spans="3:14">
      <c r="C720" s="29">
        <v>22</v>
      </c>
      <c r="D720" s="34" t="s">
        <v>1165</v>
      </c>
      <c r="E720" s="199">
        <v>5.333594826123994E-2</v>
      </c>
      <c r="F720" s="199">
        <v>4.3824250522535919E-2</v>
      </c>
      <c r="G720" s="199">
        <v>3.9353814207499491E-2</v>
      </c>
      <c r="H720" s="199">
        <v>4.2120175186831296E-2</v>
      </c>
      <c r="I720" s="199">
        <v>4.3460227587348854E-2</v>
      </c>
      <c r="J720" s="199">
        <v>4.9256147252053878E-2</v>
      </c>
      <c r="K720" s="199">
        <v>4.1954521954434366E-2</v>
      </c>
      <c r="L720" s="199">
        <v>3.5385440731889296E-2</v>
      </c>
      <c r="M720" s="199">
        <v>3.3558485764192694E-2</v>
      </c>
      <c r="N720" s="199">
        <v>2.8266059105323992E-2</v>
      </c>
    </row>
    <row r="721" spans="1:14">
      <c r="C721" s="29">
        <v>23</v>
      </c>
      <c r="D721" s="34" t="s">
        <v>1166</v>
      </c>
      <c r="E721" s="199">
        <v>4.4846309605191058E-2</v>
      </c>
      <c r="F721" s="199">
        <v>4.1201175834809214E-2</v>
      </c>
      <c r="G721" s="199">
        <v>3.589937148944667E-2</v>
      </c>
      <c r="H721" s="199">
        <v>3.9741764452596494E-2</v>
      </c>
      <c r="I721" s="199">
        <v>4.5155893062818662E-2</v>
      </c>
      <c r="J721" s="199">
        <v>3.9916876797871266E-2</v>
      </c>
      <c r="K721" s="199">
        <v>4.0397211518865356E-2</v>
      </c>
      <c r="L721" s="199">
        <v>3.2045842538823775E-2</v>
      </c>
      <c r="M721" s="199">
        <v>3.2864164288240488E-2</v>
      </c>
      <c r="N721" s="199">
        <v>3.3163358546067265E-2</v>
      </c>
    </row>
    <row r="722" spans="1:14">
      <c r="C722" s="29">
        <v>24</v>
      </c>
      <c r="D722" s="34" t="s">
        <v>1167</v>
      </c>
      <c r="E722" s="199">
        <v>3.620437778593321E-2</v>
      </c>
      <c r="F722" s="199">
        <v>4.0857176989843778E-2</v>
      </c>
      <c r="G722" s="199">
        <v>3.3238622908322198E-2</v>
      </c>
      <c r="H722" s="199">
        <v>3.8176083087038425E-2</v>
      </c>
      <c r="I722" s="199">
        <v>4.2149188779690636E-2</v>
      </c>
      <c r="J722" s="199">
        <v>3.4044508651940482E-2</v>
      </c>
      <c r="K722" s="199">
        <v>3.9999050687516191E-2</v>
      </c>
      <c r="L722" s="199">
        <v>2.923589144764431E-2</v>
      </c>
      <c r="M722" s="199">
        <v>3.3173876200254158E-2</v>
      </c>
      <c r="N722" s="199">
        <v>3.5444776435136001E-2</v>
      </c>
    </row>
    <row r="723" spans="1:14">
      <c r="A723" s="16" t="s">
        <v>265</v>
      </c>
      <c r="B723" s="16" t="s">
        <v>309</v>
      </c>
      <c r="C723" s="29">
        <v>1</v>
      </c>
      <c r="D723" s="34" t="s">
        <v>1168</v>
      </c>
      <c r="E723" s="199">
        <v>3.1125547019752554E-2</v>
      </c>
      <c r="F723" s="199">
        <v>3.5001438255703447E-2</v>
      </c>
      <c r="G723" s="199">
        <v>2.9261351983893631E-2</v>
      </c>
      <c r="H723" s="199">
        <v>3.1842013270179576E-2</v>
      </c>
      <c r="I723" s="199">
        <v>4.145464271933208E-2</v>
      </c>
      <c r="J723" s="199">
        <v>3.2430937646290174E-2</v>
      </c>
      <c r="K723" s="199">
        <v>3.5408876460794665E-2</v>
      </c>
      <c r="L723" s="199">
        <v>2.6172322276866663E-2</v>
      </c>
      <c r="M723" s="199">
        <v>3.0893191005720102E-2</v>
      </c>
      <c r="N723" s="199">
        <v>3.7857749510412694E-2</v>
      </c>
    </row>
    <row r="724" spans="1:14">
      <c r="C724" s="29">
        <v>2</v>
      </c>
      <c r="D724" s="34" t="s">
        <v>1169</v>
      </c>
      <c r="E724" s="199">
        <v>2.9317539531009951E-2</v>
      </c>
      <c r="F724" s="199">
        <v>3.2784957483207672E-2</v>
      </c>
      <c r="G724" s="199">
        <v>2.9560155022647656E-2</v>
      </c>
      <c r="H724" s="199">
        <v>3.1643925503125343E-2</v>
      </c>
      <c r="I724" s="199">
        <v>4.3080953800820845E-2</v>
      </c>
      <c r="J724" s="199">
        <v>2.9573536021524953E-2</v>
      </c>
      <c r="K724" s="199">
        <v>3.3841963329237813E-2</v>
      </c>
      <c r="L724" s="199">
        <v>2.5872130165710897E-2</v>
      </c>
      <c r="M724" s="199">
        <v>3.186129532467618E-2</v>
      </c>
      <c r="N724" s="199">
        <v>3.7170386833683615E-2</v>
      </c>
    </row>
    <row r="725" spans="1:14">
      <c r="C725" s="29">
        <v>3</v>
      </c>
      <c r="D725" s="34" t="s">
        <v>1170</v>
      </c>
      <c r="E725" s="199">
        <v>2.8840169425648307E-2</v>
      </c>
      <c r="F725" s="199">
        <v>3.2566195316218488E-2</v>
      </c>
      <c r="G725" s="199">
        <v>2.9255969182040171E-2</v>
      </c>
      <c r="H725" s="199">
        <v>3.0833375759114386E-2</v>
      </c>
      <c r="I725" s="199">
        <v>4.4529896165853997E-2</v>
      </c>
      <c r="J725" s="199">
        <v>2.8932402409428046E-2</v>
      </c>
      <c r="K725" s="199">
        <v>3.35175082860239E-2</v>
      </c>
      <c r="L725" s="199">
        <v>2.466573926242438E-2</v>
      </c>
      <c r="M725" s="199">
        <v>3.1158217107773261E-2</v>
      </c>
      <c r="N725" s="199">
        <v>3.1300376743408485E-2</v>
      </c>
    </row>
    <row r="726" spans="1:14">
      <c r="C726" s="29">
        <v>4</v>
      </c>
      <c r="D726" s="34" t="s">
        <v>1171</v>
      </c>
      <c r="E726" s="199">
        <v>2.8637404840647418E-2</v>
      </c>
      <c r="F726" s="199">
        <v>3.2316247445187463E-2</v>
      </c>
      <c r="G726" s="199">
        <v>2.9398920289219862E-2</v>
      </c>
      <c r="H726" s="199">
        <v>3.040845652211626E-2</v>
      </c>
      <c r="I726" s="199">
        <v>4.4214359630967821E-2</v>
      </c>
      <c r="J726" s="199">
        <v>2.9871443858414587E-2</v>
      </c>
      <c r="K726" s="199">
        <v>3.2619522412787906E-2</v>
      </c>
      <c r="L726" s="199">
        <v>2.4381261202404858E-2</v>
      </c>
      <c r="M726" s="199">
        <v>3.0818383776086047E-2</v>
      </c>
      <c r="N726" s="199">
        <v>3.1716264747325182E-2</v>
      </c>
    </row>
    <row r="727" spans="1:14">
      <c r="C727" s="29">
        <v>5</v>
      </c>
      <c r="D727" s="34" t="s">
        <v>1172</v>
      </c>
      <c r="E727" s="199">
        <v>3.1853578933335305E-2</v>
      </c>
      <c r="F727" s="199">
        <v>3.3203668702247745E-2</v>
      </c>
      <c r="G727" s="199">
        <v>3.1300251204238891E-2</v>
      </c>
      <c r="H727" s="199">
        <v>3.2245672371904274E-2</v>
      </c>
      <c r="I727" s="199">
        <v>4.2891833584733564E-2</v>
      </c>
      <c r="J727" s="199">
        <v>3.3139904146991729E-2</v>
      </c>
      <c r="K727" s="199">
        <v>3.3726308558300319E-2</v>
      </c>
      <c r="L727" s="199">
        <v>2.9238685414643677E-2</v>
      </c>
      <c r="M727" s="199">
        <v>3.5741668870644949E-2</v>
      </c>
      <c r="N727" s="199">
        <v>4.3695667749331299E-2</v>
      </c>
    </row>
    <row r="728" spans="1:14">
      <c r="C728" s="29">
        <v>6</v>
      </c>
      <c r="D728" s="34" t="s">
        <v>1173</v>
      </c>
      <c r="E728" s="199">
        <v>3.8119849768517164E-2</v>
      </c>
      <c r="F728" s="199">
        <v>3.0158964041727639E-2</v>
      </c>
      <c r="G728" s="199">
        <v>3.3575507847536955E-2</v>
      </c>
      <c r="H728" s="199">
        <v>3.3047944836582126E-2</v>
      </c>
      <c r="I728" s="199">
        <v>4.3494931069561864E-2</v>
      </c>
      <c r="J728" s="199">
        <v>3.8671323366465712E-2</v>
      </c>
      <c r="K728" s="199">
        <v>3.082491730054155E-2</v>
      </c>
      <c r="L728" s="199">
        <v>3.6027509366537765E-2</v>
      </c>
      <c r="M728" s="199">
        <v>4.3721716374150281E-2</v>
      </c>
      <c r="N728" s="199">
        <v>6.1607771900076429E-2</v>
      </c>
    </row>
    <row r="729" spans="1:14">
      <c r="C729" s="29">
        <v>7</v>
      </c>
      <c r="D729" s="34" t="s">
        <v>1174</v>
      </c>
      <c r="E729" s="199">
        <v>4.6151306720618325E-2</v>
      </c>
      <c r="F729" s="199">
        <v>3.1663027127571852E-2</v>
      </c>
      <c r="G729" s="199">
        <v>3.7787620619511651E-2</v>
      </c>
      <c r="H729" s="199">
        <v>4.0240050171651491E-2</v>
      </c>
      <c r="I729" s="199">
        <v>4.7494036552425713E-2</v>
      </c>
      <c r="J729" s="199">
        <v>5.0548262082508857E-2</v>
      </c>
      <c r="K729" s="199">
        <v>3.3467264380669916E-2</v>
      </c>
      <c r="L729" s="199">
        <v>4.2944457224943909E-2</v>
      </c>
      <c r="M729" s="199">
        <v>4.7860897328266198E-2</v>
      </c>
      <c r="N729" s="199">
        <v>6.9906500764233867E-2</v>
      </c>
    </row>
    <row r="730" spans="1:14">
      <c r="C730" s="29">
        <v>8</v>
      </c>
      <c r="D730" s="34" t="s">
        <v>1175</v>
      </c>
      <c r="E730" s="199">
        <v>5.035046647123332E-2</v>
      </c>
      <c r="F730" s="199">
        <v>3.9386249936499952E-2</v>
      </c>
      <c r="G730" s="199">
        <v>4.2878696348296989E-2</v>
      </c>
      <c r="H730" s="199">
        <v>4.5612684783174394E-2</v>
      </c>
      <c r="I730" s="199">
        <v>4.8930481986880402E-2</v>
      </c>
      <c r="J730" s="199">
        <v>5.1189549314735648E-2</v>
      </c>
      <c r="K730" s="199">
        <v>4.078752002487597E-2</v>
      </c>
      <c r="L730" s="199">
        <v>4.7398584705268941E-2</v>
      </c>
      <c r="M730" s="199">
        <v>5.2457792444140589E-2</v>
      </c>
      <c r="N730" s="199">
        <v>5.7425942455578916E-2</v>
      </c>
    </row>
    <row r="731" spans="1:14">
      <c r="C731" s="29">
        <v>9</v>
      </c>
      <c r="D731" s="34" t="s">
        <v>1176</v>
      </c>
      <c r="E731" s="199">
        <v>4.4396571174190921E-2</v>
      </c>
      <c r="F731" s="199">
        <v>4.8276024543210706E-2</v>
      </c>
      <c r="G731" s="199">
        <v>4.7960534370813615E-2</v>
      </c>
      <c r="H731" s="199">
        <v>4.9669742223977957E-2</v>
      </c>
      <c r="I731" s="199">
        <v>4.7850484091626608E-2</v>
      </c>
      <c r="J731" s="199">
        <v>4.3614924760172813E-2</v>
      </c>
      <c r="K731" s="199">
        <v>4.7353715137529367E-2</v>
      </c>
      <c r="L731" s="199">
        <v>5.3131185892257779E-2</v>
      </c>
      <c r="M731" s="199">
        <v>5.4900275927106668E-2</v>
      </c>
      <c r="N731" s="199">
        <v>4.4269029721532294E-2</v>
      </c>
    </row>
    <row r="732" spans="1:14">
      <c r="C732" s="29">
        <v>10</v>
      </c>
      <c r="D732" s="34" t="s">
        <v>1177</v>
      </c>
      <c r="E732" s="199">
        <v>4.2845712392558903E-2</v>
      </c>
      <c r="F732" s="199">
        <v>4.9469786792247263E-2</v>
      </c>
      <c r="G732" s="199">
        <v>4.8278170823178458E-2</v>
      </c>
      <c r="H732" s="199">
        <v>5.1038894935586325E-2</v>
      </c>
      <c r="I732" s="199">
        <v>4.0017320307292936E-2</v>
      </c>
      <c r="J732" s="199">
        <v>4.331071849795768E-2</v>
      </c>
      <c r="K732" s="199">
        <v>4.9800017198153849E-2</v>
      </c>
      <c r="L732" s="199">
        <v>5.3775448882879717E-2</v>
      </c>
      <c r="M732" s="199">
        <v>5.3121638018607066E-2</v>
      </c>
      <c r="N732" s="199">
        <v>4.0071340931887661E-2</v>
      </c>
    </row>
    <row r="733" spans="1:14">
      <c r="C733" s="29">
        <v>11</v>
      </c>
      <c r="D733" s="34" t="s">
        <v>1178</v>
      </c>
      <c r="E733" s="199">
        <v>4.1493066587870116E-2</v>
      </c>
      <c r="F733" s="199">
        <v>5.1293380080868041E-2</v>
      </c>
      <c r="G733" s="199">
        <v>5.1186060113289952E-2</v>
      </c>
      <c r="H733" s="199">
        <v>4.9345567681328813E-2</v>
      </c>
      <c r="I733" s="199">
        <v>3.7383405830146973E-2</v>
      </c>
      <c r="J733" s="199">
        <v>4.1350986500947928E-2</v>
      </c>
      <c r="K733" s="199">
        <v>5.1355139759920954E-2</v>
      </c>
      <c r="L733" s="199">
        <v>5.3277645042756172E-2</v>
      </c>
      <c r="M733" s="199">
        <v>5.0881079184824346E-2</v>
      </c>
      <c r="N733" s="199">
        <v>3.9587351034103935E-2</v>
      </c>
    </row>
    <row r="734" spans="1:14">
      <c r="C734" s="29">
        <v>12</v>
      </c>
      <c r="D734" s="34" t="s">
        <v>1179</v>
      </c>
      <c r="E734" s="199">
        <v>3.9312949217135656E-2</v>
      </c>
      <c r="F734" s="199">
        <v>5.4034732892981115E-2</v>
      </c>
      <c r="G734" s="199">
        <v>5.2264404096473302E-2</v>
      </c>
      <c r="H734" s="199">
        <v>5.2669972513763243E-2</v>
      </c>
      <c r="I734" s="199">
        <v>3.7361656786052543E-2</v>
      </c>
      <c r="J734" s="199">
        <v>4.0970248610273097E-2</v>
      </c>
      <c r="K734" s="199">
        <v>5.3252054861842799E-2</v>
      </c>
      <c r="L734" s="199">
        <v>5.6223262931894114E-2</v>
      </c>
      <c r="M734" s="199">
        <v>5.0186140140827812E-2</v>
      </c>
      <c r="N734" s="199">
        <v>4.9527428830722212E-2</v>
      </c>
    </row>
    <row r="735" spans="1:14">
      <c r="C735" s="29">
        <v>13</v>
      </c>
      <c r="D735" s="34" t="s">
        <v>1180</v>
      </c>
      <c r="E735" s="199">
        <v>3.9591983858792555E-2</v>
      </c>
      <c r="F735" s="199">
        <v>5.4625489354773786E-2</v>
      </c>
      <c r="G735" s="199">
        <v>5.341484693868679E-2</v>
      </c>
      <c r="H735" s="199">
        <v>5.1497546920551605E-2</v>
      </c>
      <c r="I735" s="199">
        <v>3.6846476304065665E-2</v>
      </c>
      <c r="J735" s="199">
        <v>3.9606668331076768E-2</v>
      </c>
      <c r="K735" s="199">
        <v>5.4150549873319714E-2</v>
      </c>
      <c r="L735" s="199">
        <v>5.7297794728857189E-2</v>
      </c>
      <c r="M735" s="199">
        <v>5.432961930984935E-2</v>
      </c>
      <c r="N735" s="199">
        <v>3.7000038808750475E-2</v>
      </c>
    </row>
    <row r="736" spans="1:14">
      <c r="C736" s="29">
        <v>14</v>
      </c>
      <c r="D736" s="34" t="s">
        <v>1181</v>
      </c>
      <c r="E736" s="199">
        <v>3.8004222265653309E-2</v>
      </c>
      <c r="F736" s="199">
        <v>5.6125453924177726E-2</v>
      </c>
      <c r="G736" s="199">
        <v>5.3729088773730727E-2</v>
      </c>
      <c r="H736" s="199">
        <v>5.4229445956339266E-2</v>
      </c>
      <c r="I736" s="199">
        <v>3.9311747991721324E-2</v>
      </c>
      <c r="J736" s="199">
        <v>3.8216809408411087E-2</v>
      </c>
      <c r="K736" s="199">
        <v>5.6966647077349546E-2</v>
      </c>
      <c r="L736" s="199">
        <v>5.7974154225928394E-2</v>
      </c>
      <c r="M736" s="199">
        <v>5.3014182645966461E-2</v>
      </c>
      <c r="N736" s="199">
        <v>3.798910220433703E-2</v>
      </c>
    </row>
    <row r="737" spans="1:14">
      <c r="C737" s="29">
        <v>15</v>
      </c>
      <c r="D737" s="34" t="s">
        <v>1182</v>
      </c>
      <c r="E737" s="199">
        <v>3.7671278750521363E-2</v>
      </c>
      <c r="F737" s="199">
        <v>5.5662059631164648E-2</v>
      </c>
      <c r="G737" s="199">
        <v>5.3264620738265725E-2</v>
      </c>
      <c r="H737" s="199">
        <v>5.1727156381504553E-2</v>
      </c>
      <c r="I737" s="199">
        <v>3.9340249763216047E-2</v>
      </c>
      <c r="J737" s="199">
        <v>3.7507958122806953E-2</v>
      </c>
      <c r="K737" s="199">
        <v>5.7407775167982802E-2</v>
      </c>
      <c r="L737" s="199">
        <v>5.6942819687134681E-2</v>
      </c>
      <c r="M737" s="199">
        <v>5.462180647205081E-2</v>
      </c>
      <c r="N737" s="199">
        <v>4.3644171522735954E-2</v>
      </c>
    </row>
    <row r="738" spans="1:14">
      <c r="C738" s="29">
        <v>16</v>
      </c>
      <c r="D738" s="34" t="s">
        <v>1183</v>
      </c>
      <c r="E738" s="199">
        <v>3.8355225228902036E-2</v>
      </c>
      <c r="F738" s="199">
        <v>5.5278493960997807E-2</v>
      </c>
      <c r="G738" s="199">
        <v>5.2446032105331684E-2</v>
      </c>
      <c r="H738" s="199">
        <v>4.6831542511823178E-2</v>
      </c>
      <c r="I738" s="199">
        <v>4.0433314624478189E-2</v>
      </c>
      <c r="J738" s="199">
        <v>4.0993205218433568E-2</v>
      </c>
      <c r="K738" s="199">
        <v>5.8246861785769162E-2</v>
      </c>
      <c r="L738" s="199">
        <v>5.3910663116051256E-2</v>
      </c>
      <c r="M738" s="199">
        <v>5.1789557203387508E-2</v>
      </c>
      <c r="N738" s="199">
        <v>4.431735407909821E-2</v>
      </c>
    </row>
    <row r="739" spans="1:14">
      <c r="C739" s="29">
        <v>17</v>
      </c>
      <c r="D739" s="34" t="s">
        <v>1184</v>
      </c>
      <c r="E739" s="199">
        <v>4.2279480591458196E-2</v>
      </c>
      <c r="F739" s="199">
        <v>4.9960098785339933E-2</v>
      </c>
      <c r="G739" s="199">
        <v>4.8789402748854974E-2</v>
      </c>
      <c r="H739" s="199">
        <v>4.2716203953523407E-2</v>
      </c>
      <c r="I739" s="199">
        <v>4.2050198196934077E-2</v>
      </c>
      <c r="J739" s="199">
        <v>4.541777219953215E-2</v>
      </c>
      <c r="K739" s="199">
        <v>5.226266527598683E-2</v>
      </c>
      <c r="L739" s="199">
        <v>4.8311637916702656E-2</v>
      </c>
      <c r="M739" s="199">
        <v>3.903711938392497E-2</v>
      </c>
      <c r="N739" s="199">
        <v>4.8161472762227743E-2</v>
      </c>
    </row>
    <row r="740" spans="1:14">
      <c r="C740" s="29">
        <v>18</v>
      </c>
      <c r="D740" s="34" t="s">
        <v>1185</v>
      </c>
      <c r="E740" s="199">
        <v>4.8580630756847168E-2</v>
      </c>
      <c r="F740" s="199">
        <v>3.9640357955797435E-2</v>
      </c>
      <c r="G740" s="199">
        <v>4.5985915521770712E-2</v>
      </c>
      <c r="H740" s="199">
        <v>4.1618614036474225E-2</v>
      </c>
      <c r="I740" s="199">
        <v>4.2354772512014582E-2</v>
      </c>
      <c r="J740" s="199">
        <v>5.2527676658660795E-2</v>
      </c>
      <c r="K740" s="199">
        <v>4.0640432666749007E-2</v>
      </c>
      <c r="L740" s="199">
        <v>4.4570737010885257E-2</v>
      </c>
      <c r="M740" s="199">
        <v>3.6616767135153799E-2</v>
      </c>
      <c r="N740" s="199">
        <v>3.9044401688479176E-2</v>
      </c>
    </row>
    <row r="741" spans="1:14">
      <c r="C741" s="29">
        <v>19</v>
      </c>
      <c r="D741" s="34" t="s">
        <v>1186</v>
      </c>
      <c r="E741" s="199">
        <v>5.4837303529397245E-2</v>
      </c>
      <c r="F741" s="199">
        <v>3.3490718932632911E-2</v>
      </c>
      <c r="G741" s="199">
        <v>4.3737764674029275E-2</v>
      </c>
      <c r="H741" s="199">
        <v>4.0421866848509791E-2</v>
      </c>
      <c r="I741" s="199">
        <v>3.898511769039182E-2</v>
      </c>
      <c r="J741" s="199">
        <v>5.2534368735569138E-2</v>
      </c>
      <c r="K741" s="199">
        <v>3.0963992430561388E-2</v>
      </c>
      <c r="L741" s="199">
        <v>4.1036045346583873E-2</v>
      </c>
      <c r="M741" s="199">
        <v>3.4661262255856827E-2</v>
      </c>
      <c r="N741" s="199">
        <v>3.9876550857374855E-2</v>
      </c>
    </row>
    <row r="742" spans="1:14">
      <c r="C742" s="29">
        <v>20</v>
      </c>
      <c r="D742" s="34" t="s">
        <v>1187</v>
      </c>
      <c r="E742" s="199">
        <v>5.5892879741664632E-2</v>
      </c>
      <c r="F742" s="199">
        <v>3.291111783137695E-2</v>
      </c>
      <c r="G742" s="199">
        <v>4.1453033788039016E-2</v>
      </c>
      <c r="H742" s="199">
        <v>4.0191406982145898E-2</v>
      </c>
      <c r="I742" s="199">
        <v>3.928618409513452E-2</v>
      </c>
      <c r="J742" s="199">
        <v>5.0651187569535308E-2</v>
      </c>
      <c r="K742" s="199">
        <v>2.9992744244131894E-2</v>
      </c>
      <c r="L742" s="199">
        <v>3.9740062071681514E-2</v>
      </c>
      <c r="M742" s="199">
        <v>3.3816617301211216E-2</v>
      </c>
      <c r="N742" s="199">
        <v>3.3678532193351166E-2</v>
      </c>
    </row>
    <row r="743" spans="1:14">
      <c r="C743" s="29">
        <v>21</v>
      </c>
      <c r="D743" s="34" t="s">
        <v>1188</v>
      </c>
      <c r="E743" s="199">
        <v>5.5593649482770249E-2</v>
      </c>
      <c r="F743" s="199">
        <v>3.7654364805219616E-2</v>
      </c>
      <c r="G743" s="199">
        <v>4.0080866816747537E-2</v>
      </c>
      <c r="H743" s="199">
        <v>4.0145485089955316E-2</v>
      </c>
      <c r="I743" s="199">
        <v>4.1973769600448997E-2</v>
      </c>
      <c r="J743" s="199">
        <v>4.9802849205990832E-2</v>
      </c>
      <c r="K743" s="199">
        <v>3.5754661716628187E-2</v>
      </c>
      <c r="L743" s="199">
        <v>3.713284017948932E-2</v>
      </c>
      <c r="M743" s="199">
        <v>3.3119940680976241E-2</v>
      </c>
      <c r="N743" s="199">
        <v>3.9348154793179213E-2</v>
      </c>
    </row>
    <row r="744" spans="1:14">
      <c r="C744" s="29">
        <v>22</v>
      </c>
      <c r="D744" s="34" t="s">
        <v>1189</v>
      </c>
      <c r="E744" s="199">
        <v>5.4766173017254116E-2</v>
      </c>
      <c r="F744" s="199">
        <v>3.9467927514131293E-2</v>
      </c>
      <c r="G744" s="199">
        <v>3.7640923286813989E-2</v>
      </c>
      <c r="H744" s="199">
        <v>3.9057192938732367E-2</v>
      </c>
      <c r="I744" s="199">
        <v>3.8523564387694241E-2</v>
      </c>
      <c r="J744" s="199">
        <v>5.208686369594076E-2</v>
      </c>
      <c r="K744" s="199">
        <v>3.6315919635369134E-2</v>
      </c>
      <c r="L744" s="199">
        <v>3.2657232023757858E-2</v>
      </c>
      <c r="M744" s="199">
        <v>3.1825354931954687E-2</v>
      </c>
      <c r="N744" s="199">
        <v>3.5293013529327469E-2</v>
      </c>
    </row>
    <row r="745" spans="1:14">
      <c r="C745" s="29">
        <v>23</v>
      </c>
      <c r="D745" s="34" t="s">
        <v>1190</v>
      </c>
      <c r="E745" s="199">
        <v>4.5832865638048975E-2</v>
      </c>
      <c r="F745" s="199">
        <v>3.7722283077658576E-2</v>
      </c>
      <c r="G745" s="199">
        <v>3.5304787282410779E-2</v>
      </c>
      <c r="H745" s="199">
        <v>3.7626470875372173E-2</v>
      </c>
      <c r="I745" s="199">
        <v>4.0206133581225656E-2</v>
      </c>
      <c r="J745" s="199">
        <v>4.0433903129277575E-2</v>
      </c>
      <c r="K745" s="199">
        <v>3.6535438607454389E-2</v>
      </c>
      <c r="L745" s="199">
        <v>3.0224096654703932E-2</v>
      </c>
      <c r="M745" s="199">
        <v>3.2153573938258607E-2</v>
      </c>
      <c r="N745" s="199">
        <v>3.2930717424531908E-2</v>
      </c>
    </row>
    <row r="746" spans="1:14">
      <c r="C746" s="29">
        <v>24</v>
      </c>
      <c r="D746" s="34" t="s">
        <v>1191</v>
      </c>
      <c r="E746" s="199">
        <v>3.6150145056172187E-2</v>
      </c>
      <c r="F746" s="199">
        <v>3.7306961609057832E-2</v>
      </c>
      <c r="G746" s="199">
        <v>3.1445075424177571E-2</v>
      </c>
      <c r="H746" s="199">
        <v>3.5338766932563867E-2</v>
      </c>
      <c r="I746" s="199">
        <v>4.1984468726979335E-2</v>
      </c>
      <c r="J746" s="199">
        <v>3.6616500509053906E-2</v>
      </c>
      <c r="K746" s="199">
        <v>3.4807503808019086E-2</v>
      </c>
      <c r="L746" s="199">
        <v>2.7093684669635142E-2</v>
      </c>
      <c r="M746" s="199">
        <v>3.1411903238586045E-2</v>
      </c>
      <c r="N746" s="199">
        <v>2.4580678914310278E-2</v>
      </c>
    </row>
    <row r="747" spans="1:14">
      <c r="A747" s="16" t="s">
        <v>265</v>
      </c>
      <c r="B747" s="16" t="s">
        <v>310</v>
      </c>
      <c r="C747" s="29">
        <v>1</v>
      </c>
      <c r="D747" s="34" t="s">
        <v>1192</v>
      </c>
      <c r="E747" s="199">
        <v>3.1016393028740485E-2</v>
      </c>
      <c r="F747" s="199">
        <v>3.4402818586912173E-2</v>
      </c>
      <c r="G747" s="199">
        <v>3.0091716756328109E-2</v>
      </c>
      <c r="H747" s="199">
        <v>3.345611258216101E-2</v>
      </c>
      <c r="I747" s="199">
        <v>4.082690735177974E-2</v>
      </c>
      <c r="J747" s="199">
        <v>3.1760795650011879E-2</v>
      </c>
      <c r="K747" s="199">
        <v>3.483703544181254E-2</v>
      </c>
      <c r="L747" s="199">
        <v>2.6683247156003048E-2</v>
      </c>
      <c r="M747" s="199">
        <v>3.2252698766341646E-2</v>
      </c>
      <c r="N747" s="199">
        <v>3.0143157867124844E-2</v>
      </c>
    </row>
    <row r="748" spans="1:14">
      <c r="C748" s="29">
        <v>2</v>
      </c>
      <c r="D748" s="34" t="s">
        <v>1193</v>
      </c>
      <c r="E748" s="199">
        <v>2.9462675205596603E-2</v>
      </c>
      <c r="F748" s="199">
        <v>3.2773766254759785E-2</v>
      </c>
      <c r="G748" s="199">
        <v>3.0559164141038847E-2</v>
      </c>
      <c r="H748" s="199">
        <v>3.2874433355843696E-2</v>
      </c>
      <c r="I748" s="199">
        <v>3.783218489571756E-2</v>
      </c>
      <c r="J748" s="199">
        <v>2.9780436699782573E-2</v>
      </c>
      <c r="K748" s="199">
        <v>3.3801385700002622E-2</v>
      </c>
      <c r="L748" s="199">
        <v>2.6571286514924887E-2</v>
      </c>
      <c r="M748" s="199">
        <v>3.2851756842521049E-2</v>
      </c>
      <c r="N748" s="199">
        <v>3.4939496546563281E-2</v>
      </c>
    </row>
    <row r="749" spans="1:14">
      <c r="C749" s="29">
        <v>3</v>
      </c>
      <c r="D749" s="34" t="s">
        <v>1194</v>
      </c>
      <c r="E749" s="199">
        <v>2.7909353430826438E-2</v>
      </c>
      <c r="F749" s="199">
        <v>3.2667844370814429E-2</v>
      </c>
      <c r="G749" s="199">
        <v>3.000178672334405E-2</v>
      </c>
      <c r="H749" s="199">
        <v>3.203457476057326E-2</v>
      </c>
      <c r="I749" s="199">
        <v>3.9268639464975871E-2</v>
      </c>
      <c r="J749" s="199">
        <v>2.8999162518418865E-2</v>
      </c>
      <c r="K749" s="199">
        <v>3.3363168031821266E-2</v>
      </c>
      <c r="L749" s="199">
        <v>2.5399502368402698E-2</v>
      </c>
      <c r="M749" s="199">
        <v>3.2090336367550008E-2</v>
      </c>
      <c r="N749" s="199">
        <v>3.2644249020512231E-2</v>
      </c>
    </row>
    <row r="750" spans="1:14">
      <c r="C750" s="29">
        <v>4</v>
      </c>
      <c r="D750" s="34" t="s">
        <v>1195</v>
      </c>
      <c r="E750" s="199">
        <v>2.8411607941207048E-2</v>
      </c>
      <c r="F750" s="199">
        <v>3.1941533653862028E-2</v>
      </c>
      <c r="G750" s="199">
        <v>2.9613329738799203E-2</v>
      </c>
      <c r="H750" s="199">
        <v>3.130917937909191E-2</v>
      </c>
      <c r="I750" s="199">
        <v>4.0582941049020278E-2</v>
      </c>
      <c r="J750" s="199">
        <v>2.9763027925303328E-2</v>
      </c>
      <c r="K750" s="199">
        <v>3.2635766668264385E-2</v>
      </c>
      <c r="L750" s="199">
        <v>2.4932032716916908E-2</v>
      </c>
      <c r="M750" s="199">
        <v>3.1347038347113797E-2</v>
      </c>
      <c r="N750" s="199">
        <v>2.6973348168647503E-2</v>
      </c>
    </row>
    <row r="751" spans="1:14">
      <c r="C751" s="29">
        <v>5</v>
      </c>
      <c r="D751" s="34" t="s">
        <v>1196</v>
      </c>
      <c r="E751" s="199">
        <v>3.259137213230083E-2</v>
      </c>
      <c r="F751" s="199">
        <v>3.2437721046702464E-2</v>
      </c>
      <c r="G751" s="199">
        <v>3.1211478817939044E-2</v>
      </c>
      <c r="H751" s="199">
        <v>3.1868586479589671E-2</v>
      </c>
      <c r="I751" s="199">
        <v>3.9537953467482526E-2</v>
      </c>
      <c r="J751" s="199">
        <v>3.2030785885000364E-2</v>
      </c>
      <c r="K751" s="199">
        <v>3.2635091573261645E-2</v>
      </c>
      <c r="L751" s="199">
        <v>2.8671254169432954E-2</v>
      </c>
      <c r="M751" s="199">
        <v>3.4845411764357792E-2</v>
      </c>
      <c r="N751" s="199">
        <v>3.362136868160253E-2</v>
      </c>
    </row>
    <row r="752" spans="1:14">
      <c r="C752" s="29">
        <v>6</v>
      </c>
      <c r="D752" s="34" t="s">
        <v>1197</v>
      </c>
      <c r="E752" s="199">
        <v>3.6810224793898554E-2</v>
      </c>
      <c r="F752" s="199">
        <v>2.9790397890889112E-2</v>
      </c>
      <c r="G752" s="199">
        <v>3.3435587435715432E-2</v>
      </c>
      <c r="H752" s="199">
        <v>3.357977274342782E-2</v>
      </c>
      <c r="I752" s="199">
        <v>4.3852624482574688E-2</v>
      </c>
      <c r="J752" s="199">
        <v>3.6678437061048383E-2</v>
      </c>
      <c r="K752" s="199">
        <v>3.0846683899591762E-2</v>
      </c>
      <c r="L752" s="199">
        <v>3.5023517810921702E-2</v>
      </c>
      <c r="M752" s="199">
        <v>4.3501380265312736E-2</v>
      </c>
      <c r="N752" s="199">
        <v>5.8163940422660716E-2</v>
      </c>
    </row>
    <row r="753" spans="3:14">
      <c r="C753" s="29">
        <v>7</v>
      </c>
      <c r="D753" s="34" t="s">
        <v>1198</v>
      </c>
      <c r="E753" s="199">
        <v>4.6065358920618381E-2</v>
      </c>
      <c r="F753" s="199">
        <v>3.013642747701447E-2</v>
      </c>
      <c r="G753" s="199">
        <v>3.6918941559143728E-2</v>
      </c>
      <c r="H753" s="199">
        <v>3.8256309729256817E-2</v>
      </c>
      <c r="I753" s="199">
        <v>4.5368688661591765E-2</v>
      </c>
      <c r="J753" s="199">
        <v>4.805641106122685E-2</v>
      </c>
      <c r="K753" s="199">
        <v>3.196728759654701E-2</v>
      </c>
      <c r="L753" s="199">
        <v>4.0764597616683586E-2</v>
      </c>
      <c r="M753" s="199">
        <v>4.5961873314426804E-2</v>
      </c>
      <c r="N753" s="199">
        <v>6.4377503368184652E-2</v>
      </c>
    </row>
    <row r="754" spans="3:14">
      <c r="C754" s="29">
        <v>8</v>
      </c>
      <c r="D754" s="34" t="s">
        <v>1199</v>
      </c>
      <c r="E754" s="199">
        <v>4.980096739377355E-2</v>
      </c>
      <c r="F754" s="199">
        <v>3.808681277974451E-2</v>
      </c>
      <c r="G754" s="199">
        <v>4.2395277989385007E-2</v>
      </c>
      <c r="H754" s="199">
        <v>4.4337431127467644E-2</v>
      </c>
      <c r="I754" s="199">
        <v>4.8351522749263312E-2</v>
      </c>
      <c r="J754" s="199">
        <v>4.6218223769244719E-2</v>
      </c>
      <c r="K754" s="199">
        <v>3.996616423846245E-2</v>
      </c>
      <c r="L754" s="199">
        <v>4.6228415414696099E-2</v>
      </c>
      <c r="M754" s="199">
        <v>5.2553731228465725E-2</v>
      </c>
      <c r="N754" s="199">
        <v>5.8259575736246183E-2</v>
      </c>
    </row>
    <row r="755" spans="3:14">
      <c r="C755" s="29">
        <v>9</v>
      </c>
      <c r="D755" s="34" t="s">
        <v>1200</v>
      </c>
      <c r="E755" s="199">
        <v>4.2043763415480669E-2</v>
      </c>
      <c r="F755" s="199">
        <v>4.716742364691956E-2</v>
      </c>
      <c r="G755" s="199">
        <v>4.808503727908052E-2</v>
      </c>
      <c r="H755" s="199">
        <v>5.0158323234697176E-2</v>
      </c>
      <c r="I755" s="199">
        <v>4.96967340911234E-2</v>
      </c>
      <c r="J755" s="199">
        <v>4.0566984698757212E-2</v>
      </c>
      <c r="K755" s="199">
        <v>4.7938442137269749E-2</v>
      </c>
      <c r="L755" s="199">
        <v>5.4537050132167253E-2</v>
      </c>
      <c r="M755" s="199">
        <v>5.5942722687981637E-2</v>
      </c>
      <c r="N755" s="199">
        <v>5.7377727063737206E-2</v>
      </c>
    </row>
    <row r="756" spans="3:14">
      <c r="C756" s="29">
        <v>10</v>
      </c>
      <c r="D756" s="34" t="s">
        <v>1201</v>
      </c>
      <c r="E756" s="199">
        <v>3.9999868050719034E-2</v>
      </c>
      <c r="F756" s="199">
        <v>4.9780208697331393E-2</v>
      </c>
      <c r="G756" s="199">
        <v>4.9733183605808751E-2</v>
      </c>
      <c r="H756" s="199">
        <v>5.1416864553396502E-2</v>
      </c>
      <c r="I756" s="199">
        <v>4.6823782494148265E-2</v>
      </c>
      <c r="J756" s="199">
        <v>3.9991926415751486E-2</v>
      </c>
      <c r="K756" s="199">
        <v>5.0393168578648222E-2</v>
      </c>
      <c r="L756" s="199">
        <v>5.4515763497676561E-2</v>
      </c>
      <c r="M756" s="199">
        <v>5.4993512900968558E-2</v>
      </c>
      <c r="N756" s="199">
        <v>4.5673421980893338E-2</v>
      </c>
    </row>
    <row r="757" spans="3:14">
      <c r="C757" s="29">
        <v>11</v>
      </c>
      <c r="D757" s="34" t="s">
        <v>1202</v>
      </c>
      <c r="E757" s="199">
        <v>3.7595688984375202E-2</v>
      </c>
      <c r="F757" s="199">
        <v>5.3001362113499165E-2</v>
      </c>
      <c r="G757" s="199">
        <v>5.241556281916613E-2</v>
      </c>
      <c r="H757" s="199">
        <v>5.0881724097448414E-2</v>
      </c>
      <c r="I757" s="199">
        <v>4.3824814192232282E-2</v>
      </c>
      <c r="J757" s="199">
        <v>4.3562074701398321E-2</v>
      </c>
      <c r="K757" s="199">
        <v>5.3035895476390905E-2</v>
      </c>
      <c r="L757" s="199">
        <v>5.4347456651611337E-2</v>
      </c>
      <c r="M757" s="199">
        <v>5.3652173880882961E-2</v>
      </c>
      <c r="N757" s="199">
        <v>4.3358683067121054E-2</v>
      </c>
    </row>
    <row r="758" spans="3:14">
      <c r="C758" s="29">
        <v>12</v>
      </c>
      <c r="D758" s="34" t="s">
        <v>1203</v>
      </c>
      <c r="E758" s="199">
        <v>3.7385938757696413E-2</v>
      </c>
      <c r="F758" s="199">
        <v>5.5004029269671843E-2</v>
      </c>
      <c r="G758" s="199">
        <v>5.1706893405205505E-2</v>
      </c>
      <c r="H758" s="199">
        <v>5.2896243418157442E-2</v>
      </c>
      <c r="I758" s="199">
        <v>4.019966854379757E-2</v>
      </c>
      <c r="J758" s="199">
        <v>4.1827800249331061E-2</v>
      </c>
      <c r="K758" s="199">
        <v>5.4522157630632548E-2</v>
      </c>
      <c r="L758" s="199">
        <v>5.7082521303981323E-2</v>
      </c>
      <c r="M758" s="199">
        <v>5.3031942120578678E-2</v>
      </c>
      <c r="N758" s="199">
        <v>4.4009549687008397E-2</v>
      </c>
    </row>
    <row r="759" spans="3:14">
      <c r="C759" s="29">
        <v>13</v>
      </c>
      <c r="D759" s="34" t="s">
        <v>1204</v>
      </c>
      <c r="E759" s="199">
        <v>3.9599959458683685E-2</v>
      </c>
      <c r="F759" s="199">
        <v>5.377159202823726E-2</v>
      </c>
      <c r="G759" s="199">
        <v>5.2567586208026075E-2</v>
      </c>
      <c r="H759" s="199">
        <v>5.2245199262670745E-2</v>
      </c>
      <c r="I759" s="199">
        <v>4.0287387719137126E-2</v>
      </c>
      <c r="J759" s="199">
        <v>4.1292678041999473E-2</v>
      </c>
      <c r="K759" s="199">
        <v>5.3773531280189392E-2</v>
      </c>
      <c r="L759" s="199">
        <v>5.7025613205020621E-2</v>
      </c>
      <c r="M759" s="199">
        <v>5.4636149192922034E-2</v>
      </c>
      <c r="N759" s="199">
        <v>4.3083435526496995E-2</v>
      </c>
    </row>
    <row r="760" spans="3:14">
      <c r="C760" s="29">
        <v>14</v>
      </c>
      <c r="D760" s="34" t="s">
        <v>1205</v>
      </c>
      <c r="E760" s="199">
        <v>3.7993888051151885E-2</v>
      </c>
      <c r="F760" s="199">
        <v>5.6406849470373222E-2</v>
      </c>
      <c r="G760" s="199">
        <v>5.3187269523034389E-2</v>
      </c>
      <c r="H760" s="199">
        <v>5.4620449457039366E-2</v>
      </c>
      <c r="I760" s="199">
        <v>4.1443956129712793E-2</v>
      </c>
      <c r="J760" s="199">
        <v>3.8365488043473436E-2</v>
      </c>
      <c r="K760" s="199">
        <v>5.5442258111772759E-2</v>
      </c>
      <c r="L760" s="199">
        <v>5.8655184132459161E-2</v>
      </c>
      <c r="M760" s="199">
        <v>5.7908269312988848E-2</v>
      </c>
      <c r="N760" s="199">
        <v>3.9766620688851145E-2</v>
      </c>
    </row>
    <row r="761" spans="3:14">
      <c r="C761" s="29">
        <v>15</v>
      </c>
      <c r="D761" s="34" t="s">
        <v>1206</v>
      </c>
      <c r="E761" s="199">
        <v>3.8670293554012421E-2</v>
      </c>
      <c r="F761" s="199">
        <v>5.646868625296983E-2</v>
      </c>
      <c r="G761" s="199">
        <v>5.2015722365271633E-2</v>
      </c>
      <c r="H761" s="199">
        <v>5.0256387072260912E-2</v>
      </c>
      <c r="I761" s="199">
        <v>4.1375215885339739E-2</v>
      </c>
      <c r="J761" s="199">
        <v>3.9292857122958651E-2</v>
      </c>
      <c r="K761" s="199">
        <v>5.6432325438997392E-2</v>
      </c>
      <c r="L761" s="199">
        <v>5.7180865816674406E-2</v>
      </c>
      <c r="M761" s="199">
        <v>5.746990932855197E-2</v>
      </c>
      <c r="N761" s="199">
        <v>5.2197025504936233E-2</v>
      </c>
    </row>
    <row r="762" spans="3:14">
      <c r="C762" s="29">
        <v>16</v>
      </c>
      <c r="D762" s="34" t="s">
        <v>1207</v>
      </c>
      <c r="E762" s="199">
        <v>4.0108495597067563E-2</v>
      </c>
      <c r="F762" s="199">
        <v>5.5069093630677156E-2</v>
      </c>
      <c r="G762" s="199">
        <v>5.0165255343594922E-2</v>
      </c>
      <c r="H762" s="199">
        <v>4.4395438380534995E-2</v>
      </c>
      <c r="I762" s="199">
        <v>4.2070515602358353E-2</v>
      </c>
      <c r="J762" s="199">
        <v>4.1647668594461916E-2</v>
      </c>
      <c r="K762" s="199">
        <v>5.7041450158073478E-2</v>
      </c>
      <c r="L762" s="199">
        <v>5.3876458828663008E-2</v>
      </c>
      <c r="M762" s="199">
        <v>4.9385537837465993E-2</v>
      </c>
      <c r="N762" s="199">
        <v>4.5049697573814065E-2</v>
      </c>
    </row>
    <row r="763" spans="3:14">
      <c r="C763" s="29">
        <v>17</v>
      </c>
      <c r="D763" s="34" t="s">
        <v>1208</v>
      </c>
      <c r="E763" s="199">
        <v>4.6012524062257337E-2</v>
      </c>
      <c r="F763" s="199">
        <v>5.0500954103850103E-2</v>
      </c>
      <c r="G763" s="199">
        <v>4.748391383255058E-2</v>
      </c>
      <c r="H763" s="199">
        <v>4.3902072011323096E-2</v>
      </c>
      <c r="I763" s="199">
        <v>3.8590917549791985E-2</v>
      </c>
      <c r="J763" s="199">
        <v>4.583017004044572E-2</v>
      </c>
      <c r="K763" s="199">
        <v>5.1787644816316765E-2</v>
      </c>
      <c r="L763" s="199">
        <v>4.7951887972245262E-2</v>
      </c>
      <c r="M763" s="199">
        <v>3.7595031932504581E-2</v>
      </c>
      <c r="N763" s="199">
        <v>3.3456511617231406E-2</v>
      </c>
    </row>
    <row r="764" spans="3:14">
      <c r="C764" s="29">
        <v>18</v>
      </c>
      <c r="D764" s="34" t="s">
        <v>1209</v>
      </c>
      <c r="E764" s="199">
        <v>5.1129007829690855E-2</v>
      </c>
      <c r="F764" s="199">
        <v>3.9826281474187077E-2</v>
      </c>
      <c r="G764" s="199">
        <v>4.5457418742001481E-2</v>
      </c>
      <c r="H764" s="199">
        <v>4.2388121488573585E-2</v>
      </c>
      <c r="I764" s="199">
        <v>3.7761661396085909E-2</v>
      </c>
      <c r="J764" s="199">
        <v>5.467859898385774E-2</v>
      </c>
      <c r="K764" s="199">
        <v>4.2786495129527098E-2</v>
      </c>
      <c r="L764" s="199">
        <v>4.4087168154076241E-2</v>
      </c>
      <c r="M764" s="199">
        <v>3.5030242308312518E-2</v>
      </c>
      <c r="N764" s="199">
        <v>2.2718760770357935E-2</v>
      </c>
    </row>
    <row r="765" spans="3:14">
      <c r="C765" s="29">
        <v>19</v>
      </c>
      <c r="D765" s="34" t="s">
        <v>1210</v>
      </c>
      <c r="E765" s="199">
        <v>5.6255793868111373E-2</v>
      </c>
      <c r="F765" s="199">
        <v>3.2961176952453798E-2</v>
      </c>
      <c r="G765" s="199">
        <v>4.4388479088854363E-2</v>
      </c>
      <c r="H765" s="199">
        <v>4.0808407251028515E-2</v>
      </c>
      <c r="I765" s="199">
        <v>3.9739716062455195E-2</v>
      </c>
      <c r="J765" s="199">
        <v>5.4065387916029835E-2</v>
      </c>
      <c r="K765" s="199">
        <v>3.2326303119006417E-2</v>
      </c>
      <c r="L765" s="199">
        <v>3.987135607347863E-2</v>
      </c>
      <c r="M765" s="199">
        <v>3.2750696420038555E-2</v>
      </c>
      <c r="N765" s="199">
        <v>2.5123670122653659E-2</v>
      </c>
    </row>
    <row r="766" spans="3:14">
      <c r="C766" s="29">
        <v>20</v>
      </c>
      <c r="D766" s="34" t="s">
        <v>1211</v>
      </c>
      <c r="E766" s="199">
        <v>5.7999158703015377E-2</v>
      </c>
      <c r="F766" s="199">
        <v>3.146410844578993E-2</v>
      </c>
      <c r="G766" s="199">
        <v>4.1447955797082089E-2</v>
      </c>
      <c r="H766" s="199">
        <v>3.9396897426389368E-2</v>
      </c>
      <c r="I766" s="199">
        <v>3.9612637896050906E-2</v>
      </c>
      <c r="J766" s="199">
        <v>5.2601460357121446E-2</v>
      </c>
      <c r="K766" s="199">
        <v>2.9688301886282943E-2</v>
      </c>
      <c r="L766" s="199">
        <v>3.856576275741392E-2</v>
      </c>
      <c r="M766" s="199">
        <v>3.1252820075833229E-2</v>
      </c>
      <c r="N766" s="199">
        <v>3.7072437283272162E-2</v>
      </c>
    </row>
    <row r="767" spans="3:14">
      <c r="C767" s="29">
        <v>21</v>
      </c>
      <c r="D767" s="34" t="s">
        <v>1212</v>
      </c>
      <c r="E767" s="199">
        <v>5.7329581274648399E-2</v>
      </c>
      <c r="F767" s="199">
        <v>3.7141464113121248E-2</v>
      </c>
      <c r="G767" s="199">
        <v>4.020573236009526E-2</v>
      </c>
      <c r="H767" s="199">
        <v>3.8568064087432609E-2</v>
      </c>
      <c r="I767" s="199">
        <v>4.0431576644332237E-2</v>
      </c>
      <c r="J767" s="199">
        <v>5.1711521106707611E-2</v>
      </c>
      <c r="K767" s="199">
        <v>3.4470539866722737E-2</v>
      </c>
      <c r="L767" s="199">
        <v>3.6451982964995057E-2</v>
      </c>
      <c r="M767" s="199">
        <v>3.0541328812335698E-2</v>
      </c>
      <c r="N767" s="199">
        <v>4.63297534758427E-2</v>
      </c>
    </row>
    <row r="768" spans="3:14">
      <c r="C768" s="29">
        <v>22</v>
      </c>
      <c r="D768" s="34" t="s">
        <v>1213</v>
      </c>
      <c r="E768" s="199">
        <v>5.3463487395532389E-2</v>
      </c>
      <c r="F768" s="199">
        <v>4.2122296294141222E-2</v>
      </c>
      <c r="G768" s="199">
        <v>3.9263317374513627E-2</v>
      </c>
      <c r="H768" s="199">
        <v>3.8986248181178969E-2</v>
      </c>
      <c r="I768" s="199">
        <v>4.0654483551656843E-2</v>
      </c>
      <c r="J768" s="199">
        <v>5.2815243192337789E-2</v>
      </c>
      <c r="K768" s="199">
        <v>3.7217312406288366E-2</v>
      </c>
      <c r="L768" s="199">
        <v>3.354522703541616E-2</v>
      </c>
      <c r="M768" s="199">
        <v>3.0104818057953391E-2</v>
      </c>
      <c r="N768" s="199">
        <v>4.2906920061993543E-2</v>
      </c>
    </row>
    <row r="769" spans="1:14">
      <c r="C769" s="29">
        <v>23</v>
      </c>
      <c r="D769" s="34" t="s">
        <v>1214</v>
      </c>
      <c r="E769" s="199">
        <v>4.6392860846052666E-2</v>
      </c>
      <c r="F769" s="199">
        <v>3.8835068013447653E-2</v>
      </c>
      <c r="G769" s="199">
        <v>3.5166306110955156E-2</v>
      </c>
      <c r="H769" s="199">
        <v>3.6376919052512738E-2</v>
      </c>
      <c r="I769" s="199">
        <v>4.0151520651815459E-2</v>
      </c>
      <c r="J769" s="199">
        <v>4.2460656434760685E-2</v>
      </c>
      <c r="K769" s="199">
        <v>3.5954317671354291E-2</v>
      </c>
      <c r="L769" s="199">
        <v>3.0200585825430021E-2</v>
      </c>
      <c r="M769" s="199">
        <v>2.9875790915694343E-2</v>
      </c>
      <c r="N769" s="199">
        <v>4.412412990080887E-2</v>
      </c>
    </row>
    <row r="770" spans="1:14">
      <c r="C770" s="29">
        <v>24</v>
      </c>
      <c r="D770" s="34" t="s">
        <v>1215</v>
      </c>
      <c r="E770" s="199">
        <v>3.5951737304542791E-2</v>
      </c>
      <c r="F770" s="199">
        <v>3.8242083432630379E-2</v>
      </c>
      <c r="G770" s="199">
        <v>3.2483082983066083E-2</v>
      </c>
      <c r="H770" s="199">
        <v>3.4986240867943635E-2</v>
      </c>
      <c r="I770" s="199">
        <v>4.1713949467556063E-2</v>
      </c>
      <c r="J770" s="199">
        <v>3.6002203530570799E-2</v>
      </c>
      <c r="K770" s="199">
        <v>3.7137273142763008E-2</v>
      </c>
      <c r="L770" s="199">
        <v>2.7831261880709043E-2</v>
      </c>
      <c r="M770" s="199">
        <v>3.04248273188975E-2</v>
      </c>
      <c r="N770" s="199">
        <v>3.862901586343933E-2</v>
      </c>
    </row>
    <row r="771" spans="1:14">
      <c r="A771" s="16" t="s">
        <v>265</v>
      </c>
      <c r="B771" s="16" t="s">
        <v>311</v>
      </c>
      <c r="C771" s="29">
        <v>1</v>
      </c>
      <c r="D771" s="34" t="s">
        <v>1216</v>
      </c>
      <c r="E771" s="199">
        <v>3.1279563922351643E-2</v>
      </c>
      <c r="F771" s="199">
        <v>3.4868046816565829E-2</v>
      </c>
      <c r="G771" s="199">
        <v>3.0519874565039736E-2</v>
      </c>
      <c r="H771" s="199">
        <v>3.3783613805438747E-2</v>
      </c>
      <c r="I771" s="199">
        <v>4.0293945841485372E-2</v>
      </c>
      <c r="J771" s="199">
        <v>3.1730127638818419E-2</v>
      </c>
      <c r="K771" s="199">
        <v>3.4056849975921635E-2</v>
      </c>
      <c r="L771" s="199">
        <v>2.6683926934339602E-2</v>
      </c>
      <c r="M771" s="199">
        <v>2.9777255316938377E-2</v>
      </c>
      <c r="N771" s="199">
        <v>3.2087185525538686E-2</v>
      </c>
    </row>
    <row r="772" spans="1:14">
      <c r="C772" s="29">
        <v>2</v>
      </c>
      <c r="D772" s="34" t="s">
        <v>1217</v>
      </c>
      <c r="E772" s="199">
        <v>2.8514466345038073E-2</v>
      </c>
      <c r="F772" s="199">
        <v>3.279390007655917E-2</v>
      </c>
      <c r="G772" s="199">
        <v>3.0040749128792833E-2</v>
      </c>
      <c r="H772" s="199">
        <v>3.3553627507390188E-2</v>
      </c>
      <c r="I772" s="199">
        <v>4.0478879324000544E-2</v>
      </c>
      <c r="J772" s="199">
        <v>2.9985826473869468E-2</v>
      </c>
      <c r="K772" s="199">
        <v>3.2777289189960812E-2</v>
      </c>
      <c r="L772" s="199">
        <v>2.6317947271980707E-2</v>
      </c>
      <c r="M772" s="199">
        <v>3.0049105904385084E-2</v>
      </c>
      <c r="N772" s="199">
        <v>1.9734565539579304E-2</v>
      </c>
    </row>
    <row r="773" spans="1:14">
      <c r="C773" s="29">
        <v>3</v>
      </c>
      <c r="D773" s="34" t="s">
        <v>1218</v>
      </c>
      <c r="E773" s="199">
        <v>2.7983737891892142E-2</v>
      </c>
      <c r="F773" s="199">
        <v>3.265536420556156E-2</v>
      </c>
      <c r="G773" s="199">
        <v>2.9667474889789786E-2</v>
      </c>
      <c r="H773" s="199">
        <v>3.3235701424855581E-2</v>
      </c>
      <c r="I773" s="199">
        <v>4.0777418407156492E-2</v>
      </c>
      <c r="J773" s="199">
        <v>2.8771904232926557E-2</v>
      </c>
      <c r="K773" s="199">
        <v>3.2515012615943494E-2</v>
      </c>
      <c r="L773" s="199">
        <v>2.5205575542721851E-2</v>
      </c>
      <c r="M773" s="199">
        <v>3.0059011098661739E-2</v>
      </c>
      <c r="N773" s="199">
        <v>2.2744754270686687E-2</v>
      </c>
    </row>
    <row r="774" spans="1:14">
      <c r="C774" s="29">
        <v>4</v>
      </c>
      <c r="D774" s="34" t="s">
        <v>1219</v>
      </c>
      <c r="E774" s="199">
        <v>2.8918655696163972E-2</v>
      </c>
      <c r="F774" s="199">
        <v>3.3069349453466346E-2</v>
      </c>
      <c r="G774" s="199">
        <v>2.9501292555261439E-2</v>
      </c>
      <c r="H774" s="199">
        <v>3.2650424445707954E-2</v>
      </c>
      <c r="I774" s="199">
        <v>3.9893370763591465E-2</v>
      </c>
      <c r="J774" s="199">
        <v>2.8650683133619535E-2</v>
      </c>
      <c r="K774" s="199">
        <v>3.237196973943076E-2</v>
      </c>
      <c r="L774" s="199">
        <v>2.5783446219986791E-2</v>
      </c>
      <c r="M774" s="199">
        <v>3.0221109241495649E-2</v>
      </c>
      <c r="N774" s="199">
        <v>2.4413432930068087E-2</v>
      </c>
    </row>
    <row r="775" spans="1:14">
      <c r="C775" s="29">
        <v>5</v>
      </c>
      <c r="D775" s="34" t="s">
        <v>1220</v>
      </c>
      <c r="E775" s="199">
        <v>3.2092845153498147E-2</v>
      </c>
      <c r="F775" s="199">
        <v>3.1410798570183779E-2</v>
      </c>
      <c r="G775" s="199">
        <v>3.0291231300271636E-2</v>
      </c>
      <c r="H775" s="199">
        <v>3.1923754942470947E-2</v>
      </c>
      <c r="I775" s="199">
        <v>4.0719894759116297E-2</v>
      </c>
      <c r="J775" s="199">
        <v>3.1827422101202575E-2</v>
      </c>
      <c r="K775" s="199">
        <v>3.2598689046988885E-2</v>
      </c>
      <c r="L775" s="199">
        <v>2.8653929943387849E-2</v>
      </c>
      <c r="M775" s="199">
        <v>3.2910839442078725E-2</v>
      </c>
      <c r="N775" s="199">
        <v>2.676765012870563E-2</v>
      </c>
    </row>
    <row r="776" spans="1:14">
      <c r="C776" s="29">
        <v>6</v>
      </c>
      <c r="D776" s="34" t="s">
        <v>1221</v>
      </c>
      <c r="E776" s="199">
        <v>3.6870529843067518E-2</v>
      </c>
      <c r="F776" s="199">
        <v>3.0288063147904127E-2</v>
      </c>
      <c r="G776" s="199">
        <v>3.2318340942558824E-2</v>
      </c>
      <c r="H776" s="199">
        <v>3.2738451428790422E-2</v>
      </c>
      <c r="I776" s="199">
        <v>4.175910487436868E-2</v>
      </c>
      <c r="J776" s="199">
        <v>4.0085418710480533E-2</v>
      </c>
      <c r="K776" s="199">
        <v>3.0110494205521917E-2</v>
      </c>
      <c r="L776" s="199">
        <v>3.4899380378408548E-2</v>
      </c>
      <c r="M776" s="199">
        <v>4.2007495123137825E-2</v>
      </c>
      <c r="N776" s="199">
        <v>4.730290209829173E-2</v>
      </c>
    </row>
    <row r="777" spans="1:14">
      <c r="C777" s="29">
        <v>7</v>
      </c>
      <c r="D777" s="34" t="s">
        <v>1222</v>
      </c>
      <c r="E777" s="199">
        <v>4.4034170008629803E-2</v>
      </c>
      <c r="F777" s="199">
        <v>2.992058569919033E-2</v>
      </c>
      <c r="G777" s="199">
        <v>3.6721695188087121E-2</v>
      </c>
      <c r="H777" s="199">
        <v>3.9614845543600195E-2</v>
      </c>
      <c r="I777" s="199">
        <v>4.5435860753990143E-2</v>
      </c>
      <c r="J777" s="199">
        <v>5.1898239859000585E-2</v>
      </c>
      <c r="K777" s="199">
        <v>3.3670039501535541E-2</v>
      </c>
      <c r="L777" s="199">
        <v>4.1841376370757341E-2</v>
      </c>
      <c r="M777" s="199">
        <v>4.5899368865602926E-2</v>
      </c>
      <c r="N777" s="199">
        <v>5.4430927980566014E-2</v>
      </c>
    </row>
    <row r="778" spans="1:14">
      <c r="C778" s="29">
        <v>8</v>
      </c>
      <c r="D778" s="34" t="s">
        <v>1223</v>
      </c>
      <c r="E778" s="199">
        <v>4.8517354481042489E-2</v>
      </c>
      <c r="F778" s="199">
        <v>3.7067750506865643E-2</v>
      </c>
      <c r="G778" s="199">
        <v>4.2032048812476172E-2</v>
      </c>
      <c r="H778" s="199">
        <v>4.3910553598165064E-2</v>
      </c>
      <c r="I778" s="199">
        <v>4.5730723513775093E-2</v>
      </c>
      <c r="J778" s="199">
        <v>4.9672029709791406E-2</v>
      </c>
      <c r="K778" s="199">
        <v>4.0406868612186113E-2</v>
      </c>
      <c r="L778" s="199">
        <v>4.6597480010575586E-2</v>
      </c>
      <c r="M778" s="199">
        <v>5.1797948207691243E-2</v>
      </c>
      <c r="N778" s="199">
        <v>5.2637889599173912E-2</v>
      </c>
    </row>
    <row r="779" spans="1:14">
      <c r="C779" s="29">
        <v>9</v>
      </c>
      <c r="D779" s="34" t="s">
        <v>1224</v>
      </c>
      <c r="E779" s="199">
        <v>4.4640895579722346E-2</v>
      </c>
      <c r="F779" s="199">
        <v>4.6166879153386874E-2</v>
      </c>
      <c r="G779" s="199">
        <v>4.5748756834490957E-2</v>
      </c>
      <c r="H779" s="199">
        <v>4.6237884136521794E-2</v>
      </c>
      <c r="I779" s="199">
        <v>4.5323480594473019E-2</v>
      </c>
      <c r="J779" s="199">
        <v>4.3485776150077864E-2</v>
      </c>
      <c r="K779" s="199">
        <v>4.6273462839964717E-2</v>
      </c>
      <c r="L779" s="199">
        <v>5.2265508560314394E-2</v>
      </c>
      <c r="M779" s="199">
        <v>5.3524488640730429E-2</v>
      </c>
      <c r="N779" s="199">
        <v>5.7909434326700558E-2</v>
      </c>
    </row>
    <row r="780" spans="1:14">
      <c r="C780" s="29">
        <v>10</v>
      </c>
      <c r="D780" s="34" t="s">
        <v>1225</v>
      </c>
      <c r="E780" s="199">
        <v>4.0601817656544151E-2</v>
      </c>
      <c r="F780" s="199">
        <v>4.9332160465262329E-2</v>
      </c>
      <c r="G780" s="199">
        <v>4.9176899842572709E-2</v>
      </c>
      <c r="H780" s="199">
        <v>4.8465110686192345E-2</v>
      </c>
      <c r="I780" s="199">
        <v>4.1271811815782607E-2</v>
      </c>
      <c r="J780" s="199">
        <v>4.3279894531014447E-2</v>
      </c>
      <c r="K780" s="199">
        <v>5.0936389344054811E-2</v>
      </c>
      <c r="L780" s="199">
        <v>5.4190428374701768E-2</v>
      </c>
      <c r="M780" s="199">
        <v>5.3176216225908415E-2</v>
      </c>
      <c r="N780" s="199">
        <v>6.5641280890278916E-2</v>
      </c>
    </row>
    <row r="781" spans="1:14">
      <c r="C781" s="29">
        <v>11</v>
      </c>
      <c r="D781" s="34" t="s">
        <v>1226</v>
      </c>
      <c r="E781" s="199">
        <v>4.0653563492623994E-2</v>
      </c>
      <c r="F781" s="199">
        <v>5.3264914513939061E-2</v>
      </c>
      <c r="G781" s="199">
        <v>5.1283888904852852E-2</v>
      </c>
      <c r="H781" s="199">
        <v>4.749707546807444E-2</v>
      </c>
      <c r="I781" s="199">
        <v>3.8698097117001978E-2</v>
      </c>
      <c r="J781" s="199">
        <v>4.0539423562762425E-2</v>
      </c>
      <c r="K781" s="199">
        <v>5.2773869515766375E-2</v>
      </c>
      <c r="L781" s="199">
        <v>5.3646951483046885E-2</v>
      </c>
      <c r="M781" s="199">
        <v>5.4469603236236647E-2</v>
      </c>
      <c r="N781" s="199">
        <v>5.1674213187033614E-2</v>
      </c>
    </row>
    <row r="782" spans="1:14">
      <c r="C782" s="29">
        <v>12</v>
      </c>
      <c r="D782" s="34" t="s">
        <v>1227</v>
      </c>
      <c r="E782" s="199">
        <v>3.9719893100793061E-2</v>
      </c>
      <c r="F782" s="199">
        <v>5.4457058946942569E-2</v>
      </c>
      <c r="G782" s="199">
        <v>5.2562325149846767E-2</v>
      </c>
      <c r="H782" s="199">
        <v>5.0682701790958899E-2</v>
      </c>
      <c r="I782" s="199">
        <v>3.7909381584380758E-2</v>
      </c>
      <c r="J782" s="199">
        <v>4.0008096514935025E-2</v>
      </c>
      <c r="K782" s="199">
        <v>5.4840093088255847E-2</v>
      </c>
      <c r="L782" s="199">
        <v>5.7103251541776416E-2</v>
      </c>
      <c r="M782" s="199">
        <v>5.2762222485557404E-2</v>
      </c>
      <c r="N782" s="199">
        <v>4.793703267599983E-2</v>
      </c>
    </row>
    <row r="783" spans="1:14">
      <c r="C783" s="29">
        <v>13</v>
      </c>
      <c r="D783" s="34" t="s">
        <v>1228</v>
      </c>
      <c r="E783" s="199">
        <v>3.7663416870815279E-2</v>
      </c>
      <c r="F783" s="199">
        <v>5.4657115372330083E-2</v>
      </c>
      <c r="G783" s="199">
        <v>5.3396273117708462E-2</v>
      </c>
      <c r="H783" s="199">
        <v>5.0123104798455928E-2</v>
      </c>
      <c r="I783" s="199">
        <v>4.1437066155547188E-2</v>
      </c>
      <c r="J783" s="199">
        <v>3.9400773103247272E-2</v>
      </c>
      <c r="K783" s="199">
        <v>5.4523729404694986E-2</v>
      </c>
      <c r="L783" s="199">
        <v>5.7513212818474144E-2</v>
      </c>
      <c r="M783" s="199">
        <v>5.5583829141327382E-2</v>
      </c>
      <c r="N783" s="199">
        <v>4.8193775327892908E-2</v>
      </c>
    </row>
    <row r="784" spans="1:14">
      <c r="C784" s="29">
        <v>14</v>
      </c>
      <c r="D784" s="34" t="s">
        <v>1229</v>
      </c>
      <c r="E784" s="199">
        <v>3.9163262029311002E-2</v>
      </c>
      <c r="F784" s="199">
        <v>5.5758724779658708E-2</v>
      </c>
      <c r="G784" s="199">
        <v>5.2909364433522038E-2</v>
      </c>
      <c r="H784" s="199">
        <v>5.2631328825078705E-2</v>
      </c>
      <c r="I784" s="199">
        <v>4.1233895225721025E-2</v>
      </c>
      <c r="J784" s="199">
        <v>3.7044492699065013E-2</v>
      </c>
      <c r="K784" s="199">
        <v>5.5994201828469821E-2</v>
      </c>
      <c r="L784" s="199">
        <v>5.7360501146423826E-2</v>
      </c>
      <c r="M784" s="199">
        <v>5.3718977491855877E-2</v>
      </c>
      <c r="N784" s="199">
        <v>4.0301761762728483E-2</v>
      </c>
    </row>
    <row r="785" spans="1:14">
      <c r="C785" s="29">
        <v>15</v>
      </c>
      <c r="D785" s="34" t="s">
        <v>1230</v>
      </c>
      <c r="E785" s="199">
        <v>3.8521288146674354E-2</v>
      </c>
      <c r="F785" s="199">
        <v>5.6654458408566588E-2</v>
      </c>
      <c r="G785" s="199">
        <v>5.3302201576237822E-2</v>
      </c>
      <c r="H785" s="199">
        <v>5.0594631208578218E-2</v>
      </c>
      <c r="I785" s="199">
        <v>3.9670160267154815E-2</v>
      </c>
      <c r="J785" s="199">
        <v>3.8942382214751117E-2</v>
      </c>
      <c r="K785" s="199">
        <v>5.7890505905198071E-2</v>
      </c>
      <c r="L785" s="199">
        <v>5.6876387194344992E-2</v>
      </c>
      <c r="M785" s="199">
        <v>5.53038808768078E-2</v>
      </c>
      <c r="N785" s="199">
        <v>3.4067134934755716E-2</v>
      </c>
    </row>
    <row r="786" spans="1:14">
      <c r="C786" s="29">
        <v>16</v>
      </c>
      <c r="D786" s="34" t="s">
        <v>1231</v>
      </c>
      <c r="E786" s="199">
        <v>3.9758230243143185E-2</v>
      </c>
      <c r="F786" s="199">
        <v>5.5597417016084512E-2</v>
      </c>
      <c r="G786" s="199">
        <v>5.218116044220622E-2</v>
      </c>
      <c r="H786" s="199">
        <v>4.6412717322336892E-2</v>
      </c>
      <c r="I786" s="199">
        <v>3.9468863541400133E-2</v>
      </c>
      <c r="J786" s="199">
        <v>4.1613370352712321E-2</v>
      </c>
      <c r="K786" s="199">
        <v>5.7421709221939808E-2</v>
      </c>
      <c r="L786" s="199">
        <v>5.3272097979204965E-2</v>
      </c>
      <c r="M786" s="199">
        <v>4.9351871326176092E-2</v>
      </c>
      <c r="N786" s="199">
        <v>3.9051478536061723E-2</v>
      </c>
    </row>
    <row r="787" spans="1:14">
      <c r="C787" s="29">
        <v>17</v>
      </c>
      <c r="D787" s="34" t="s">
        <v>1232</v>
      </c>
      <c r="E787" s="199">
        <v>4.5497424402192635E-2</v>
      </c>
      <c r="F787" s="199">
        <v>4.9595042390871431E-2</v>
      </c>
      <c r="G787" s="199">
        <v>4.86399532081076E-2</v>
      </c>
      <c r="H787" s="199">
        <v>4.3938675145509393E-2</v>
      </c>
      <c r="I787" s="199">
        <v>4.0951647301032602E-2</v>
      </c>
      <c r="J787" s="199">
        <v>4.5287103494136151E-2</v>
      </c>
      <c r="K787" s="199">
        <v>5.2018173268806624E-2</v>
      </c>
      <c r="L787" s="199">
        <v>4.7675886346571841E-2</v>
      </c>
      <c r="M787" s="199">
        <v>3.7498824210058949E-2</v>
      </c>
      <c r="N787" s="199">
        <v>3.4638565628726053E-2</v>
      </c>
    </row>
    <row r="788" spans="1:14">
      <c r="C788" s="29">
        <v>18</v>
      </c>
      <c r="D788" s="34" t="s">
        <v>1233</v>
      </c>
      <c r="E788" s="199">
        <v>4.9719539310864577E-2</v>
      </c>
      <c r="F788" s="199">
        <v>4.0433076487859855E-2</v>
      </c>
      <c r="G788" s="199">
        <v>4.7223601903506586E-2</v>
      </c>
      <c r="H788" s="199">
        <v>4.4094935030287788E-2</v>
      </c>
      <c r="I788" s="199">
        <v>4.2588512260772718E-2</v>
      </c>
      <c r="J788" s="199">
        <v>5.1336565140565796E-2</v>
      </c>
      <c r="K788" s="199">
        <v>4.1815700093988863E-2</v>
      </c>
      <c r="L788" s="199">
        <v>4.4776761534797996E-2</v>
      </c>
      <c r="M788" s="199">
        <v>3.7156335850288991E-2</v>
      </c>
      <c r="N788" s="199">
        <v>4.3330968468050172E-2</v>
      </c>
    </row>
    <row r="789" spans="1:14">
      <c r="C789" s="29">
        <v>19</v>
      </c>
      <c r="D789" s="34" t="s">
        <v>1234</v>
      </c>
      <c r="E789" s="199">
        <v>5.5396149005736646E-2</v>
      </c>
      <c r="F789" s="199">
        <v>3.3875947052681078E-2</v>
      </c>
      <c r="G789" s="199">
        <v>4.5477512836949313E-2</v>
      </c>
      <c r="H789" s="199">
        <v>4.28007334622739E-2</v>
      </c>
      <c r="I789" s="199">
        <v>4.14024654649967E-2</v>
      </c>
      <c r="J789" s="199">
        <v>5.042683647980558E-2</v>
      </c>
      <c r="K789" s="199">
        <v>3.1797795007100393E-2</v>
      </c>
      <c r="L789" s="199">
        <v>4.1054144233399911E-2</v>
      </c>
      <c r="M789" s="199">
        <v>3.4930414564192783E-2</v>
      </c>
      <c r="N789" s="199">
        <v>3.9201096505075791E-2</v>
      </c>
    </row>
    <row r="790" spans="1:14">
      <c r="C790" s="29">
        <v>20</v>
      </c>
      <c r="D790" s="34" t="s">
        <v>1235</v>
      </c>
      <c r="E790" s="199">
        <v>5.4740524866961092E-2</v>
      </c>
      <c r="F790" s="199">
        <v>3.3195129772865831E-2</v>
      </c>
      <c r="G790" s="199">
        <v>4.2778329238737325E-2</v>
      </c>
      <c r="H790" s="199">
        <v>4.0996507303819832E-2</v>
      </c>
      <c r="I790" s="199">
        <v>4.2959820921242668E-2</v>
      </c>
      <c r="J790" s="199">
        <v>5.3715122600388222E-2</v>
      </c>
      <c r="K790" s="199">
        <v>3.1857015383984881E-2</v>
      </c>
      <c r="L790" s="199">
        <v>3.9642499650171754E-2</v>
      </c>
      <c r="M790" s="199">
        <v>3.4056371545138735E-2</v>
      </c>
      <c r="N790" s="199">
        <v>4.011366211151516E-2</v>
      </c>
    </row>
    <row r="791" spans="1:14">
      <c r="C791" s="29">
        <v>21</v>
      </c>
      <c r="D791" s="34" t="s">
        <v>1236</v>
      </c>
      <c r="E791" s="199">
        <v>5.8175688847088132E-2</v>
      </c>
      <c r="F791" s="199">
        <v>3.7902821789002672E-2</v>
      </c>
      <c r="G791" s="199">
        <v>4.024994333873478E-2</v>
      </c>
      <c r="H791" s="199">
        <v>4.0573027320323043E-2</v>
      </c>
      <c r="I791" s="199">
        <v>4.3707159794747263E-2</v>
      </c>
      <c r="J791" s="199">
        <v>5.4407885072531206E-2</v>
      </c>
      <c r="K791" s="199">
        <v>3.5683782718893053E-2</v>
      </c>
      <c r="L791" s="199">
        <v>3.7205712179481057E-2</v>
      </c>
      <c r="M791" s="199">
        <v>3.3795221459538331E-2</v>
      </c>
      <c r="N791" s="199">
        <v>4.1444623150669158E-2</v>
      </c>
    </row>
    <row r="792" spans="1:14">
      <c r="C792" s="29">
        <v>22</v>
      </c>
      <c r="D792" s="34" t="s">
        <v>1237</v>
      </c>
      <c r="E792" s="199">
        <v>5.4284807481927565E-2</v>
      </c>
      <c r="F792" s="199">
        <v>4.1303428332527745E-2</v>
      </c>
      <c r="G792" s="199">
        <v>3.7947334986663486E-2</v>
      </c>
      <c r="H792" s="199">
        <v>3.9523766609643143E-2</v>
      </c>
      <c r="I792" s="199">
        <v>4.1705834227875313E-2</v>
      </c>
      <c r="J792" s="199">
        <v>5.151868970582886E-2</v>
      </c>
      <c r="K792" s="199">
        <v>3.6116750865466778E-2</v>
      </c>
      <c r="L792" s="199">
        <v>3.3245490122511746E-2</v>
      </c>
      <c r="M792" s="199">
        <v>3.3757046696194754E-2</v>
      </c>
      <c r="N792" s="199">
        <v>4.4039982319227094E-2</v>
      </c>
    </row>
    <row r="793" spans="1:14">
      <c r="C793" s="29">
        <v>23</v>
      </c>
      <c r="D793" s="34" t="s">
        <v>1238</v>
      </c>
      <c r="E793" s="199">
        <v>4.6707747113176747E-2</v>
      </c>
      <c r="F793" s="199">
        <v>3.8385169739712205E-2</v>
      </c>
      <c r="G793" s="199">
        <v>3.4907759788050795E-2</v>
      </c>
      <c r="H793" s="199">
        <v>3.8368516005018977E-2</v>
      </c>
      <c r="I793" s="199">
        <v>4.3260270250856089E-2</v>
      </c>
      <c r="J793" s="199">
        <v>4.1280625141356213E-2</v>
      </c>
      <c r="K793" s="199">
        <v>3.6641450082084283E-2</v>
      </c>
      <c r="L793" s="199">
        <v>3.076812777662628E-2</v>
      </c>
      <c r="M793" s="199">
        <v>3.4218541988660797E-2</v>
      </c>
      <c r="N793" s="199">
        <v>4.7184782649070084E-2</v>
      </c>
    </row>
    <row r="794" spans="1:14">
      <c r="C794" s="29">
        <v>24</v>
      </c>
      <c r="D794" s="34" t="s">
        <v>1239</v>
      </c>
      <c r="E794" s="199">
        <v>3.6544428510741529E-2</v>
      </c>
      <c r="F794" s="199">
        <v>3.7346797302011556E-2</v>
      </c>
      <c r="G794" s="199">
        <v>3.1121987015534473E-2</v>
      </c>
      <c r="H794" s="199">
        <v>3.564831219050766E-2</v>
      </c>
      <c r="I794" s="199">
        <v>4.332233523953103E-2</v>
      </c>
      <c r="J794" s="199">
        <v>3.5091311377113549E-2</v>
      </c>
      <c r="K794" s="199">
        <v>3.4908158543841467E-2</v>
      </c>
      <c r="L794" s="199">
        <v>2.7419976385993826E-2</v>
      </c>
      <c r="M794" s="199">
        <v>3.3974021061335062E-2</v>
      </c>
      <c r="N794" s="199">
        <v>4.515089945360469E-2</v>
      </c>
    </row>
    <row r="795" spans="1:14">
      <c r="A795" s="16" t="s">
        <v>265</v>
      </c>
      <c r="B795" s="16" t="s">
        <v>420</v>
      </c>
      <c r="C795" s="29">
        <v>1</v>
      </c>
      <c r="D795" s="34" t="s">
        <v>1240</v>
      </c>
      <c r="E795" s="199">
        <v>3.2881805011307566E-2</v>
      </c>
      <c r="F795" s="199">
        <v>3.5932418531314056E-2</v>
      </c>
      <c r="G795" s="199">
        <v>3.1485566333892066E-2</v>
      </c>
      <c r="H795" s="199">
        <v>3.505354518849027E-2</v>
      </c>
      <c r="I795" s="199">
        <v>4.2303939367015514E-2</v>
      </c>
      <c r="J795" s="199">
        <v>3.1974949550028713E-2</v>
      </c>
      <c r="K795" s="199">
        <v>3.5936051930606422E-2</v>
      </c>
      <c r="L795" s="199">
        <v>2.8162791225570076E-2</v>
      </c>
      <c r="M795" s="199">
        <v>3.2790141119111618E-2</v>
      </c>
      <c r="N795" s="199">
        <v>3.2488259290222025E-2</v>
      </c>
    </row>
    <row r="796" spans="1:14">
      <c r="C796" s="29">
        <v>2</v>
      </c>
      <c r="D796" s="34" t="s">
        <v>1241</v>
      </c>
      <c r="E796" s="199">
        <v>3.0100493342865908E-2</v>
      </c>
      <c r="F796" s="199">
        <v>3.3546725576178084E-2</v>
      </c>
      <c r="G796" s="199">
        <v>3.0621811172371931E-2</v>
      </c>
      <c r="H796" s="199">
        <v>3.3622870307433807E-2</v>
      </c>
      <c r="I796" s="199">
        <v>4.2104738856061245E-2</v>
      </c>
      <c r="J796" s="199">
        <v>2.9170785015999377E-2</v>
      </c>
      <c r="K796" s="199">
        <v>3.3455962855920104E-2</v>
      </c>
      <c r="L796" s="199">
        <v>2.7049432128890934E-2</v>
      </c>
      <c r="M796" s="199">
        <v>3.2258801333655891E-2</v>
      </c>
      <c r="N796" s="199">
        <v>3.0486876083791997E-2</v>
      </c>
    </row>
    <row r="797" spans="1:14">
      <c r="C797" s="29">
        <v>3</v>
      </c>
      <c r="D797" s="34" t="s">
        <v>1242</v>
      </c>
      <c r="E797" s="199">
        <v>2.7841291215972067E-2</v>
      </c>
      <c r="F797" s="199">
        <v>3.2984172685930187E-2</v>
      </c>
      <c r="G797" s="199">
        <v>3.0076759555757188E-2</v>
      </c>
      <c r="H797" s="199">
        <v>3.2754858195039191E-2</v>
      </c>
      <c r="I797" s="199">
        <v>4.0343180055827425E-2</v>
      </c>
      <c r="J797" s="199">
        <v>2.8924214870105949E-2</v>
      </c>
      <c r="K797" s="199">
        <v>3.3211451008716177E-2</v>
      </c>
      <c r="L797" s="199">
        <v>2.5249226958417487E-2</v>
      </c>
      <c r="M797" s="199">
        <v>3.1652391523466071E-2</v>
      </c>
      <c r="N797" s="199">
        <v>3.0907608209650109E-2</v>
      </c>
    </row>
    <row r="798" spans="1:14">
      <c r="C798" s="29">
        <v>4</v>
      </c>
      <c r="D798" s="34" t="s">
        <v>1243</v>
      </c>
      <c r="E798" s="199">
        <v>2.7805214665842886E-2</v>
      </c>
      <c r="F798" s="199">
        <v>3.2859198368682722E-2</v>
      </c>
      <c r="G798" s="199">
        <v>2.9786644290289804E-2</v>
      </c>
      <c r="H798" s="199">
        <v>3.2234330663617299E-2</v>
      </c>
      <c r="I798" s="199">
        <v>4.0254331226589377E-2</v>
      </c>
      <c r="J798" s="199">
        <v>2.9451775950440223E-2</v>
      </c>
      <c r="K798" s="199">
        <v>3.304315769858595E-2</v>
      </c>
      <c r="L798" s="199">
        <v>2.5643899083273049E-2</v>
      </c>
      <c r="M798" s="199">
        <v>3.1794035707426345E-2</v>
      </c>
      <c r="N798" s="199">
        <v>2.9577454774372989E-2</v>
      </c>
    </row>
    <row r="799" spans="1:14">
      <c r="C799" s="29">
        <v>5</v>
      </c>
      <c r="D799" s="34" t="s">
        <v>1244</v>
      </c>
      <c r="E799" s="199">
        <v>2.877490233184184E-2</v>
      </c>
      <c r="F799" s="199">
        <v>3.3714639147109877E-2</v>
      </c>
      <c r="G799" s="199">
        <v>3.189948774519575E-2</v>
      </c>
      <c r="H799" s="199">
        <v>3.3976517822484141E-2</v>
      </c>
      <c r="I799" s="199">
        <v>4.1728490216355968E-2</v>
      </c>
      <c r="J799" s="199">
        <v>3.1776901819275685E-2</v>
      </c>
      <c r="K799" s="199">
        <v>3.3906518887416144E-2</v>
      </c>
      <c r="L799" s="199">
        <v>3.0507582985778447E-2</v>
      </c>
      <c r="M799" s="199">
        <v>3.5781660713293362E-2</v>
      </c>
      <c r="N799" s="199">
        <v>3.8782559566343716E-2</v>
      </c>
    </row>
    <row r="800" spans="1:14">
      <c r="C800" s="29">
        <v>6</v>
      </c>
      <c r="D800" s="34" t="s">
        <v>1245</v>
      </c>
      <c r="E800" s="199">
        <v>3.4274768137546451E-2</v>
      </c>
      <c r="F800" s="199">
        <v>3.1039801917890943E-2</v>
      </c>
      <c r="G800" s="199">
        <v>3.3195194339257869E-2</v>
      </c>
      <c r="H800" s="199">
        <v>3.4960576672297947E-2</v>
      </c>
      <c r="I800" s="199">
        <v>4.1572227038808009E-2</v>
      </c>
      <c r="J800" s="199">
        <v>3.6710107501907507E-2</v>
      </c>
      <c r="K800" s="199">
        <v>3.1112541502883156E-2</v>
      </c>
      <c r="L800" s="199">
        <v>3.5671414333194582E-2</v>
      </c>
      <c r="M800" s="199">
        <v>4.237612366526123E-2</v>
      </c>
      <c r="N800" s="199">
        <v>4.9468089033863939E-2</v>
      </c>
    </row>
    <row r="801" spans="3:14">
      <c r="C801" s="29">
        <v>7</v>
      </c>
      <c r="D801" s="34" t="s">
        <v>1246</v>
      </c>
      <c r="E801" s="199">
        <v>4.3238059868314534E-2</v>
      </c>
      <c r="F801" s="199">
        <v>3.0598454773366913E-2</v>
      </c>
      <c r="G801" s="199">
        <v>3.7452907456286259E-2</v>
      </c>
      <c r="H801" s="199">
        <v>4.0466524493751009E-2</v>
      </c>
      <c r="I801" s="199">
        <v>4.4666757578037675E-2</v>
      </c>
      <c r="J801" s="199">
        <v>4.5044697629357124E-2</v>
      </c>
      <c r="K801" s="199">
        <v>3.2273196255956059E-2</v>
      </c>
      <c r="L801" s="199">
        <v>4.109982560021367E-2</v>
      </c>
      <c r="M801" s="199">
        <v>4.3764988761084138E-2</v>
      </c>
      <c r="N801" s="199">
        <v>7.1619628623567383E-2</v>
      </c>
    </row>
    <row r="802" spans="3:14">
      <c r="C802" s="29">
        <v>8</v>
      </c>
      <c r="D802" s="34" t="s">
        <v>1247</v>
      </c>
      <c r="E802" s="199">
        <v>5.0447509331839509E-2</v>
      </c>
      <c r="F802" s="199">
        <v>3.6648010365817857E-2</v>
      </c>
      <c r="G802" s="199">
        <v>4.2669053719241193E-2</v>
      </c>
      <c r="H802" s="199">
        <v>4.5044316959612182E-2</v>
      </c>
      <c r="I802" s="199">
        <v>4.6407223755093395E-2</v>
      </c>
      <c r="J802" s="199">
        <v>4.7638074894972723E-2</v>
      </c>
      <c r="K802" s="199">
        <v>3.7581559970814971E-2</v>
      </c>
      <c r="L802" s="199">
        <v>4.601809238260185E-2</v>
      </c>
      <c r="M802" s="199">
        <v>5.0134659468300875E-2</v>
      </c>
      <c r="N802" s="199">
        <v>5.425065242877429E-2</v>
      </c>
    </row>
    <row r="803" spans="3:14">
      <c r="C803" s="29">
        <v>9</v>
      </c>
      <c r="D803" s="34" t="s">
        <v>1248</v>
      </c>
      <c r="E803" s="199">
        <v>4.6602947987034626E-2</v>
      </c>
      <c r="F803" s="199">
        <v>4.6106388645917942E-2</v>
      </c>
      <c r="G803" s="199">
        <v>4.6658735800205943E-2</v>
      </c>
      <c r="H803" s="199">
        <v>4.9035363134281182E-2</v>
      </c>
      <c r="I803" s="199">
        <v>4.3050078092275151E-2</v>
      </c>
      <c r="J803" s="199">
        <v>4.5960381944799712E-2</v>
      </c>
      <c r="K803" s="199">
        <v>4.5221311676060846E-2</v>
      </c>
      <c r="L803" s="199">
        <v>5.197568472317031E-2</v>
      </c>
      <c r="M803" s="199">
        <v>5.2075825460381898E-2</v>
      </c>
      <c r="N803" s="199">
        <v>4.9585954192294127E-2</v>
      </c>
    </row>
    <row r="804" spans="3:14">
      <c r="C804" s="29">
        <v>10</v>
      </c>
      <c r="D804" s="34" t="s">
        <v>1249</v>
      </c>
      <c r="E804" s="199">
        <v>4.5179082976142398E-2</v>
      </c>
      <c r="F804" s="199">
        <v>4.8876600683596422E-2</v>
      </c>
      <c r="G804" s="199">
        <v>4.9236646845306806E-2</v>
      </c>
      <c r="H804" s="199">
        <v>5.1081894335577339E-2</v>
      </c>
      <c r="I804" s="199">
        <v>4.4018082497317368E-2</v>
      </c>
      <c r="J804" s="199">
        <v>4.3883901404407434E-2</v>
      </c>
      <c r="K804" s="199">
        <v>4.7671577994576698E-2</v>
      </c>
      <c r="L804" s="199">
        <v>5.3047456358168675E-2</v>
      </c>
      <c r="M804" s="199">
        <v>5.2083764219954885E-2</v>
      </c>
      <c r="N804" s="199">
        <v>4.7368530440249607E-2</v>
      </c>
    </row>
    <row r="805" spans="3:14">
      <c r="C805" s="29">
        <v>11</v>
      </c>
      <c r="D805" s="34" t="s">
        <v>1250</v>
      </c>
      <c r="E805" s="199">
        <v>4.5266411036568727E-2</v>
      </c>
      <c r="F805" s="199">
        <v>5.2508330633251665E-2</v>
      </c>
      <c r="G805" s="199">
        <v>5.1467510540928497E-2</v>
      </c>
      <c r="H805" s="199">
        <v>4.8855020822193965E-2</v>
      </c>
      <c r="I805" s="199">
        <v>4.3187949322870393E-2</v>
      </c>
      <c r="J805" s="199">
        <v>4.3207472016063161E-2</v>
      </c>
      <c r="K805" s="199">
        <v>5.1179650740989069E-2</v>
      </c>
      <c r="L805" s="199">
        <v>5.3563450904424846E-2</v>
      </c>
      <c r="M805" s="199">
        <v>5.0283476391173601E-2</v>
      </c>
      <c r="N805" s="199">
        <v>3.9037569450882346E-2</v>
      </c>
    </row>
    <row r="806" spans="3:14">
      <c r="C806" s="29">
        <v>12</v>
      </c>
      <c r="D806" s="34" t="s">
        <v>1251</v>
      </c>
      <c r="E806" s="199">
        <v>4.2199750050264252E-2</v>
      </c>
      <c r="F806" s="199">
        <v>5.4395611286322657E-2</v>
      </c>
      <c r="G806" s="199">
        <v>5.2500508520450712E-2</v>
      </c>
      <c r="H806" s="199">
        <v>5.2509465895218828E-2</v>
      </c>
      <c r="I806" s="199">
        <v>4.2352927582597712E-2</v>
      </c>
      <c r="J806" s="199">
        <v>4.3927424151937587E-2</v>
      </c>
      <c r="K806" s="199">
        <v>5.3594685806403322E-2</v>
      </c>
      <c r="L806" s="199">
        <v>5.6577347444460573E-2</v>
      </c>
      <c r="M806" s="199">
        <v>5.0527836981889743E-2</v>
      </c>
      <c r="N806" s="199">
        <v>3.4753540125155837E-2</v>
      </c>
    </row>
    <row r="807" spans="3:14">
      <c r="C807" s="29">
        <v>13</v>
      </c>
      <c r="D807" s="34" t="s">
        <v>1252</v>
      </c>
      <c r="E807" s="199">
        <v>4.1117928398044221E-2</v>
      </c>
      <c r="F807" s="199">
        <v>5.3761480494553891E-2</v>
      </c>
      <c r="G807" s="199">
        <v>5.3638197767360819E-2</v>
      </c>
      <c r="H807" s="199">
        <v>5.1542715711325175E-2</v>
      </c>
      <c r="I807" s="199">
        <v>4.2697520194648335E-2</v>
      </c>
      <c r="J807" s="199">
        <v>4.4175556693959228E-2</v>
      </c>
      <c r="K807" s="199">
        <v>5.2621395288382479E-2</v>
      </c>
      <c r="L807" s="199">
        <v>5.7452351035718906E-2</v>
      </c>
      <c r="M807" s="199">
        <v>5.1435014358709091E-2</v>
      </c>
      <c r="N807" s="199">
        <v>3.7728199663031439E-2</v>
      </c>
    </row>
    <row r="808" spans="3:14">
      <c r="C808" s="29">
        <v>14</v>
      </c>
      <c r="D808" s="34" t="s">
        <v>1253</v>
      </c>
      <c r="E808" s="199">
        <v>4.0279811167649698E-2</v>
      </c>
      <c r="F808" s="199">
        <v>5.5215587560544385E-2</v>
      </c>
      <c r="G808" s="199">
        <v>5.4339575779983176E-2</v>
      </c>
      <c r="H808" s="199">
        <v>5.4447992769523335E-2</v>
      </c>
      <c r="I808" s="199">
        <v>4.1875420677327552E-2</v>
      </c>
      <c r="J808" s="199">
        <v>4.3298996380024324E-2</v>
      </c>
      <c r="K808" s="199">
        <v>5.5688317140532455E-2</v>
      </c>
      <c r="L808" s="199">
        <v>5.7918317468766051E-2</v>
      </c>
      <c r="M808" s="199">
        <v>5.2902988497294481E-2</v>
      </c>
      <c r="N808" s="199">
        <v>4.3788410436563237E-2</v>
      </c>
    </row>
    <row r="809" spans="3:14">
      <c r="C809" s="29">
        <v>15</v>
      </c>
      <c r="D809" s="34" t="s">
        <v>1254</v>
      </c>
      <c r="E809" s="199">
        <v>4.1034654840214256E-2</v>
      </c>
      <c r="F809" s="199">
        <v>5.5104464615453153E-2</v>
      </c>
      <c r="G809" s="199">
        <v>5.2917740528874414E-2</v>
      </c>
      <c r="H809" s="199">
        <v>5.0517220964308593E-2</v>
      </c>
      <c r="I809" s="199">
        <v>4.1881061330203376E-2</v>
      </c>
      <c r="J809" s="199">
        <v>4.2703026386138425E-2</v>
      </c>
      <c r="K809" s="199">
        <v>5.6128208224264696E-2</v>
      </c>
      <c r="L809" s="199">
        <v>5.6036646739580163E-2</v>
      </c>
      <c r="M809" s="199">
        <v>5.4219847651025485E-2</v>
      </c>
      <c r="N809" s="199">
        <v>4.2458530470331199E-2</v>
      </c>
    </row>
    <row r="810" spans="3:14">
      <c r="C810" s="29">
        <v>16</v>
      </c>
      <c r="D810" s="34" t="s">
        <v>1255</v>
      </c>
      <c r="E810" s="199">
        <v>4.195015259763802E-2</v>
      </c>
      <c r="F810" s="199">
        <v>5.2830867945073447E-2</v>
      </c>
      <c r="G810" s="199">
        <v>5.0767482233285845E-2</v>
      </c>
      <c r="H810" s="199">
        <v>4.5557982216919264E-2</v>
      </c>
      <c r="I810" s="199">
        <v>4.2301956592065225E-2</v>
      </c>
      <c r="J810" s="199">
        <v>4.3767210444350509E-2</v>
      </c>
      <c r="K810" s="199">
        <v>5.5045205585765311E-2</v>
      </c>
      <c r="L810" s="199">
        <v>5.1932557771588159E-2</v>
      </c>
      <c r="M810" s="199">
        <v>4.9727623944580211E-2</v>
      </c>
      <c r="N810" s="199">
        <v>4.199185554489937E-2</v>
      </c>
    </row>
    <row r="811" spans="3:14">
      <c r="C811" s="29">
        <v>17</v>
      </c>
      <c r="D811" s="34" t="s">
        <v>1256</v>
      </c>
      <c r="E811" s="199">
        <v>4.5496872373337265E-2</v>
      </c>
      <c r="F811" s="199">
        <v>4.9193060861868559E-2</v>
      </c>
      <c r="G811" s="199">
        <v>4.7420055993606137E-2</v>
      </c>
      <c r="H811" s="199">
        <v>4.3016930191833766E-2</v>
      </c>
      <c r="I811" s="199">
        <v>4.0491785619774269E-2</v>
      </c>
      <c r="J811" s="199">
        <v>4.4683968406363246E-2</v>
      </c>
      <c r="K811" s="199">
        <v>5.1249331295828732E-2</v>
      </c>
      <c r="L811" s="199">
        <v>4.7825803893491003E-2</v>
      </c>
      <c r="M811" s="199">
        <v>4.0892272007529838E-2</v>
      </c>
      <c r="N811" s="199">
        <v>4.9778202930986518E-2</v>
      </c>
    </row>
    <row r="812" spans="3:14">
      <c r="C812" s="29">
        <v>18</v>
      </c>
      <c r="D812" s="34" t="s">
        <v>1257</v>
      </c>
      <c r="E812" s="199">
        <v>4.9254056954981924E-2</v>
      </c>
      <c r="F812" s="199">
        <v>4.0813954047012185E-2</v>
      </c>
      <c r="G812" s="199">
        <v>4.5502772057193289E-2</v>
      </c>
      <c r="H812" s="199">
        <v>4.1784605628821851E-2</v>
      </c>
      <c r="I812" s="199">
        <v>3.933757129827968E-2</v>
      </c>
      <c r="J812" s="199">
        <v>4.9971709813491007E-2</v>
      </c>
      <c r="K812" s="199">
        <v>4.2603859811846424E-2</v>
      </c>
      <c r="L812" s="199">
        <v>4.4357046482041557E-2</v>
      </c>
      <c r="M812" s="199">
        <v>3.9209115701571165E-2</v>
      </c>
      <c r="N812" s="199">
        <v>3.7657781383922909E-2</v>
      </c>
    </row>
    <row r="813" spans="3:14">
      <c r="C813" s="29">
        <v>19</v>
      </c>
      <c r="D813" s="34" t="s">
        <v>1258</v>
      </c>
      <c r="E813" s="199">
        <v>5.1296694258510585E-2</v>
      </c>
      <c r="F813" s="199">
        <v>3.437156854872498E-2</v>
      </c>
      <c r="G813" s="199">
        <v>4.3686853511369313E-2</v>
      </c>
      <c r="H813" s="199">
        <v>4.0646648262076618E-2</v>
      </c>
      <c r="I813" s="199">
        <v>4.0151534601149272E-2</v>
      </c>
      <c r="J813" s="199">
        <v>5.0060558073314637E-2</v>
      </c>
      <c r="K813" s="199">
        <v>3.4638599130656887E-2</v>
      </c>
      <c r="L813" s="199">
        <v>4.1362324554156824E-2</v>
      </c>
      <c r="M813" s="199">
        <v>3.6516553079730354E-2</v>
      </c>
      <c r="N813" s="199">
        <v>4.0261069958577637E-2</v>
      </c>
    </row>
    <row r="814" spans="3:14">
      <c r="C814" s="29">
        <v>20</v>
      </c>
      <c r="D814" s="34" t="s">
        <v>1259</v>
      </c>
      <c r="E814" s="199">
        <v>4.9811678906658031E-2</v>
      </c>
      <c r="F814" s="199">
        <v>3.3638194547263849E-2</v>
      </c>
      <c r="G814" s="199">
        <v>4.1218884850011336E-2</v>
      </c>
      <c r="H814" s="199">
        <v>3.9193419664821171E-2</v>
      </c>
      <c r="I814" s="199">
        <v>4.053793641603104E-2</v>
      </c>
      <c r="J814" s="199">
        <v>5.0300197590229127E-2</v>
      </c>
      <c r="K814" s="199">
        <v>3.4900726604411611E-2</v>
      </c>
      <c r="L814" s="199">
        <v>3.9971942212602876E-2</v>
      </c>
      <c r="M814" s="199">
        <v>3.6039461484690095E-2</v>
      </c>
      <c r="N814" s="199">
        <v>3.5738028687449755E-2</v>
      </c>
    </row>
    <row r="815" spans="3:14">
      <c r="C815" s="29">
        <v>21</v>
      </c>
      <c r="D815" s="34" t="s">
        <v>1260</v>
      </c>
      <c r="E815" s="199">
        <v>5.1400788235078626E-2</v>
      </c>
      <c r="F815" s="199">
        <v>3.9155345821655599E-2</v>
      </c>
      <c r="G815" s="199">
        <v>4.0530260276140581E-2</v>
      </c>
      <c r="H815" s="199">
        <v>3.7850293414668904E-2</v>
      </c>
      <c r="I815" s="199">
        <v>3.896563006622504E-2</v>
      </c>
      <c r="J815" s="199">
        <v>4.907670521295552E-2</v>
      </c>
      <c r="K815" s="199">
        <v>3.8019583059623205E-2</v>
      </c>
      <c r="L815" s="199">
        <v>3.8053068913662252E-2</v>
      </c>
      <c r="M815" s="199">
        <v>3.4658952977891386E-2</v>
      </c>
      <c r="N815" s="199">
        <v>4.0022604951266437E-2</v>
      </c>
    </row>
    <row r="816" spans="3:14">
      <c r="C816" s="29">
        <v>22</v>
      </c>
      <c r="D816" s="34" t="s">
        <v>1261</v>
      </c>
      <c r="E816" s="199">
        <v>5.1254310704342616E-2</v>
      </c>
      <c r="F816" s="199">
        <v>4.1233912676332807E-2</v>
      </c>
      <c r="G816" s="199">
        <v>3.7875472072686371E-2</v>
      </c>
      <c r="H816" s="199">
        <v>3.7664137838522641E-2</v>
      </c>
      <c r="I816" s="199">
        <v>3.9205169791685222E-2</v>
      </c>
      <c r="J816" s="199">
        <v>4.6226253692092281E-2</v>
      </c>
      <c r="K816" s="199">
        <v>3.7797508872378573E-2</v>
      </c>
      <c r="L816" s="199">
        <v>3.3382575068022634E-2</v>
      </c>
      <c r="M816" s="199">
        <v>3.3239098864437044E-2</v>
      </c>
      <c r="N816" s="199">
        <v>3.8903432884269812E-2</v>
      </c>
    </row>
    <row r="817" spans="1:14">
      <c r="C817" s="29">
        <v>23</v>
      </c>
      <c r="D817" s="34" t="s">
        <v>1262</v>
      </c>
      <c r="E817" s="199">
        <v>4.4497297462974338E-2</v>
      </c>
      <c r="F817" s="199">
        <v>3.7904604352088651E-2</v>
      </c>
      <c r="G817" s="199">
        <v>3.4701510935643359E-2</v>
      </c>
      <c r="H817" s="199">
        <v>3.5365494553823887E-2</v>
      </c>
      <c r="I817" s="199">
        <v>4.0674850444926171E-2</v>
      </c>
      <c r="J817" s="199">
        <v>4.3531296641280193E-2</v>
      </c>
      <c r="K817" s="199">
        <v>3.7153463320149419E-2</v>
      </c>
      <c r="L817" s="199">
        <v>3.0096454244735702E-2</v>
      </c>
      <c r="M817" s="199">
        <v>3.2628858950944452E-2</v>
      </c>
      <c r="N817" s="199">
        <v>4.5198827036571826E-2</v>
      </c>
    </row>
    <row r="818" spans="1:14">
      <c r="C818" s="29">
        <v>24</v>
      </c>
      <c r="D818" s="34" t="s">
        <v>1263</v>
      </c>
      <c r="E818" s="199">
        <v>3.7993518145029416E-2</v>
      </c>
      <c r="F818" s="199">
        <v>3.7566605914049242E-2</v>
      </c>
      <c r="G818" s="199">
        <v>3.0350367674661489E-2</v>
      </c>
      <c r="H818" s="199">
        <v>3.2817274293357311E-2</v>
      </c>
      <c r="I818" s="199">
        <v>3.9889637378835795E-2</v>
      </c>
      <c r="J818" s="199">
        <v>3.4533833916506371E-2</v>
      </c>
      <c r="K818" s="199">
        <v>3.5966135337231406E-2</v>
      </c>
      <c r="L818" s="199">
        <v>2.7044707487469458E-2</v>
      </c>
      <c r="M818" s="199">
        <v>3.3006507136596655E-2</v>
      </c>
      <c r="N818" s="199">
        <v>3.8146333832961267E-2</v>
      </c>
    </row>
    <row r="819" spans="1:14">
      <c r="A819" s="16" t="s">
        <v>265</v>
      </c>
      <c r="B819" s="16" t="s">
        <v>424</v>
      </c>
      <c r="C819" s="29">
        <v>1</v>
      </c>
      <c r="D819" s="34" t="s">
        <v>1264</v>
      </c>
      <c r="E819" s="199">
        <v>3.2804040766121124E-2</v>
      </c>
      <c r="F819" s="199">
        <v>4.4554821877802769E-2</v>
      </c>
      <c r="G819" s="199">
        <v>3.6442479515045027E-2</v>
      </c>
      <c r="H819" s="199">
        <v>4.2817465807010659E-2</v>
      </c>
      <c r="I819" s="199">
        <v>3.8928117347012549E-2</v>
      </c>
      <c r="J819" s="199">
        <v>2.8650266048327013E-2</v>
      </c>
      <c r="K819" s="199">
        <v>4.2405419346277895E-2</v>
      </c>
      <c r="L819" s="199">
        <v>3.4085965425914043E-2</v>
      </c>
      <c r="M819" s="199">
        <v>3.9177767472362901E-2</v>
      </c>
      <c r="N819" s="199">
        <v>3.1661773903393961E-2</v>
      </c>
    </row>
    <row r="820" spans="1:14">
      <c r="C820" s="29">
        <v>2</v>
      </c>
      <c r="D820" s="34" t="s">
        <v>1265</v>
      </c>
      <c r="E820" s="199">
        <v>2.9076058437683776E-2</v>
      </c>
      <c r="F820" s="199">
        <v>4.2831638960219139E-2</v>
      </c>
      <c r="G820" s="199">
        <v>3.6216408880801333E-2</v>
      </c>
      <c r="H820" s="199">
        <v>4.1255021137083299E-2</v>
      </c>
      <c r="I820" s="199">
        <v>4.0355939131487016E-2</v>
      </c>
      <c r="J820" s="199">
        <v>2.7632943351436508E-2</v>
      </c>
      <c r="K820" s="199">
        <v>3.9742220409450066E-2</v>
      </c>
      <c r="L820" s="199">
        <v>3.4097698170958139E-2</v>
      </c>
      <c r="M820" s="199">
        <v>3.9358038962711089E-2</v>
      </c>
      <c r="N820" s="199">
        <v>2.9702254435556383E-2</v>
      </c>
    </row>
    <row r="821" spans="1:14">
      <c r="C821" s="29">
        <v>3</v>
      </c>
      <c r="D821" s="34" t="s">
        <v>1266</v>
      </c>
      <c r="E821" s="199">
        <v>2.7726800705828301E-2</v>
      </c>
      <c r="F821" s="199">
        <v>4.1672890755605166E-2</v>
      </c>
      <c r="G821" s="199">
        <v>3.5614344650111381E-2</v>
      </c>
      <c r="H821" s="199">
        <v>4.0475177267597147E-2</v>
      </c>
      <c r="I821" s="199">
        <v>3.985962049026151E-2</v>
      </c>
      <c r="J821" s="199">
        <v>2.5987803945988073E-2</v>
      </c>
      <c r="K821" s="199">
        <v>3.9950949251595647E-2</v>
      </c>
      <c r="L821" s="199">
        <v>3.3424769796217828E-2</v>
      </c>
      <c r="M821" s="199">
        <v>3.9577876212257772E-2</v>
      </c>
      <c r="N821" s="199">
        <v>2.3963758157759547E-2</v>
      </c>
    </row>
    <row r="822" spans="1:14">
      <c r="C822" s="29">
        <v>4</v>
      </c>
      <c r="D822" s="34" t="s">
        <v>1267</v>
      </c>
      <c r="E822" s="199">
        <v>2.752659185926119E-2</v>
      </c>
      <c r="F822" s="199">
        <v>4.1365041630389142E-2</v>
      </c>
      <c r="G822" s="199">
        <v>3.4999601999186281E-2</v>
      </c>
      <c r="H822" s="199">
        <v>4.0233179994875773E-2</v>
      </c>
      <c r="I822" s="199">
        <v>4.1215148729171661E-2</v>
      </c>
      <c r="J822" s="199">
        <v>2.5099460515705836E-2</v>
      </c>
      <c r="K822" s="199">
        <v>3.8878129598954432E-2</v>
      </c>
      <c r="L822" s="199">
        <v>3.3068789823479688E-2</v>
      </c>
      <c r="M822" s="199">
        <v>3.9840493938937835E-2</v>
      </c>
      <c r="N822" s="199">
        <v>2.6382254214599481E-2</v>
      </c>
    </row>
    <row r="823" spans="1:14">
      <c r="C823" s="29">
        <v>5</v>
      </c>
      <c r="D823" s="34" t="s">
        <v>1268</v>
      </c>
      <c r="E823" s="199">
        <v>2.860390799546627E-2</v>
      </c>
      <c r="F823" s="199">
        <v>4.1269227825356462E-2</v>
      </c>
      <c r="G823" s="199">
        <v>3.5000495660653157E-2</v>
      </c>
      <c r="H823" s="199">
        <v>4.1164410006360543E-2</v>
      </c>
      <c r="I823" s="199">
        <v>4.1269910685610312E-2</v>
      </c>
      <c r="J823" s="199">
        <v>2.58901659464277E-2</v>
      </c>
      <c r="K823" s="199">
        <v>3.9628801540886931E-2</v>
      </c>
      <c r="L823" s="199">
        <v>3.4717493776134707E-2</v>
      </c>
      <c r="M823" s="199">
        <v>4.1325281481526671E-2</v>
      </c>
      <c r="N823" s="199">
        <v>3.385342087318486E-2</v>
      </c>
    </row>
    <row r="824" spans="1:14">
      <c r="C824" s="29">
        <v>6</v>
      </c>
      <c r="D824" s="34" t="s">
        <v>1269</v>
      </c>
      <c r="E824" s="199">
        <v>3.0853203977732245E-2</v>
      </c>
      <c r="F824" s="199">
        <v>3.6836027074901141E-2</v>
      </c>
      <c r="G824" s="199">
        <v>3.5204951259992914E-2</v>
      </c>
      <c r="H824" s="199">
        <v>4.0399269768634671E-2</v>
      </c>
      <c r="I824" s="199">
        <v>4.1691865630526029E-2</v>
      </c>
      <c r="J824" s="199">
        <v>2.8119978054712103E-2</v>
      </c>
      <c r="K824" s="199">
        <v>3.5729114546782681E-2</v>
      </c>
      <c r="L824" s="199">
        <v>3.6043348728054751E-2</v>
      </c>
      <c r="M824" s="199">
        <v>4.5151043110026934E-2</v>
      </c>
      <c r="N824" s="199">
        <v>5.2320507808064555E-2</v>
      </c>
    </row>
    <row r="825" spans="1:14">
      <c r="C825" s="29">
        <v>7</v>
      </c>
      <c r="D825" s="34" t="s">
        <v>1270</v>
      </c>
      <c r="E825" s="199">
        <v>3.4344742621759537E-2</v>
      </c>
      <c r="F825" s="199">
        <v>3.2043887009112038E-2</v>
      </c>
      <c r="G825" s="199">
        <v>3.587879772289658E-2</v>
      </c>
      <c r="H825" s="199">
        <v>3.8471562379728881E-2</v>
      </c>
      <c r="I825" s="199">
        <v>4.1184419929043647E-2</v>
      </c>
      <c r="J825" s="199">
        <v>3.4550464478748551E-2</v>
      </c>
      <c r="K825" s="199">
        <v>3.1864718717896597E-2</v>
      </c>
      <c r="L825" s="199">
        <v>3.8827021210051257E-2</v>
      </c>
      <c r="M825" s="199">
        <v>4.2739427658213168E-2</v>
      </c>
      <c r="N825" s="199">
        <v>5.9956164605527482E-2</v>
      </c>
    </row>
    <row r="826" spans="1:14">
      <c r="C826" s="29">
        <v>8</v>
      </c>
      <c r="D826" s="34" t="s">
        <v>1271</v>
      </c>
      <c r="E826" s="199">
        <v>4.0155604874411992E-2</v>
      </c>
      <c r="F826" s="199">
        <v>3.4519807132483656E-2</v>
      </c>
      <c r="G826" s="199">
        <v>3.999302866905205E-2</v>
      </c>
      <c r="H826" s="199">
        <v>4.1973048488043917E-2</v>
      </c>
      <c r="I826" s="199">
        <v>4.2859074843809561E-2</v>
      </c>
      <c r="J826" s="199">
        <v>4.1824557894349572E-2</v>
      </c>
      <c r="K826" s="199">
        <v>3.4913949522726036E-2</v>
      </c>
      <c r="L826" s="199">
        <v>4.2588276413889903E-2</v>
      </c>
      <c r="M826" s="199">
        <v>4.5311202006115874E-2</v>
      </c>
      <c r="N826" s="199">
        <v>5.2031545280513999E-2</v>
      </c>
    </row>
    <row r="827" spans="1:14">
      <c r="C827" s="29">
        <v>9</v>
      </c>
      <c r="D827" s="34" t="s">
        <v>1272</v>
      </c>
      <c r="E827" s="199">
        <v>4.7655969359093608E-2</v>
      </c>
      <c r="F827" s="199">
        <v>3.8487255085613188E-2</v>
      </c>
      <c r="G827" s="199">
        <v>4.1440644519451009E-2</v>
      </c>
      <c r="H827" s="199">
        <v>4.1579971398985609E-2</v>
      </c>
      <c r="I827" s="199">
        <v>4.2019434639890649E-2</v>
      </c>
      <c r="J827" s="199">
        <v>4.4202528719587623E-2</v>
      </c>
      <c r="K827" s="199">
        <v>3.8118164934597638E-2</v>
      </c>
      <c r="L827" s="199">
        <v>4.5150751741070236E-2</v>
      </c>
      <c r="M827" s="199">
        <v>4.4430451720624195E-2</v>
      </c>
      <c r="N827" s="199">
        <v>5.6517338672306801E-2</v>
      </c>
    </row>
    <row r="828" spans="1:14">
      <c r="C828" s="29">
        <v>10</v>
      </c>
      <c r="D828" s="34" t="s">
        <v>1273</v>
      </c>
      <c r="E828" s="199">
        <v>4.9208524757531354E-2</v>
      </c>
      <c r="F828" s="199">
        <v>4.0935045662605966E-2</v>
      </c>
      <c r="G828" s="199">
        <v>4.4207221115114249E-2</v>
      </c>
      <c r="H828" s="199">
        <v>4.3079496778005419E-2</v>
      </c>
      <c r="I828" s="199">
        <v>4.1523148344770541E-2</v>
      </c>
      <c r="J828" s="199">
        <v>4.6143501584209323E-2</v>
      </c>
      <c r="K828" s="199">
        <v>4.5218969766432054E-2</v>
      </c>
      <c r="L828" s="199">
        <v>4.7457228702346761E-2</v>
      </c>
      <c r="M828" s="199">
        <v>4.6393820092184922E-2</v>
      </c>
      <c r="N828" s="199">
        <v>6.6916184295242612E-2</v>
      </c>
    </row>
    <row r="829" spans="1:14">
      <c r="C829" s="29">
        <v>11</v>
      </c>
      <c r="D829" s="34" t="s">
        <v>1274</v>
      </c>
      <c r="E829" s="199">
        <v>4.869147667006795E-2</v>
      </c>
      <c r="F829" s="199">
        <v>4.2771377119685421E-2</v>
      </c>
      <c r="G829" s="199">
        <v>4.5298323903201092E-2</v>
      </c>
      <c r="H829" s="199">
        <v>4.3797646659230707E-2</v>
      </c>
      <c r="I829" s="199">
        <v>4.0087951648265348E-2</v>
      </c>
      <c r="J829" s="199">
        <v>5.0192520075252454E-2</v>
      </c>
      <c r="K829" s="199">
        <v>4.9173989495199466E-2</v>
      </c>
      <c r="L829" s="199">
        <v>4.8564254953234333E-2</v>
      </c>
      <c r="M829" s="199">
        <v>4.4594732049962983E-2</v>
      </c>
      <c r="N829" s="199">
        <v>4.8751685563596617E-2</v>
      </c>
    </row>
    <row r="830" spans="1:14">
      <c r="C830" s="29">
        <v>12</v>
      </c>
      <c r="D830" s="34" t="s">
        <v>1275</v>
      </c>
      <c r="E830" s="199">
        <v>4.7401020193348999E-2</v>
      </c>
      <c r="F830" s="199">
        <v>4.4070741538494572E-2</v>
      </c>
      <c r="G830" s="199">
        <v>4.605619383164896E-2</v>
      </c>
      <c r="H830" s="199">
        <v>4.4922474488892562E-2</v>
      </c>
      <c r="I830" s="199">
        <v>4.0586728593501084E-2</v>
      </c>
      <c r="J830" s="199">
        <v>5.0172911292481769E-2</v>
      </c>
      <c r="K830" s="199">
        <v>5.0364675815170984E-2</v>
      </c>
      <c r="L830" s="199">
        <v>4.9959315303284957E-2</v>
      </c>
      <c r="M830" s="199">
        <v>4.6786922395555056E-2</v>
      </c>
      <c r="N830" s="199">
        <v>4.5363679718058991E-2</v>
      </c>
    </row>
    <row r="831" spans="1:14">
      <c r="C831" s="29">
        <v>13</v>
      </c>
      <c r="D831" s="34" t="s">
        <v>1276</v>
      </c>
      <c r="E831" s="199">
        <v>4.6904292464970181E-2</v>
      </c>
      <c r="F831" s="199">
        <v>4.2039457354102729E-2</v>
      </c>
      <c r="G831" s="199">
        <v>4.6453526006574146E-2</v>
      </c>
      <c r="H831" s="199">
        <v>4.4933073356786438E-2</v>
      </c>
      <c r="I831" s="199">
        <v>4.0400188603671353E-2</v>
      </c>
      <c r="J831" s="199">
        <v>5.0547593603074877E-2</v>
      </c>
      <c r="K831" s="199">
        <v>4.959462417861004E-2</v>
      </c>
      <c r="L831" s="199">
        <v>4.955426863481982E-2</v>
      </c>
      <c r="M831" s="199">
        <v>4.5325132450500349E-2</v>
      </c>
      <c r="N831" s="199">
        <v>4.3506536948597456E-2</v>
      </c>
    </row>
    <row r="832" spans="1:14">
      <c r="C832" s="29">
        <v>14</v>
      </c>
      <c r="D832" s="34" t="s">
        <v>1277</v>
      </c>
      <c r="E832" s="199">
        <v>4.4440856587489988E-2</v>
      </c>
      <c r="F832" s="199">
        <v>4.2745406535689721E-2</v>
      </c>
      <c r="G832" s="199">
        <v>4.7629848094973823E-2</v>
      </c>
      <c r="H832" s="199">
        <v>4.4359692983267633E-2</v>
      </c>
      <c r="I832" s="199">
        <v>4.0162056575731957E-2</v>
      </c>
      <c r="J832" s="199">
        <v>5.0538702518848844E-2</v>
      </c>
      <c r="K832" s="199">
        <v>4.975670408368555E-2</v>
      </c>
      <c r="L832" s="199">
        <v>4.9822971770152921E-2</v>
      </c>
      <c r="M832" s="199">
        <v>4.5185910435320616E-2</v>
      </c>
      <c r="N832" s="199">
        <v>3.4446935665328852E-2</v>
      </c>
    </row>
    <row r="833" spans="1:14">
      <c r="C833" s="29">
        <v>15</v>
      </c>
      <c r="D833" s="34" t="s">
        <v>1278</v>
      </c>
      <c r="E833" s="199">
        <v>4.3463354807714252E-2</v>
      </c>
      <c r="F833" s="199">
        <v>4.3748252442081942E-2</v>
      </c>
      <c r="G833" s="199">
        <v>4.8854807226516951E-2</v>
      </c>
      <c r="H833" s="199">
        <v>4.4988089445622839E-2</v>
      </c>
      <c r="I833" s="199">
        <v>4.1187557501267243E-2</v>
      </c>
      <c r="J833" s="199">
        <v>4.6495374633952147E-2</v>
      </c>
      <c r="K833" s="199">
        <v>4.685753353726315E-2</v>
      </c>
      <c r="L833" s="199">
        <v>5.0335694097628343E-2</v>
      </c>
      <c r="M833" s="199">
        <v>4.6596264893417262E-2</v>
      </c>
      <c r="N833" s="199">
        <v>3.5634088003451837E-2</v>
      </c>
    </row>
    <row r="834" spans="1:14">
      <c r="C834" s="29">
        <v>16</v>
      </c>
      <c r="D834" s="34" t="s">
        <v>1279</v>
      </c>
      <c r="E834" s="199">
        <v>4.4544112547946393E-2</v>
      </c>
      <c r="F834" s="199">
        <v>4.3204272715778799E-2</v>
      </c>
      <c r="G834" s="199">
        <v>4.7648184228092805E-2</v>
      </c>
      <c r="H834" s="199">
        <v>4.4087185674643668E-2</v>
      </c>
      <c r="I834" s="199">
        <v>4.0675615691134551E-2</v>
      </c>
      <c r="J834" s="199">
        <v>4.6790216725525142E-2</v>
      </c>
      <c r="K834" s="199">
        <v>4.6280246322272726E-2</v>
      </c>
      <c r="L834" s="199">
        <v>4.8081008238454286E-2</v>
      </c>
      <c r="M834" s="199">
        <v>4.3749261233089969E-2</v>
      </c>
      <c r="N834" s="199">
        <v>3.1941407139485796E-2</v>
      </c>
    </row>
    <row r="835" spans="1:14">
      <c r="C835" s="29">
        <v>17</v>
      </c>
      <c r="D835" s="34" t="s">
        <v>1280</v>
      </c>
      <c r="E835" s="199">
        <v>4.5267551041829598E-2</v>
      </c>
      <c r="F835" s="199">
        <v>4.3092479437341E-2</v>
      </c>
      <c r="G835" s="199">
        <v>4.738937600975307E-2</v>
      </c>
      <c r="H835" s="199">
        <v>4.2347255916343189E-2</v>
      </c>
      <c r="I835" s="199">
        <v>4.1710496987235231E-2</v>
      </c>
      <c r="J835" s="199">
        <v>5.082801012515735E-2</v>
      </c>
      <c r="K835" s="199">
        <v>4.4215090994682155E-2</v>
      </c>
      <c r="L835" s="199">
        <v>4.7298391703511758E-2</v>
      </c>
      <c r="M835" s="199">
        <v>3.9462723367257126E-2</v>
      </c>
      <c r="N835" s="199">
        <v>3.207459505044262E-2</v>
      </c>
    </row>
    <row r="836" spans="1:14">
      <c r="C836" s="29">
        <v>18</v>
      </c>
      <c r="D836" s="34" t="s">
        <v>1281</v>
      </c>
      <c r="E836" s="199">
        <v>4.9574534250039715E-2</v>
      </c>
      <c r="F836" s="199">
        <v>4.1114554717396633E-2</v>
      </c>
      <c r="G836" s="199">
        <v>4.5597346887550384E-2</v>
      </c>
      <c r="H836" s="199">
        <v>4.1098549989100931E-2</v>
      </c>
      <c r="I836" s="199">
        <v>4.2129896589824509E-2</v>
      </c>
      <c r="J836" s="199">
        <v>5.3313852673766413E-2</v>
      </c>
      <c r="K836" s="199">
        <v>3.7218809433876496E-2</v>
      </c>
      <c r="L836" s="199">
        <v>4.5266600619206912E-2</v>
      </c>
      <c r="M836" s="199">
        <v>3.8934438053292109E-2</v>
      </c>
      <c r="N836" s="199">
        <v>3.9598545858070787E-2</v>
      </c>
    </row>
    <row r="837" spans="1:14">
      <c r="C837" s="29">
        <v>19</v>
      </c>
      <c r="D837" s="34" t="s">
        <v>1282</v>
      </c>
      <c r="E837" s="199">
        <v>5.1429006125671035E-2</v>
      </c>
      <c r="F837" s="199">
        <v>3.9099454871453568E-2</v>
      </c>
      <c r="G837" s="199">
        <v>4.4716723877180752E-2</v>
      </c>
      <c r="H837" s="199">
        <v>4.0450487419266323E-2</v>
      </c>
      <c r="I837" s="199">
        <v>4.3106554896208953E-2</v>
      </c>
      <c r="J837" s="199">
        <v>5.0964584672671599E-2</v>
      </c>
      <c r="K837" s="199">
        <v>3.2850382694695174E-2</v>
      </c>
      <c r="L837" s="199">
        <v>4.3209892853478211E-2</v>
      </c>
      <c r="M837" s="199">
        <v>3.8359250828943876E-2</v>
      </c>
      <c r="N837" s="199">
        <v>4.5114857694547955E-2</v>
      </c>
    </row>
    <row r="838" spans="1:14">
      <c r="C838" s="29">
        <v>20</v>
      </c>
      <c r="D838" s="34" t="s">
        <v>1283</v>
      </c>
      <c r="E838" s="199">
        <v>4.931621795689279E-2</v>
      </c>
      <c r="F838" s="199">
        <v>3.924349075599283E-2</v>
      </c>
      <c r="G838" s="199">
        <v>4.3738498890345701E-2</v>
      </c>
      <c r="H838" s="199">
        <v>4.0546857472428539E-2</v>
      </c>
      <c r="I838" s="199">
        <v>4.4038672615460475E-2</v>
      </c>
      <c r="J838" s="199">
        <v>4.9768097651675745E-2</v>
      </c>
      <c r="K838" s="199">
        <v>3.5035840388940941E-2</v>
      </c>
      <c r="L838" s="199">
        <v>4.2503518625595857E-2</v>
      </c>
      <c r="M838" s="199">
        <v>3.8373923131313312E-2</v>
      </c>
      <c r="N838" s="199">
        <v>4.1383754880232146E-2</v>
      </c>
    </row>
    <row r="839" spans="1:14">
      <c r="C839" s="29">
        <v>21</v>
      </c>
      <c r="D839" s="34" t="s">
        <v>1284</v>
      </c>
      <c r="E839" s="199">
        <v>4.9898507567620799E-2</v>
      </c>
      <c r="F839" s="199">
        <v>4.6061777621232876E-2</v>
      </c>
      <c r="G839" s="199">
        <v>4.3558313593433783E-2</v>
      </c>
      <c r="H839" s="199">
        <v>4.0964134288758981E-2</v>
      </c>
      <c r="I839" s="199">
        <v>4.3270193843416967E-2</v>
      </c>
      <c r="J839" s="199">
        <v>4.8955121577146259E-2</v>
      </c>
      <c r="K839" s="199">
        <v>4.1533438987969053E-2</v>
      </c>
      <c r="L839" s="199">
        <v>4.0568683551095316E-2</v>
      </c>
      <c r="M839" s="199">
        <v>3.7400440597700139E-2</v>
      </c>
      <c r="N839" s="199">
        <v>5.1263720042693785E-2</v>
      </c>
    </row>
    <row r="840" spans="1:14">
      <c r="C840" s="29">
        <v>22</v>
      </c>
      <c r="D840" s="34" t="s">
        <v>1285</v>
      </c>
      <c r="E840" s="199">
        <v>4.9216677988028257E-2</v>
      </c>
      <c r="F840" s="199">
        <v>4.8126533601988104E-2</v>
      </c>
      <c r="G840" s="199">
        <v>4.2308190497995946E-2</v>
      </c>
      <c r="H840" s="199">
        <v>4.0524311903729439E-2</v>
      </c>
      <c r="I840" s="199">
        <v>4.4465899975556056E-2</v>
      </c>
      <c r="J840" s="199">
        <v>4.6805649274704146E-2</v>
      </c>
      <c r="K840" s="199">
        <v>4.5648023497509092E-2</v>
      </c>
      <c r="L840" s="199">
        <v>3.8786921781539981E-2</v>
      </c>
      <c r="M840" s="199">
        <v>3.7633466433646325E-2</v>
      </c>
      <c r="N840" s="199">
        <v>4.4115886985454288E-2</v>
      </c>
    </row>
    <row r="841" spans="1:14">
      <c r="C841" s="29">
        <v>23</v>
      </c>
      <c r="D841" s="34" t="s">
        <v>1286</v>
      </c>
      <c r="E841" s="199">
        <v>4.4741942062344449E-2</v>
      </c>
      <c r="F841" s="199">
        <v>4.6027470605845347E-2</v>
      </c>
      <c r="G841" s="199">
        <v>3.9432780079949013E-2</v>
      </c>
      <c r="H841" s="199">
        <v>3.8794490892264159E-2</v>
      </c>
      <c r="I841" s="199">
        <v>4.3879335700270375E-2</v>
      </c>
      <c r="J841" s="199">
        <v>4.0448071302530017E-2</v>
      </c>
      <c r="K841" s="199">
        <v>4.3179389281752779E-2</v>
      </c>
      <c r="L841" s="199">
        <v>3.4543460339727994E-2</v>
      </c>
      <c r="M841" s="199">
        <v>3.6947659940872277E-2</v>
      </c>
      <c r="N841" s="199">
        <v>3.7705681722629114E-2</v>
      </c>
    </row>
    <row r="842" spans="1:14">
      <c r="C842" s="29">
        <v>24</v>
      </c>
      <c r="D842" s="34" t="s">
        <v>1287</v>
      </c>
      <c r="E842" s="199">
        <v>3.7155004381146245E-2</v>
      </c>
      <c r="F842" s="199">
        <v>4.4139087668827903E-2</v>
      </c>
      <c r="G842" s="199">
        <v>3.6319912880479664E-2</v>
      </c>
      <c r="H842" s="199">
        <v>3.6737146483338513E-2</v>
      </c>
      <c r="I842" s="199">
        <v>4.3392171006872482E-2</v>
      </c>
      <c r="J842" s="199">
        <v>3.6077623333720846E-2</v>
      </c>
      <c r="K842" s="199">
        <v>4.1840813652772479E-2</v>
      </c>
      <c r="L842" s="199">
        <v>3.2043673740152011E-2</v>
      </c>
      <c r="M842" s="199">
        <v>3.7344471534167263E-2</v>
      </c>
      <c r="N842" s="199">
        <v>3.57934224812601E-2</v>
      </c>
    </row>
    <row r="843" spans="1:14">
      <c r="A843" s="16" t="s">
        <v>435</v>
      </c>
      <c r="B843" s="16" t="s">
        <v>423</v>
      </c>
      <c r="C843" s="29">
        <v>1</v>
      </c>
      <c r="D843" s="34" t="s">
        <v>1288</v>
      </c>
      <c r="E843" s="199">
        <v>2.9896455158916521E-2</v>
      </c>
      <c r="F843" s="199">
        <v>4.610689978375395E-2</v>
      </c>
      <c r="G843" s="199">
        <v>3.5713812555079112E-2</v>
      </c>
      <c r="H843" s="199">
        <v>4.3015661614519772E-2</v>
      </c>
      <c r="I843" s="199">
        <v>4.0013763137972669E-2</v>
      </c>
      <c r="J843" s="199">
        <v>2.9745910438777747E-2</v>
      </c>
      <c r="K843" s="199">
        <v>4.3914339883539655E-2</v>
      </c>
      <c r="L843" s="199">
        <v>3.4538417783874349E-2</v>
      </c>
      <c r="M843" s="199">
        <v>4.2477933508679684E-2</v>
      </c>
      <c r="N843" s="199">
        <v>2.8958292071074997E-2</v>
      </c>
    </row>
    <row r="844" spans="1:14">
      <c r="C844" s="29">
        <v>2</v>
      </c>
      <c r="D844" s="34" t="s">
        <v>1289</v>
      </c>
      <c r="E844" s="199">
        <v>2.6580861804500269E-2</v>
      </c>
      <c r="F844" s="199">
        <v>4.3653308193192242E-2</v>
      </c>
      <c r="G844" s="199">
        <v>3.5203714898313594E-2</v>
      </c>
      <c r="H844" s="199">
        <v>4.2708017224338479E-2</v>
      </c>
      <c r="I844" s="199">
        <v>3.9858231888067669E-2</v>
      </c>
      <c r="J844" s="199">
        <v>2.7266150149151291E-2</v>
      </c>
      <c r="K844" s="199">
        <v>4.1315982188311846E-2</v>
      </c>
      <c r="L844" s="199">
        <v>3.4755147916028392E-2</v>
      </c>
      <c r="M844" s="199">
        <v>4.301478944801769E-2</v>
      </c>
      <c r="N844" s="199">
        <v>3.4906656179293762E-2</v>
      </c>
    </row>
    <row r="845" spans="1:14">
      <c r="C845" s="29">
        <v>3</v>
      </c>
      <c r="D845" s="34" t="s">
        <v>1290</v>
      </c>
      <c r="E845" s="199">
        <v>2.5025259920489654E-2</v>
      </c>
      <c r="F845" s="199">
        <v>4.25264716312014E-2</v>
      </c>
      <c r="G845" s="199">
        <v>3.4679087501579178E-2</v>
      </c>
      <c r="H845" s="199">
        <v>4.1595986166740082E-2</v>
      </c>
      <c r="I845" s="199">
        <v>4.04065816796539E-2</v>
      </c>
      <c r="J845" s="199">
        <v>2.5646244352507088E-2</v>
      </c>
      <c r="K845" s="199">
        <v>4.1114216579507236E-2</v>
      </c>
      <c r="L845" s="199">
        <v>3.381717413237794E-2</v>
      </c>
      <c r="M845" s="199">
        <v>4.1777103683043722E-2</v>
      </c>
      <c r="N845" s="199">
        <v>3.3235849768199675E-2</v>
      </c>
    </row>
    <row r="846" spans="1:14">
      <c r="C846" s="29">
        <v>4</v>
      </c>
      <c r="D846" s="34" t="s">
        <v>1291</v>
      </c>
      <c r="E846" s="199">
        <v>2.5210364171418059E-2</v>
      </c>
      <c r="F846" s="199">
        <v>4.1606242138178963E-2</v>
      </c>
      <c r="G846" s="199">
        <v>3.4411126551985076E-2</v>
      </c>
      <c r="H846" s="199">
        <v>4.1262110209909462E-2</v>
      </c>
      <c r="I846" s="199">
        <v>4.1479196246423829E-2</v>
      </c>
      <c r="J846" s="199">
        <v>2.4038641859482152E-2</v>
      </c>
      <c r="K846" s="199">
        <v>4.0480253601022788E-2</v>
      </c>
      <c r="L846" s="199">
        <v>3.2826175971943178E-2</v>
      </c>
      <c r="M846" s="199">
        <v>4.1753458829826173E-2</v>
      </c>
      <c r="N846" s="199">
        <v>4.4125878170075634E-2</v>
      </c>
    </row>
    <row r="847" spans="1:14">
      <c r="C847" s="29">
        <v>5</v>
      </c>
      <c r="D847" s="34" t="s">
        <v>1292</v>
      </c>
      <c r="E847" s="199">
        <v>2.5687914314778338E-2</v>
      </c>
      <c r="F847" s="199">
        <v>4.1448095279784158E-2</v>
      </c>
      <c r="G847" s="199">
        <v>3.493794494125449E-2</v>
      </c>
      <c r="H847" s="199">
        <v>4.1641170760940996E-2</v>
      </c>
      <c r="I847" s="199">
        <v>4.3200823622052041E-2</v>
      </c>
      <c r="J847" s="199">
        <v>2.4599094742655914E-2</v>
      </c>
      <c r="K847" s="199">
        <v>3.9631633726412048E-2</v>
      </c>
      <c r="L847" s="199">
        <v>3.3938374815539643E-2</v>
      </c>
      <c r="M847" s="199">
        <v>4.2405640049416819E-2</v>
      </c>
      <c r="N847" s="199">
        <v>4.4091508866501303E-2</v>
      </c>
    </row>
    <row r="848" spans="1:14">
      <c r="C848" s="29">
        <v>6</v>
      </c>
      <c r="D848" s="34" t="s">
        <v>1293</v>
      </c>
      <c r="E848" s="199">
        <v>2.7151263546608909E-2</v>
      </c>
      <c r="F848" s="199">
        <v>3.4416203589480276E-2</v>
      </c>
      <c r="G848" s="199">
        <v>3.5181875443483786E-2</v>
      </c>
      <c r="H848" s="199">
        <v>3.866367175201138E-2</v>
      </c>
      <c r="I848" s="199">
        <v>4.3967506225050398E-2</v>
      </c>
      <c r="J848" s="199">
        <v>2.6533626094660773E-2</v>
      </c>
      <c r="K848" s="199">
        <v>3.399565337454323E-2</v>
      </c>
      <c r="L848" s="199">
        <v>3.2132551027553115E-2</v>
      </c>
      <c r="M848" s="199">
        <v>4.0724318858364875E-2</v>
      </c>
      <c r="N848" s="199">
        <v>5.3878511752331333E-2</v>
      </c>
    </row>
    <row r="849" spans="3:14">
      <c r="C849" s="29">
        <v>7</v>
      </c>
      <c r="D849" s="34" t="s">
        <v>1294</v>
      </c>
      <c r="E849" s="199">
        <v>2.7951232951971779E-2</v>
      </c>
      <c r="F849" s="199">
        <v>3.2421745964791103E-2</v>
      </c>
      <c r="G849" s="199">
        <v>3.688176533009288E-2</v>
      </c>
      <c r="H849" s="199">
        <v>3.6675189283453771E-2</v>
      </c>
      <c r="I849" s="199">
        <v>4.6451944549166506E-2</v>
      </c>
      <c r="J849" s="199">
        <v>3.2308308182985329E-2</v>
      </c>
      <c r="K849" s="199">
        <v>3.6165828092195776E-2</v>
      </c>
      <c r="L849" s="199">
        <v>3.6327525762485088E-2</v>
      </c>
      <c r="M849" s="199">
        <v>4.068146822398977E-2</v>
      </c>
      <c r="N849" s="199">
        <v>6.0198889202438786E-2</v>
      </c>
    </row>
    <row r="850" spans="3:14">
      <c r="C850" s="29">
        <v>8</v>
      </c>
      <c r="D850" s="34" t="s">
        <v>1295</v>
      </c>
      <c r="E850" s="199">
        <v>3.3513486044619366E-2</v>
      </c>
      <c r="F850" s="199">
        <v>3.22005236564692E-2</v>
      </c>
      <c r="G850" s="199">
        <v>4.1670474210224059E-2</v>
      </c>
      <c r="H850" s="199">
        <v>3.7784770139771731E-2</v>
      </c>
      <c r="I850" s="199">
        <v>4.6632819697001955E-2</v>
      </c>
      <c r="J850" s="199">
        <v>3.6512114651637409E-2</v>
      </c>
      <c r="K850" s="199">
        <v>3.5442304591265905E-2</v>
      </c>
      <c r="L850" s="199">
        <v>3.7160867136521072E-2</v>
      </c>
      <c r="M850" s="199">
        <v>4.1760434514491886E-2</v>
      </c>
      <c r="N850" s="199">
        <v>5.1410154195360082E-2</v>
      </c>
    </row>
    <row r="851" spans="3:14">
      <c r="C851" s="29">
        <v>9</v>
      </c>
      <c r="D851" s="34" t="s">
        <v>1296</v>
      </c>
      <c r="E851" s="199">
        <v>3.8374246220163534E-2</v>
      </c>
      <c r="F851" s="199">
        <v>3.5051733364975565E-2</v>
      </c>
      <c r="G851" s="199">
        <v>4.3139182352336707E-2</v>
      </c>
      <c r="H851" s="199">
        <v>3.9145208368359802E-2</v>
      </c>
      <c r="I851" s="199">
        <v>4.5991003890086438E-2</v>
      </c>
      <c r="J851" s="199">
        <v>4.0186847232051535E-2</v>
      </c>
      <c r="K851" s="199">
        <v>3.7565239525772509E-2</v>
      </c>
      <c r="L851" s="199">
        <v>4.1382442581342334E-2</v>
      </c>
      <c r="M851" s="199">
        <v>4.1799842603187809E-2</v>
      </c>
      <c r="N851" s="199">
        <v>5.1337291271782479E-2</v>
      </c>
    </row>
    <row r="852" spans="3:14">
      <c r="C852" s="29">
        <v>10</v>
      </c>
      <c r="D852" s="34" t="s">
        <v>1297</v>
      </c>
      <c r="E852" s="199">
        <v>4.2979174367408259E-2</v>
      </c>
      <c r="F852" s="199">
        <v>3.7477203884437989E-2</v>
      </c>
      <c r="G852" s="199">
        <v>4.5977920689145309E-2</v>
      </c>
      <c r="H852" s="199">
        <v>4.0374272569470598E-2</v>
      </c>
      <c r="I852" s="199">
        <v>4.5084941724711405E-2</v>
      </c>
      <c r="J852" s="199">
        <v>4.3983395251340214E-2</v>
      </c>
      <c r="K852" s="199">
        <v>4.3381810981612728E-2</v>
      </c>
      <c r="L852" s="199">
        <v>4.4354596108423842E-2</v>
      </c>
      <c r="M852" s="199">
        <v>4.2896202808700538E-2</v>
      </c>
      <c r="N852" s="199">
        <v>4.4898866720331672E-2</v>
      </c>
    </row>
    <row r="853" spans="3:14">
      <c r="C853" s="29">
        <v>11</v>
      </c>
      <c r="D853" s="34" t="s">
        <v>1298</v>
      </c>
      <c r="E853" s="199">
        <v>4.5838411358586406E-2</v>
      </c>
      <c r="F853" s="199">
        <v>3.7651798916494651E-2</v>
      </c>
      <c r="G853" s="199">
        <v>4.7599658768928695E-2</v>
      </c>
      <c r="H853" s="199">
        <v>4.0537931602054739E-2</v>
      </c>
      <c r="I853" s="199">
        <v>4.0816240730831559E-2</v>
      </c>
      <c r="J853" s="199">
        <v>4.4000879312175604E-2</v>
      </c>
      <c r="K853" s="199">
        <v>4.7239839686664814E-2</v>
      </c>
      <c r="L853" s="199">
        <v>4.6620628406436306E-2</v>
      </c>
      <c r="M853" s="199">
        <v>4.2529481100560103E-2</v>
      </c>
      <c r="N853" s="199">
        <v>3.691803947594053E-2</v>
      </c>
    </row>
    <row r="854" spans="3:14">
      <c r="C854" s="29">
        <v>12</v>
      </c>
      <c r="D854" s="34" t="s">
        <v>1299</v>
      </c>
      <c r="E854" s="199">
        <v>4.6423422188730815E-2</v>
      </c>
      <c r="F854" s="199">
        <v>4.1256328547364995E-2</v>
      </c>
      <c r="G854" s="199">
        <v>4.9470125752721243E-2</v>
      </c>
      <c r="H854" s="199">
        <v>4.1732260596778224E-2</v>
      </c>
      <c r="I854" s="199">
        <v>4.1058254766458004E-2</v>
      </c>
      <c r="J854" s="199">
        <v>4.4514434803222383E-2</v>
      </c>
      <c r="K854" s="199">
        <v>4.9459120031680896E-2</v>
      </c>
      <c r="L854" s="199">
        <v>4.8509632894564732E-2</v>
      </c>
      <c r="M854" s="199">
        <v>4.3297984126784241E-2</v>
      </c>
      <c r="N854" s="199">
        <v>3.5496525080105687E-2</v>
      </c>
    </row>
    <row r="855" spans="3:14">
      <c r="C855" s="29">
        <v>13</v>
      </c>
      <c r="D855" s="34" t="s">
        <v>1300</v>
      </c>
      <c r="E855" s="199">
        <v>4.6207161555755154E-2</v>
      </c>
      <c r="F855" s="199">
        <v>4.1520367557995291E-2</v>
      </c>
      <c r="G855" s="199">
        <v>5.0186074205201436E-2</v>
      </c>
      <c r="H855" s="199">
        <v>4.2899421183186341E-2</v>
      </c>
      <c r="I855" s="199">
        <v>4.0121433137334198E-2</v>
      </c>
      <c r="J855" s="199">
        <v>4.728972904058814E-2</v>
      </c>
      <c r="K855" s="199">
        <v>4.7576313593907717E-2</v>
      </c>
      <c r="L855" s="199">
        <v>5.001784740918086E-2</v>
      </c>
      <c r="M855" s="199">
        <v>4.230689334440866E-2</v>
      </c>
      <c r="N855" s="199">
        <v>3.1217042701980845E-2</v>
      </c>
    </row>
    <row r="856" spans="3:14">
      <c r="C856" s="29">
        <v>14</v>
      </c>
      <c r="D856" s="34" t="s">
        <v>1301</v>
      </c>
      <c r="E856" s="199">
        <v>4.7133092028549442E-2</v>
      </c>
      <c r="F856" s="199">
        <v>4.0587918502917139E-2</v>
      </c>
      <c r="G856" s="199">
        <v>4.6930240078967976E-2</v>
      </c>
      <c r="H856" s="199">
        <v>4.2823032555031698E-2</v>
      </c>
      <c r="I856" s="199">
        <v>3.8711818360782344E-2</v>
      </c>
      <c r="J856" s="199">
        <v>5.0843274876167764E-2</v>
      </c>
      <c r="K856" s="199">
        <v>4.3784522358580887E-2</v>
      </c>
      <c r="L856" s="199">
        <v>4.9824737763179215E-2</v>
      </c>
      <c r="M856" s="199">
        <v>4.2542526536818059E-2</v>
      </c>
      <c r="N856" s="199">
        <v>3.4875403025910155E-2</v>
      </c>
    </row>
    <row r="857" spans="3:14">
      <c r="C857" s="29">
        <v>15</v>
      </c>
      <c r="D857" s="34" t="s">
        <v>1302</v>
      </c>
      <c r="E857" s="199">
        <v>4.7199563937136944E-2</v>
      </c>
      <c r="F857" s="199">
        <v>4.1630005970703113E-2</v>
      </c>
      <c r="G857" s="199">
        <v>4.7476777401052342E-2</v>
      </c>
      <c r="H857" s="199">
        <v>4.341266628669329E-2</v>
      </c>
      <c r="I857" s="199">
        <v>4.0512090203184435E-2</v>
      </c>
      <c r="J857" s="199">
        <v>5.1026336255956838E-2</v>
      </c>
      <c r="K857" s="199">
        <v>4.3896783985673933E-2</v>
      </c>
      <c r="L857" s="199">
        <v>5.1129220052137388E-2</v>
      </c>
      <c r="M857" s="199">
        <v>4.3018775553540944E-2</v>
      </c>
      <c r="N857" s="199">
        <v>4.3039808177126389E-2</v>
      </c>
    </row>
    <row r="858" spans="3:14">
      <c r="C858" s="29">
        <v>16</v>
      </c>
      <c r="D858" s="34" t="s">
        <v>1303</v>
      </c>
      <c r="E858" s="199">
        <v>4.9381649050941265E-2</v>
      </c>
      <c r="F858" s="199">
        <v>4.2053703206614064E-2</v>
      </c>
      <c r="G858" s="199">
        <v>4.6656442889024805E-2</v>
      </c>
      <c r="H858" s="199">
        <v>4.3202525494524482E-2</v>
      </c>
      <c r="I858" s="199">
        <v>4.0109651906431183E-2</v>
      </c>
      <c r="J858" s="199">
        <v>5.1529363111370824E-2</v>
      </c>
      <c r="K858" s="199">
        <v>4.1479611072123126E-2</v>
      </c>
      <c r="L858" s="199">
        <v>4.9955351232203016E-2</v>
      </c>
      <c r="M858" s="199">
        <v>4.1769765625148621E-2</v>
      </c>
      <c r="N858" s="199">
        <v>4.7333313231109571E-2</v>
      </c>
    </row>
    <row r="859" spans="3:14">
      <c r="C859" s="29">
        <v>17</v>
      </c>
      <c r="D859" s="34" t="s">
        <v>1304</v>
      </c>
      <c r="E859" s="199">
        <v>5.1916163997969084E-2</v>
      </c>
      <c r="F859" s="199">
        <v>4.1644074545438323E-2</v>
      </c>
      <c r="G859" s="199">
        <v>4.5354506436008531E-2</v>
      </c>
      <c r="H859" s="199">
        <v>4.251927966100167E-2</v>
      </c>
      <c r="I859" s="199">
        <v>3.8887325447762786E-2</v>
      </c>
      <c r="J859" s="199">
        <v>5.5032207557973528E-2</v>
      </c>
      <c r="K859" s="199">
        <v>3.9207974007546144E-2</v>
      </c>
      <c r="L859" s="199">
        <v>4.9013984124495695E-2</v>
      </c>
      <c r="M859" s="199">
        <v>4.0365478767963626E-2</v>
      </c>
      <c r="N859" s="199">
        <v>4.0586573113727861E-2</v>
      </c>
    </row>
    <row r="860" spans="3:14">
      <c r="C860" s="29">
        <v>18</v>
      </c>
      <c r="D860" s="34" t="s">
        <v>1305</v>
      </c>
      <c r="E860" s="199">
        <v>5.5497652427065412E-2</v>
      </c>
      <c r="F860" s="199">
        <v>4.1530336148093372E-2</v>
      </c>
      <c r="G860" s="199">
        <v>4.4935911546428155E-2</v>
      </c>
      <c r="H860" s="199">
        <v>4.1710641173715597E-2</v>
      </c>
      <c r="I860" s="199">
        <v>3.8650726977954658E-2</v>
      </c>
      <c r="J860" s="199">
        <v>5.7086453396617831E-2</v>
      </c>
      <c r="K860" s="199">
        <v>3.8592075793532236E-2</v>
      </c>
      <c r="L860" s="199">
        <v>4.8706076850291824E-2</v>
      </c>
      <c r="M860" s="199">
        <v>4.1068573426283256E-2</v>
      </c>
      <c r="N860" s="199">
        <v>4.1720943434633589E-2</v>
      </c>
    </row>
    <row r="861" spans="3:14">
      <c r="C861" s="29">
        <v>19</v>
      </c>
      <c r="D861" s="34" t="s">
        <v>1306</v>
      </c>
      <c r="E861" s="199">
        <v>5.7170592035989773E-2</v>
      </c>
      <c r="F861" s="199">
        <v>4.1495301377409942E-2</v>
      </c>
      <c r="G861" s="199">
        <v>4.440162968843573E-2</v>
      </c>
      <c r="H861" s="199">
        <v>4.1578618563546436E-2</v>
      </c>
      <c r="I861" s="199">
        <v>3.989476320485965E-2</v>
      </c>
      <c r="J861" s="199">
        <v>5.6202111668683136E-2</v>
      </c>
      <c r="K861" s="199">
        <v>3.6655188143815194E-2</v>
      </c>
      <c r="L861" s="199">
        <v>4.5298515585965253E-2</v>
      </c>
      <c r="M861" s="199">
        <v>4.1416632913110235E-2</v>
      </c>
      <c r="N861" s="199">
        <v>4.3711063588802362E-2</v>
      </c>
    </row>
    <row r="862" spans="3:14">
      <c r="C862" s="29">
        <v>20</v>
      </c>
      <c r="D862" s="34" t="s">
        <v>1307</v>
      </c>
      <c r="E862" s="199">
        <v>5.6450866590120552E-2</v>
      </c>
      <c r="F862" s="199">
        <v>4.2311584201103127E-2</v>
      </c>
      <c r="G862" s="199">
        <v>4.1650537459437809E-2</v>
      </c>
      <c r="H862" s="199">
        <v>4.0656478105181512E-2</v>
      </c>
      <c r="I862" s="199">
        <v>3.9790964860008576E-2</v>
      </c>
      <c r="J862" s="199">
        <v>5.6331742013220124E-2</v>
      </c>
      <c r="K862" s="199">
        <v>3.8577375202726791E-2</v>
      </c>
      <c r="L862" s="199">
        <v>4.3911029639859434E-2</v>
      </c>
      <c r="M862" s="199">
        <v>4.0878780447391412E-2</v>
      </c>
      <c r="N862" s="199">
        <v>4.3876769457768798E-2</v>
      </c>
    </row>
    <row r="863" spans="3:14">
      <c r="C863" s="29">
        <v>21</v>
      </c>
      <c r="D863" s="34" t="s">
        <v>1308</v>
      </c>
      <c r="E863" s="199">
        <v>5.7448168428834434E-2</v>
      </c>
      <c r="F863" s="199">
        <v>4.4929368117603001E-2</v>
      </c>
      <c r="G863" s="199">
        <v>3.9571535393754666E-2</v>
      </c>
      <c r="H863" s="199">
        <v>4.1511382157821644E-2</v>
      </c>
      <c r="I863" s="199">
        <v>3.9997825222779282E-2</v>
      </c>
      <c r="J863" s="199">
        <v>5.3224823606955053E-2</v>
      </c>
      <c r="K863" s="199">
        <v>4.063384650457267E-2</v>
      </c>
      <c r="L863" s="199">
        <v>4.0698982855540029E-2</v>
      </c>
      <c r="M863" s="199">
        <v>3.9195556796885175E-2</v>
      </c>
      <c r="N863" s="199">
        <v>4.1242797683307325E-2</v>
      </c>
    </row>
    <row r="864" spans="3:14">
      <c r="C864" s="29">
        <v>22</v>
      </c>
      <c r="D864" s="34" t="s">
        <v>1309</v>
      </c>
      <c r="E864" s="199">
        <v>5.4522150755372062E-2</v>
      </c>
      <c r="F864" s="199">
        <v>5.4500211470776237E-2</v>
      </c>
      <c r="G864" s="199">
        <v>4.1231365992874532E-2</v>
      </c>
      <c r="H864" s="199">
        <v>4.5395743899485246E-2</v>
      </c>
      <c r="I864" s="199">
        <v>4.1669976179111202E-2</v>
      </c>
      <c r="J864" s="199">
        <v>4.7509238758395481E-2</v>
      </c>
      <c r="K864" s="199">
        <v>4.79847921257303E-2</v>
      </c>
      <c r="L864" s="199">
        <v>4.1332442689043479E-2</v>
      </c>
      <c r="M864" s="199">
        <v>4.1007875910360807E-2</v>
      </c>
      <c r="N864" s="199">
        <v>3.9005676800784254E-2</v>
      </c>
    </row>
    <row r="865" spans="1:14">
      <c r="C865" s="29">
        <v>23</v>
      </c>
      <c r="D865" s="34" t="s">
        <v>1310</v>
      </c>
      <c r="E865" s="199">
        <v>4.6069046709201547E-2</v>
      </c>
      <c r="F865" s="199">
        <v>5.1366826349009499E-2</v>
      </c>
      <c r="G865" s="199">
        <v>3.9310025699958048E-2</v>
      </c>
      <c r="H865" s="199">
        <v>4.4954779733751032E-2</v>
      </c>
      <c r="I865" s="199">
        <v>4.3774921103756928E-2</v>
      </c>
      <c r="J865" s="199">
        <v>4.1843607232486681E-2</v>
      </c>
      <c r="K865" s="199">
        <v>4.6690829160815642E-2</v>
      </c>
      <c r="L865" s="199">
        <v>3.8010806291270016E-2</v>
      </c>
      <c r="M865" s="199">
        <v>4.0181483760741973E-2</v>
      </c>
      <c r="N865" s="199">
        <v>3.7831804693637082E-2</v>
      </c>
    </row>
    <row r="866" spans="1:14">
      <c r="C866" s="29">
        <v>24</v>
      </c>
      <c r="D866" s="34" t="s">
        <v>1311</v>
      </c>
      <c r="E866" s="199">
        <v>3.6371800434872412E-2</v>
      </c>
      <c r="F866" s="199">
        <v>5.0613747602212419E-2</v>
      </c>
      <c r="G866" s="199">
        <v>3.7428264213711718E-2</v>
      </c>
      <c r="H866" s="199">
        <v>4.4199180897711951E-2</v>
      </c>
      <c r="I866" s="199">
        <v>4.2917195238558525E-2</v>
      </c>
      <c r="J866" s="199">
        <v>3.2745465410937057E-2</v>
      </c>
      <c r="K866" s="199">
        <v>4.5214465788445825E-2</v>
      </c>
      <c r="L866" s="199">
        <v>3.5737470969743855E-2</v>
      </c>
      <c r="M866" s="199">
        <v>4.1128999162283672E-2</v>
      </c>
      <c r="N866" s="199">
        <v>3.6102341337776116E-2</v>
      </c>
    </row>
    <row r="867" spans="1:14">
      <c r="A867" s="16" t="s">
        <v>435</v>
      </c>
      <c r="B867" s="16" t="s">
        <v>308</v>
      </c>
      <c r="C867" s="29">
        <v>1</v>
      </c>
      <c r="D867" s="34" t="s">
        <v>1312</v>
      </c>
      <c r="E867" s="199">
        <v>2.8821356843806573E-2</v>
      </c>
      <c r="F867" s="199">
        <v>3.4878484888715464E-2</v>
      </c>
      <c r="G867" s="199">
        <v>2.8868806401363099E-2</v>
      </c>
      <c r="H867" s="199">
        <v>2.9168850374047865E-2</v>
      </c>
      <c r="I867" s="199">
        <v>3.9015097056815551E-2</v>
      </c>
      <c r="J867" s="199">
        <v>2.9992082301872357E-2</v>
      </c>
      <c r="K867" s="199">
        <v>3.3135639963049614E-2</v>
      </c>
      <c r="L867" s="199">
        <v>2.4968326411486403E-2</v>
      </c>
      <c r="M867" s="199">
        <v>3.1552316975337016E-2</v>
      </c>
      <c r="N867" s="199">
        <v>3.6872966547938764E-2</v>
      </c>
    </row>
    <row r="868" spans="1:14">
      <c r="C868" s="29">
        <v>2</v>
      </c>
      <c r="D868" s="34" t="s">
        <v>1313</v>
      </c>
      <c r="E868" s="199">
        <v>2.6217906211447688E-2</v>
      </c>
      <c r="F868" s="199">
        <v>3.1824126310816755E-2</v>
      </c>
      <c r="G868" s="199">
        <v>2.9076949618699374E-2</v>
      </c>
      <c r="H868" s="199">
        <v>2.9017049358289606E-2</v>
      </c>
      <c r="I868" s="199">
        <v>3.8427643472449709E-2</v>
      </c>
      <c r="J868" s="199">
        <v>2.6932006097838815E-2</v>
      </c>
      <c r="K868" s="199">
        <v>3.1465051610013811E-2</v>
      </c>
      <c r="L868" s="199">
        <v>2.4786980537873496E-2</v>
      </c>
      <c r="M868" s="199">
        <v>3.2552059389359803E-2</v>
      </c>
      <c r="N868" s="199">
        <v>4.3954694079561228E-2</v>
      </c>
    </row>
    <row r="869" spans="1:14">
      <c r="C869" s="29">
        <v>3</v>
      </c>
      <c r="D869" s="34" t="s">
        <v>1314</v>
      </c>
      <c r="E869" s="199">
        <v>2.5380841978588534E-2</v>
      </c>
      <c r="F869" s="199">
        <v>3.2039629828358653E-2</v>
      </c>
      <c r="G869" s="199">
        <v>2.8966343025542532E-2</v>
      </c>
      <c r="H869" s="199">
        <v>2.75198417396521E-2</v>
      </c>
      <c r="I869" s="199">
        <v>3.8684182590008297E-2</v>
      </c>
      <c r="J869" s="199">
        <v>2.5891935821573033E-2</v>
      </c>
      <c r="K869" s="199">
        <v>3.1472061554299199E-2</v>
      </c>
      <c r="L869" s="199">
        <v>2.3672271367670181E-2</v>
      </c>
      <c r="M869" s="199">
        <v>3.2293350421507515E-2</v>
      </c>
      <c r="N869" s="199">
        <v>3.8900860844942438E-2</v>
      </c>
    </row>
    <row r="870" spans="1:14">
      <c r="C870" s="29">
        <v>4</v>
      </c>
      <c r="D870" s="34" t="s">
        <v>1315</v>
      </c>
      <c r="E870" s="199">
        <v>2.4851593118451643E-2</v>
      </c>
      <c r="F870" s="199">
        <v>3.1574057502177996E-2</v>
      </c>
      <c r="G870" s="199">
        <v>2.8892835311868679E-2</v>
      </c>
      <c r="H870" s="199">
        <v>2.7599121461806871E-2</v>
      </c>
      <c r="I870" s="199">
        <v>3.9235743926253237E-2</v>
      </c>
      <c r="J870" s="199">
        <v>2.5962741087480878E-2</v>
      </c>
      <c r="K870" s="199">
        <v>3.1216468201124066E-2</v>
      </c>
      <c r="L870" s="199">
        <v>2.3383770386267128E-2</v>
      </c>
      <c r="M870" s="199">
        <v>3.2309914533393887E-2</v>
      </c>
      <c r="N870" s="199">
        <v>4.29681706436459E-2</v>
      </c>
    </row>
    <row r="871" spans="1:14">
      <c r="C871" s="29">
        <v>5</v>
      </c>
      <c r="D871" s="34" t="s">
        <v>1316</v>
      </c>
      <c r="E871" s="199">
        <v>2.8624980531752123E-2</v>
      </c>
      <c r="F871" s="199">
        <v>3.074529687884207E-2</v>
      </c>
      <c r="G871" s="199">
        <v>2.9872408274221666E-2</v>
      </c>
      <c r="H871" s="199">
        <v>2.8802648997226551E-2</v>
      </c>
      <c r="I871" s="199">
        <v>4.2108642551825823E-2</v>
      </c>
      <c r="J871" s="199">
        <v>2.5860624287714098E-2</v>
      </c>
      <c r="K871" s="199">
        <v>2.9185611849937676E-2</v>
      </c>
      <c r="L871" s="199">
        <v>2.8404355148078021E-2</v>
      </c>
      <c r="M871" s="199">
        <v>3.4081713009916706E-2</v>
      </c>
      <c r="N871" s="199">
        <v>4.4336597674663906E-2</v>
      </c>
    </row>
    <row r="872" spans="1:14">
      <c r="C872" s="29">
        <v>6</v>
      </c>
      <c r="D872" s="34" t="s">
        <v>1317</v>
      </c>
      <c r="E872" s="199">
        <v>3.1975263562262976E-2</v>
      </c>
      <c r="F872" s="199">
        <v>2.6502624031535481E-2</v>
      </c>
      <c r="G872" s="199">
        <v>3.1509205930022294E-2</v>
      </c>
      <c r="H872" s="199">
        <v>2.9463920488669852E-2</v>
      </c>
      <c r="I872" s="199">
        <v>4.421572076447406E-2</v>
      </c>
      <c r="J872" s="199">
        <v>2.9160859956445653E-2</v>
      </c>
      <c r="K872" s="199">
        <v>2.7154669222513927E-2</v>
      </c>
      <c r="L872" s="199">
        <v>3.3192719768386225E-2</v>
      </c>
      <c r="M872" s="199">
        <v>4.2284387552491039E-2</v>
      </c>
      <c r="N872" s="199">
        <v>6.2553326139341683E-2</v>
      </c>
    </row>
    <row r="873" spans="1:14">
      <c r="C873" s="29">
        <v>7</v>
      </c>
      <c r="D873" s="34" t="s">
        <v>1318</v>
      </c>
      <c r="E873" s="199">
        <v>3.5508599768491633E-2</v>
      </c>
      <c r="F873" s="199">
        <v>2.9472495024650092E-2</v>
      </c>
      <c r="G873" s="199">
        <v>3.7009623402312584E-2</v>
      </c>
      <c r="H873" s="199">
        <v>3.7459812514481487E-2</v>
      </c>
      <c r="I873" s="199">
        <v>4.8431954339163967E-2</v>
      </c>
      <c r="J873" s="199">
        <v>3.7811882446943633E-2</v>
      </c>
      <c r="K873" s="199">
        <v>2.9946266296610631E-2</v>
      </c>
      <c r="L873" s="199">
        <v>4.0865621783811402E-2</v>
      </c>
      <c r="M873" s="199">
        <v>4.8393526801224343E-2</v>
      </c>
      <c r="N873" s="199">
        <v>5.588506381286968E-2</v>
      </c>
    </row>
    <row r="874" spans="1:14">
      <c r="C874" s="29">
        <v>8</v>
      </c>
      <c r="D874" s="34" t="s">
        <v>1319</v>
      </c>
      <c r="E874" s="199">
        <v>3.9694401273566153E-2</v>
      </c>
      <c r="F874" s="199">
        <v>3.6381942663475442E-2</v>
      </c>
      <c r="G874" s="199">
        <v>4.211677639545406E-2</v>
      </c>
      <c r="H874" s="199">
        <v>4.4451670477429775E-2</v>
      </c>
      <c r="I874" s="199">
        <v>4.8956289383897164E-2</v>
      </c>
      <c r="J874" s="199">
        <v>3.9625240491119755E-2</v>
      </c>
      <c r="K874" s="199">
        <v>3.7652977474913682E-2</v>
      </c>
      <c r="L874" s="199">
        <v>4.6038640381726233E-2</v>
      </c>
      <c r="M874" s="199">
        <v>5.2659698041855267E-2</v>
      </c>
      <c r="N874" s="199">
        <v>5.3773924755174417E-2</v>
      </c>
    </row>
    <row r="875" spans="1:14">
      <c r="C875" s="29">
        <v>9</v>
      </c>
      <c r="D875" s="34" t="s">
        <v>1320</v>
      </c>
      <c r="E875" s="199">
        <v>4.0027750550842525E-2</v>
      </c>
      <c r="F875" s="199">
        <v>4.5243378463062749E-2</v>
      </c>
      <c r="G875" s="199">
        <v>4.6918668685701707E-2</v>
      </c>
      <c r="H875" s="199">
        <v>4.8194785388258297E-2</v>
      </c>
      <c r="I875" s="199">
        <v>4.7048974872053735E-2</v>
      </c>
      <c r="J875" s="199">
        <v>3.627746073018661E-2</v>
      </c>
      <c r="K875" s="199">
        <v>4.5018573979759766E-2</v>
      </c>
      <c r="L875" s="199">
        <v>5.2504218123497058E-2</v>
      </c>
      <c r="M875" s="199">
        <v>5.3709975034514412E-2</v>
      </c>
      <c r="N875" s="199">
        <v>5.0089897850727393E-2</v>
      </c>
    </row>
    <row r="876" spans="1:14">
      <c r="C876" s="29">
        <v>10</v>
      </c>
      <c r="D876" s="34" t="s">
        <v>1321</v>
      </c>
      <c r="E876" s="199">
        <v>3.933093137903642E-2</v>
      </c>
      <c r="F876" s="199">
        <v>5.0299298472624536E-2</v>
      </c>
      <c r="G876" s="199">
        <v>5.0254797435108807E-2</v>
      </c>
      <c r="H876" s="199">
        <v>5.1368562608787929E-2</v>
      </c>
      <c r="I876" s="199">
        <v>4.4576541715558769E-2</v>
      </c>
      <c r="J876" s="199">
        <v>4.0856418242330335E-2</v>
      </c>
      <c r="K876" s="199">
        <v>5.0253406250558103E-2</v>
      </c>
      <c r="L876" s="199">
        <v>5.4956156270381591E-2</v>
      </c>
      <c r="M876" s="199">
        <v>5.3736435501383732E-2</v>
      </c>
      <c r="N876" s="199">
        <v>4.2377019253393496E-2</v>
      </c>
    </row>
    <row r="877" spans="1:14">
      <c r="C877" s="29">
        <v>11</v>
      </c>
      <c r="D877" s="34" t="s">
        <v>1322</v>
      </c>
      <c r="E877" s="199">
        <v>4.1224232480082938E-2</v>
      </c>
      <c r="F877" s="199">
        <v>5.3248396592329265E-2</v>
      </c>
      <c r="G877" s="199">
        <v>5.1571961000153071E-2</v>
      </c>
      <c r="H877" s="199">
        <v>5.0111303169779679E-2</v>
      </c>
      <c r="I877" s="199">
        <v>4.1403729519502414E-2</v>
      </c>
      <c r="J877" s="199">
        <v>4.1615830056814775E-2</v>
      </c>
      <c r="K877" s="199">
        <v>5.3838378034346053E-2</v>
      </c>
      <c r="L877" s="199">
        <v>5.527182658841253E-2</v>
      </c>
      <c r="M877" s="199">
        <v>5.2917985888218916E-2</v>
      </c>
      <c r="N877" s="199">
        <v>3.6542746103479906E-2</v>
      </c>
    </row>
    <row r="878" spans="1:14">
      <c r="C878" s="29">
        <v>12</v>
      </c>
      <c r="D878" s="34" t="s">
        <v>1323</v>
      </c>
      <c r="E878" s="199">
        <v>4.1999820316432908E-2</v>
      </c>
      <c r="F878" s="199">
        <v>5.6006639424355034E-2</v>
      </c>
      <c r="G878" s="199">
        <v>5.3045601280217007E-2</v>
      </c>
      <c r="H878" s="199">
        <v>5.3834909708832514E-2</v>
      </c>
      <c r="I878" s="199">
        <v>4.1368105290658076E-2</v>
      </c>
      <c r="J878" s="199">
        <v>4.0840745995646209E-2</v>
      </c>
      <c r="K878" s="199">
        <v>5.6314872720549455E-2</v>
      </c>
      <c r="L878" s="199">
        <v>5.8313406528590017E-2</v>
      </c>
      <c r="M878" s="199">
        <v>5.2006187678406361E-2</v>
      </c>
      <c r="N878" s="199">
        <v>2.9233515346731478E-2</v>
      </c>
    </row>
    <row r="879" spans="1:14">
      <c r="C879" s="29">
        <v>13</v>
      </c>
      <c r="D879" s="34" t="s">
        <v>1324</v>
      </c>
      <c r="E879" s="199">
        <v>4.3215378636600438E-2</v>
      </c>
      <c r="F879" s="199">
        <v>5.6020708653217219E-2</v>
      </c>
      <c r="G879" s="199">
        <v>5.2582371319893899E-2</v>
      </c>
      <c r="H879" s="199">
        <v>5.3451404837635219E-2</v>
      </c>
      <c r="I879" s="199">
        <v>4.1386844305078385E-2</v>
      </c>
      <c r="J879" s="199">
        <v>4.5372241814361648E-2</v>
      </c>
      <c r="K879" s="199">
        <v>5.5375173512297857E-2</v>
      </c>
      <c r="L879" s="199">
        <v>5.8165539408650352E-2</v>
      </c>
      <c r="M879" s="199">
        <v>5.2595547201752996E-2</v>
      </c>
      <c r="N879" s="199">
        <v>2.7504847830849249E-2</v>
      </c>
    </row>
    <row r="880" spans="1:14">
      <c r="C880" s="29">
        <v>14</v>
      </c>
      <c r="D880" s="34" t="s">
        <v>1325</v>
      </c>
      <c r="E880" s="199">
        <v>4.3970907730956979E-2</v>
      </c>
      <c r="F880" s="199">
        <v>5.7458682532135277E-2</v>
      </c>
      <c r="G880" s="199">
        <v>5.2759155812288301E-2</v>
      </c>
      <c r="H880" s="199">
        <v>5.5417340632180526E-2</v>
      </c>
      <c r="I880" s="199">
        <v>4.1145358936887234E-2</v>
      </c>
      <c r="J880" s="199">
        <v>4.5137570107966277E-2</v>
      </c>
      <c r="K880" s="199">
        <v>5.7162989702844794E-2</v>
      </c>
      <c r="L880" s="199">
        <v>5.8536346262991062E-2</v>
      </c>
      <c r="M880" s="199">
        <v>5.3803674565736009E-2</v>
      </c>
      <c r="N880" s="199">
        <v>2.9787263389343701E-2</v>
      </c>
    </row>
    <row r="881" spans="1:14">
      <c r="C881" s="29">
        <v>15</v>
      </c>
      <c r="D881" s="34" t="s">
        <v>1326</v>
      </c>
      <c r="E881" s="199">
        <v>4.4891356233737661E-2</v>
      </c>
      <c r="F881" s="199">
        <v>5.6633580630419643E-2</v>
      </c>
      <c r="G881" s="199">
        <v>5.1763584022051348E-2</v>
      </c>
      <c r="H881" s="199">
        <v>5.3682389711313477E-2</v>
      </c>
      <c r="I881" s="199">
        <v>3.9139435666205119E-2</v>
      </c>
      <c r="J881" s="199">
        <v>4.76268205699968E-2</v>
      </c>
      <c r="K881" s="199">
        <v>5.7583715774324487E-2</v>
      </c>
      <c r="L881" s="199">
        <v>5.7698642547294531E-2</v>
      </c>
      <c r="M881" s="199">
        <v>5.5346382952440654E-2</v>
      </c>
      <c r="N881" s="199">
        <v>3.622453367518317E-2</v>
      </c>
    </row>
    <row r="882" spans="1:14">
      <c r="C882" s="29">
        <v>16</v>
      </c>
      <c r="D882" s="34" t="s">
        <v>1327</v>
      </c>
      <c r="E882" s="199">
        <v>4.7489389488892697E-2</v>
      </c>
      <c r="F882" s="199">
        <v>5.499436502711768E-2</v>
      </c>
      <c r="G882" s="199">
        <v>5.0812890733035215E-2</v>
      </c>
      <c r="H882" s="199">
        <v>5.0920301447003526E-2</v>
      </c>
      <c r="I882" s="199">
        <v>4.0175531184612367E-2</v>
      </c>
      <c r="J882" s="199">
        <v>5.0388679133655988E-2</v>
      </c>
      <c r="K882" s="199">
        <v>5.901033649716924E-2</v>
      </c>
      <c r="L882" s="199">
        <v>5.4462216050774823E-2</v>
      </c>
      <c r="M882" s="199">
        <v>4.9252053142724385E-2</v>
      </c>
      <c r="N882" s="199">
        <v>3.3213442487282058E-2</v>
      </c>
    </row>
    <row r="883" spans="1:14">
      <c r="C883" s="29">
        <v>17</v>
      </c>
      <c r="D883" s="34" t="s">
        <v>1328</v>
      </c>
      <c r="E883" s="199">
        <v>5.0803061884260002E-2</v>
      </c>
      <c r="F883" s="199">
        <v>5.2126131876382237E-2</v>
      </c>
      <c r="G883" s="199">
        <v>4.9522163569849037E-2</v>
      </c>
      <c r="H883" s="199">
        <v>4.7428207034920178E-2</v>
      </c>
      <c r="I883" s="199">
        <v>4.0367634001095165E-2</v>
      </c>
      <c r="J883" s="199">
        <v>5.4585347537014141E-2</v>
      </c>
      <c r="K883" s="199">
        <v>5.4415069973910928E-2</v>
      </c>
      <c r="L883" s="199">
        <v>4.8142941197429928E-2</v>
      </c>
      <c r="M883" s="199">
        <v>3.6389178019985029E-2</v>
      </c>
      <c r="N883" s="199">
        <v>4.1808666866800279E-2</v>
      </c>
    </row>
    <row r="884" spans="1:14">
      <c r="C884" s="29">
        <v>18</v>
      </c>
      <c r="D884" s="34" t="s">
        <v>1329</v>
      </c>
      <c r="E884" s="199">
        <v>5.5797883666201788E-2</v>
      </c>
      <c r="F884" s="199">
        <v>4.2084746318986059E-2</v>
      </c>
      <c r="G884" s="199">
        <v>4.837345283922765E-2</v>
      </c>
      <c r="H884" s="199">
        <v>4.5037592680343873E-2</v>
      </c>
      <c r="I884" s="199">
        <v>3.9861903961143988E-2</v>
      </c>
      <c r="J884" s="199">
        <v>5.8216603797775941E-2</v>
      </c>
      <c r="K884" s="199">
        <v>4.5493028578054588E-2</v>
      </c>
      <c r="L884" s="199">
        <v>4.4233832160814085E-2</v>
      </c>
      <c r="M884" s="199">
        <v>3.4854120006990619E-2</v>
      </c>
      <c r="N884" s="199">
        <v>4.2164120372248509E-2</v>
      </c>
    </row>
    <row r="885" spans="1:14">
      <c r="C885" s="29">
        <v>19</v>
      </c>
      <c r="D885" s="34" t="s">
        <v>1330</v>
      </c>
      <c r="E885" s="199">
        <v>5.9643654462115191E-2</v>
      </c>
      <c r="F885" s="199">
        <v>3.5870648352309763E-2</v>
      </c>
      <c r="G885" s="199">
        <v>4.6108013699412961E-2</v>
      </c>
      <c r="H885" s="199">
        <v>4.4034996581002066E-2</v>
      </c>
      <c r="I885" s="199">
        <v>4.0392425784178058E-2</v>
      </c>
      <c r="J885" s="199">
        <v>5.736136220992849E-2</v>
      </c>
      <c r="K885" s="199">
        <v>3.5835029308469213E-2</v>
      </c>
      <c r="L885" s="199">
        <v>4.1535301839257008E-2</v>
      </c>
      <c r="M885" s="199">
        <v>3.4047110860933753E-2</v>
      </c>
      <c r="N885" s="199">
        <v>3.9459395866970663E-2</v>
      </c>
    </row>
    <row r="886" spans="1:14">
      <c r="C886" s="29">
        <v>20</v>
      </c>
      <c r="D886" s="34" t="s">
        <v>1331</v>
      </c>
      <c r="E886" s="199">
        <v>5.920965031639145E-2</v>
      </c>
      <c r="F886" s="199">
        <v>3.4189321344569118E-2</v>
      </c>
      <c r="G886" s="199">
        <v>4.2888226586257211E-2</v>
      </c>
      <c r="H886" s="199">
        <v>4.2645492430128634E-2</v>
      </c>
      <c r="I886" s="199">
        <v>4.0385412613107761E-2</v>
      </c>
      <c r="J886" s="199">
        <v>5.6346547157683155E-2</v>
      </c>
      <c r="K886" s="199">
        <v>3.3800355233779701E-2</v>
      </c>
      <c r="L886" s="199">
        <v>4.0270436941932844E-2</v>
      </c>
      <c r="M886" s="199">
        <v>3.3473824141070085E-2</v>
      </c>
      <c r="N886" s="199">
        <v>4.4746817470040813E-2</v>
      </c>
    </row>
    <row r="887" spans="1:14">
      <c r="C887" s="29">
        <v>21</v>
      </c>
      <c r="D887" s="34" t="s">
        <v>1332</v>
      </c>
      <c r="E887" s="199">
        <v>5.6742677862136534E-2</v>
      </c>
      <c r="F887" s="199">
        <v>3.4068258578850701E-2</v>
      </c>
      <c r="G887" s="199">
        <v>4.0041207051351002E-2</v>
      </c>
      <c r="H887" s="199">
        <v>3.9466874065743118E-2</v>
      </c>
      <c r="I887" s="199">
        <v>3.997141217056327E-2</v>
      </c>
      <c r="J887" s="199">
        <v>5.3429927217987519E-2</v>
      </c>
      <c r="K887" s="199">
        <v>3.4334663971742119E-2</v>
      </c>
      <c r="L887" s="199">
        <v>3.6352876855863581E-2</v>
      </c>
      <c r="M887" s="199">
        <v>3.1619836787348393E-2</v>
      </c>
      <c r="N887" s="199">
        <v>4.4445400037322225E-2</v>
      </c>
    </row>
    <row r="888" spans="1:14">
      <c r="C888" s="29">
        <v>22</v>
      </c>
      <c r="D888" s="34" t="s">
        <v>1333</v>
      </c>
      <c r="E888" s="199">
        <v>5.4018986736945981E-2</v>
      </c>
      <c r="F888" s="199">
        <v>4.0626661506424945E-2</v>
      </c>
      <c r="G888" s="199">
        <v>3.8266778584175494E-2</v>
      </c>
      <c r="H888" s="199">
        <v>3.9267093000482478E-2</v>
      </c>
      <c r="I888" s="199">
        <v>3.986802373462571E-2</v>
      </c>
      <c r="J888" s="199">
        <v>5.2287674222936301E-2</v>
      </c>
      <c r="K888" s="199">
        <v>3.7607531466884975E-2</v>
      </c>
      <c r="L888" s="199">
        <v>3.4143153135052735E-2</v>
      </c>
      <c r="M888" s="199">
        <v>3.2808171441365504E-2</v>
      </c>
      <c r="N888" s="199">
        <v>4.100388637820384E-2</v>
      </c>
    </row>
    <row r="889" spans="1:14">
      <c r="C889" s="29">
        <v>23</v>
      </c>
      <c r="D889" s="34" t="s">
        <v>1334</v>
      </c>
      <c r="E889" s="199">
        <v>4.5309324942938038E-2</v>
      </c>
      <c r="F889" s="199">
        <v>3.947134794321052E-2</v>
      </c>
      <c r="G889" s="199">
        <v>3.5621027370917414E-2</v>
      </c>
      <c r="H889" s="199">
        <v>3.7107367655349673E-2</v>
      </c>
      <c r="I889" s="199">
        <v>4.2034378877275728E-2</v>
      </c>
      <c r="J889" s="199">
        <v>4.3104487494873764E-2</v>
      </c>
      <c r="K889" s="199">
        <v>3.7147592845525768E-2</v>
      </c>
      <c r="L889" s="199">
        <v>3.1370746993615264E-2</v>
      </c>
      <c r="M889" s="199">
        <v>3.3284459845013256E-2</v>
      </c>
      <c r="N889" s="199">
        <v>3.9798378917818122E-2</v>
      </c>
    </row>
    <row r="890" spans="1:14">
      <c r="C890" s="29">
        <v>24</v>
      </c>
      <c r="D890" s="34" t="s">
        <v>1335</v>
      </c>
      <c r="E890" s="199">
        <v>3.5250050024061098E-2</v>
      </c>
      <c r="F890" s="199">
        <v>3.8239177155433242E-2</v>
      </c>
      <c r="G890" s="199">
        <v>3.3157151650875606E-2</v>
      </c>
      <c r="H890" s="199">
        <v>3.454846363663467E-2</v>
      </c>
      <c r="I890" s="199">
        <v>4.1799013282566307E-2</v>
      </c>
      <c r="J890" s="199">
        <v>3.5314911219853681E-2</v>
      </c>
      <c r="K890" s="199">
        <v>3.5580535977320402E-2</v>
      </c>
      <c r="L890" s="199">
        <v>2.8729673310143373E-2</v>
      </c>
      <c r="M890" s="199">
        <v>3.4028090207030341E-2</v>
      </c>
      <c r="N890" s="199">
        <v>4.2354463655467307E-2</v>
      </c>
    </row>
    <row r="891" spans="1:14">
      <c r="A891" s="16" t="s">
        <v>435</v>
      </c>
      <c r="B891" s="16" t="s">
        <v>309</v>
      </c>
      <c r="C891" s="29">
        <v>1</v>
      </c>
      <c r="D891" s="34" t="s">
        <v>1336</v>
      </c>
      <c r="E891" s="199">
        <v>3.1719739373745025E-2</v>
      </c>
      <c r="F891" s="199">
        <v>3.5090447023756681E-2</v>
      </c>
      <c r="G891" s="199">
        <v>3.2048393921043028E-2</v>
      </c>
      <c r="H891" s="199">
        <v>3.2120386443748788E-2</v>
      </c>
      <c r="I891" s="199">
        <v>4.5630598842366532E-2</v>
      </c>
      <c r="J891" s="199">
        <v>3.1452394308601521E-2</v>
      </c>
      <c r="K891" s="199">
        <v>3.44510183184445E-2</v>
      </c>
      <c r="L891" s="199">
        <v>2.7283846682130151E-2</v>
      </c>
      <c r="M891" s="199">
        <v>3.2255578974287526E-2</v>
      </c>
      <c r="N891" s="199">
        <v>3.928102729803095E-2</v>
      </c>
    </row>
    <row r="892" spans="1:14">
      <c r="C892" s="29">
        <v>2</v>
      </c>
      <c r="D892" s="34" t="s">
        <v>1337</v>
      </c>
      <c r="E892" s="199">
        <v>2.9251925407215433E-2</v>
      </c>
      <c r="F892" s="199">
        <v>3.2512785349248827E-2</v>
      </c>
      <c r="G892" s="199">
        <v>3.1361108622264357E-2</v>
      </c>
      <c r="H892" s="199">
        <v>3.2031094698022317E-2</v>
      </c>
      <c r="I892" s="199">
        <v>4.4446270500629027E-2</v>
      </c>
      <c r="J892" s="199">
        <v>2.6948802799100769E-2</v>
      </c>
      <c r="K892" s="199">
        <v>3.1795046457873413E-2</v>
      </c>
      <c r="L892" s="199">
        <v>2.6082169460052169E-2</v>
      </c>
      <c r="M892" s="199">
        <v>3.3218245410760863E-2</v>
      </c>
      <c r="N892" s="199">
        <v>3.6081015216280439E-2</v>
      </c>
    </row>
    <row r="893" spans="1:14">
      <c r="C893" s="29">
        <v>3</v>
      </c>
      <c r="D893" s="34" t="s">
        <v>1338</v>
      </c>
      <c r="E893" s="199">
        <v>2.7227736505483522E-2</v>
      </c>
      <c r="F893" s="199">
        <v>3.2567329530186345E-2</v>
      </c>
      <c r="G893" s="199">
        <v>3.1568013865471825E-2</v>
      </c>
      <c r="H893" s="199">
        <v>3.2431570169454561E-2</v>
      </c>
      <c r="I893" s="199">
        <v>4.4979601527365083E-2</v>
      </c>
      <c r="J893" s="199">
        <v>2.5689601721714788E-2</v>
      </c>
      <c r="K893" s="199">
        <v>3.1732880309433213E-2</v>
      </c>
      <c r="L893" s="199">
        <v>2.5347835441203549E-2</v>
      </c>
      <c r="M893" s="199">
        <v>3.2546644105620609E-2</v>
      </c>
      <c r="N893" s="199">
        <v>4.0833839000999697E-2</v>
      </c>
    </row>
    <row r="894" spans="1:14">
      <c r="C894" s="29">
        <v>4</v>
      </c>
      <c r="D894" s="34" t="s">
        <v>1339</v>
      </c>
      <c r="E894" s="199">
        <v>2.7589910357659991E-2</v>
      </c>
      <c r="F894" s="199">
        <v>3.1576083773098625E-2</v>
      </c>
      <c r="G894" s="199">
        <v>3.1024698007220523E-2</v>
      </c>
      <c r="H894" s="199">
        <v>3.1615025894321705E-2</v>
      </c>
      <c r="I894" s="199">
        <v>4.4225523175039104E-2</v>
      </c>
      <c r="J894" s="199">
        <v>2.4421249443095695E-2</v>
      </c>
      <c r="K894" s="199">
        <v>3.1451838636627892E-2</v>
      </c>
      <c r="L894" s="199">
        <v>2.5252387913428962E-2</v>
      </c>
      <c r="M894" s="199">
        <v>3.2180101447742922E-2</v>
      </c>
      <c r="N894" s="199">
        <v>3.8622548298390451E-2</v>
      </c>
    </row>
    <row r="895" spans="1:14">
      <c r="C895" s="29">
        <v>5</v>
      </c>
      <c r="D895" s="34" t="s">
        <v>1340</v>
      </c>
      <c r="E895" s="199">
        <v>2.9340317811535208E-2</v>
      </c>
      <c r="F895" s="199">
        <v>3.1658511458656023E-2</v>
      </c>
      <c r="G895" s="199">
        <v>3.2137831047259639E-2</v>
      </c>
      <c r="H895" s="199">
        <v>3.2298856115258172E-2</v>
      </c>
      <c r="I895" s="199">
        <v>4.5727386448303473E-2</v>
      </c>
      <c r="J895" s="199">
        <v>2.6838009026749106E-2</v>
      </c>
      <c r="K895" s="199">
        <v>3.0986023858267864E-2</v>
      </c>
      <c r="L895" s="199">
        <v>2.9880308190874762E-2</v>
      </c>
      <c r="M895" s="199">
        <v>3.466088944361518E-2</v>
      </c>
      <c r="N895" s="199">
        <v>4.212849767561986E-2</v>
      </c>
    </row>
    <row r="896" spans="1:14">
      <c r="C896" s="29">
        <v>6</v>
      </c>
      <c r="D896" s="34" t="s">
        <v>1341</v>
      </c>
      <c r="E896" s="199">
        <v>3.1537231043213397E-2</v>
      </c>
      <c r="F896" s="199">
        <v>2.8841884979260227E-2</v>
      </c>
      <c r="G896" s="199">
        <v>3.4575597826550696E-2</v>
      </c>
      <c r="H896" s="199">
        <v>3.3792799784516082E-2</v>
      </c>
      <c r="I896" s="199">
        <v>4.7308946634684483E-2</v>
      </c>
      <c r="J896" s="199">
        <v>3.0132294040500815E-2</v>
      </c>
      <c r="K896" s="199">
        <v>2.8968886004456282E-2</v>
      </c>
      <c r="L896" s="199">
        <v>3.5482479371790492E-2</v>
      </c>
      <c r="M896" s="199">
        <v>4.4396003556801913E-2</v>
      </c>
      <c r="N896" s="199">
        <v>6.6650321694305056E-2</v>
      </c>
    </row>
    <row r="897" spans="3:14">
      <c r="C897" s="29">
        <v>7</v>
      </c>
      <c r="D897" s="34" t="s">
        <v>1342</v>
      </c>
      <c r="E897" s="199">
        <v>3.6971942504436639E-2</v>
      </c>
      <c r="F897" s="199">
        <v>3.1351113558780598E-2</v>
      </c>
      <c r="G897" s="199">
        <v>3.8694352722857386E-2</v>
      </c>
      <c r="H897" s="199">
        <v>4.1928080250799964E-2</v>
      </c>
      <c r="I897" s="199">
        <v>4.9762132154900725E-2</v>
      </c>
      <c r="J897" s="199">
        <v>3.952143703640254E-2</v>
      </c>
      <c r="K897" s="199">
        <v>3.2114746524808509E-2</v>
      </c>
      <c r="L897" s="199">
        <v>4.2315150120112756E-2</v>
      </c>
      <c r="M897" s="199">
        <v>4.8519367944370874E-2</v>
      </c>
      <c r="N897" s="199">
        <v>6.7451209608578422E-2</v>
      </c>
    </row>
    <row r="898" spans="3:14">
      <c r="C898" s="29">
        <v>8</v>
      </c>
      <c r="D898" s="34" t="s">
        <v>1343</v>
      </c>
      <c r="E898" s="199">
        <v>4.0608492060501475E-2</v>
      </c>
      <c r="F898" s="199">
        <v>3.874188781742962E-2</v>
      </c>
      <c r="G898" s="199">
        <v>4.3143354385211968E-2</v>
      </c>
      <c r="H898" s="199">
        <v>4.7523980866184569E-2</v>
      </c>
      <c r="I898" s="199">
        <v>4.8926597114804696E-2</v>
      </c>
      <c r="J898" s="199">
        <v>4.2769913390356719E-2</v>
      </c>
      <c r="K898" s="199">
        <v>4.0274525280176977E-2</v>
      </c>
      <c r="L898" s="199">
        <v>4.6723697381321698E-2</v>
      </c>
      <c r="M898" s="199">
        <v>5.1301278911150529E-2</v>
      </c>
      <c r="N898" s="199">
        <v>5.8285007314532448E-2</v>
      </c>
    </row>
    <row r="899" spans="3:14">
      <c r="C899" s="29">
        <v>9</v>
      </c>
      <c r="D899" s="34" t="s">
        <v>1344</v>
      </c>
      <c r="E899" s="199">
        <v>3.9744088638326236E-2</v>
      </c>
      <c r="F899" s="199">
        <v>4.8784055768216969E-2</v>
      </c>
      <c r="G899" s="199">
        <v>4.785074072490144E-2</v>
      </c>
      <c r="H899" s="199">
        <v>5.1045626830046847E-2</v>
      </c>
      <c r="I899" s="199">
        <v>4.8511916657072399E-2</v>
      </c>
      <c r="J899" s="199">
        <v>3.8994626918004635E-2</v>
      </c>
      <c r="K899" s="199">
        <v>4.8133609664469119E-2</v>
      </c>
      <c r="L899" s="199">
        <v>5.2879201961180448E-2</v>
      </c>
      <c r="M899" s="199">
        <v>5.2941843734932374E-2</v>
      </c>
      <c r="N899" s="199">
        <v>5.5446149903611464E-2</v>
      </c>
    </row>
    <row r="900" spans="3:14">
      <c r="C900" s="29">
        <v>10</v>
      </c>
      <c r="D900" s="34" t="s">
        <v>1345</v>
      </c>
      <c r="E900" s="199">
        <v>4.0546769941554546E-2</v>
      </c>
      <c r="F900" s="199">
        <v>5.2462051561687609E-2</v>
      </c>
      <c r="G900" s="199">
        <v>4.9709254147292554E-2</v>
      </c>
      <c r="H900" s="199">
        <v>5.1526857551438217E-2</v>
      </c>
      <c r="I900" s="199">
        <v>4.6358608668470969E-2</v>
      </c>
      <c r="J900" s="199">
        <v>3.9597468880940026E-2</v>
      </c>
      <c r="K900" s="199">
        <v>5.2453779562989224E-2</v>
      </c>
      <c r="L900" s="199">
        <v>5.3551427534603728E-2</v>
      </c>
      <c r="M900" s="199">
        <v>5.2407203966951865E-2</v>
      </c>
      <c r="N900" s="199">
        <v>5.1688654705340384E-2</v>
      </c>
    </row>
    <row r="901" spans="3:14">
      <c r="C901" s="29">
        <v>11</v>
      </c>
      <c r="D901" s="34" t="s">
        <v>1346</v>
      </c>
      <c r="E901" s="199">
        <v>4.1617916640021249E-2</v>
      </c>
      <c r="F901" s="199">
        <v>5.5288204024524203E-2</v>
      </c>
      <c r="G901" s="199">
        <v>5.1981100438480095E-2</v>
      </c>
      <c r="H901" s="199">
        <v>5.0060003028748697E-2</v>
      </c>
      <c r="I901" s="199">
        <v>4.2776512794754785E-2</v>
      </c>
      <c r="J901" s="199">
        <v>4.0407671377225556E-2</v>
      </c>
      <c r="K901" s="199">
        <v>5.6197362478491546E-2</v>
      </c>
      <c r="L901" s="199">
        <v>5.4572302820222782E-2</v>
      </c>
      <c r="M901" s="199">
        <v>5.1765338883161753E-2</v>
      </c>
      <c r="N901" s="199">
        <v>4.8362279783845219E-2</v>
      </c>
    </row>
    <row r="902" spans="3:14">
      <c r="C902" s="29">
        <v>12</v>
      </c>
      <c r="D902" s="34" t="s">
        <v>1347</v>
      </c>
      <c r="E902" s="199">
        <v>4.1609326619168344E-2</v>
      </c>
      <c r="F902" s="199">
        <v>5.667618963077832E-2</v>
      </c>
      <c r="G902" s="199">
        <v>5.2930468723991229E-2</v>
      </c>
      <c r="H902" s="199">
        <v>5.416719569227936E-2</v>
      </c>
      <c r="I902" s="199">
        <v>4.4512933150634898E-2</v>
      </c>
      <c r="J902" s="199">
        <v>4.1965323771237191E-2</v>
      </c>
      <c r="K902" s="199">
        <v>5.6718873381169627E-2</v>
      </c>
      <c r="L902" s="199">
        <v>5.7732945844097945E-2</v>
      </c>
      <c r="M902" s="199">
        <v>5.2585883673476351E-2</v>
      </c>
      <c r="N902" s="199">
        <v>3.5446133385593208E-2</v>
      </c>
    </row>
    <row r="903" spans="3:14">
      <c r="C903" s="29">
        <v>13</v>
      </c>
      <c r="D903" s="34" t="s">
        <v>1348</v>
      </c>
      <c r="E903" s="199">
        <v>4.3273350587003788E-2</v>
      </c>
      <c r="F903" s="199">
        <v>5.5016041695727713E-2</v>
      </c>
      <c r="G903" s="199">
        <v>5.2172605740635904E-2</v>
      </c>
      <c r="H903" s="199">
        <v>5.1272811437401908E-2</v>
      </c>
      <c r="I903" s="199">
        <v>4.2784416867350558E-2</v>
      </c>
      <c r="J903" s="199">
        <v>4.2991490404333657E-2</v>
      </c>
      <c r="K903" s="199">
        <v>5.6072383179198937E-2</v>
      </c>
      <c r="L903" s="199">
        <v>5.599286297270252E-2</v>
      </c>
      <c r="M903" s="199">
        <v>5.1886820093324515E-2</v>
      </c>
      <c r="N903" s="199">
        <v>3.3329703302176029E-2</v>
      </c>
    </row>
    <row r="904" spans="3:14">
      <c r="C904" s="29">
        <v>14</v>
      </c>
      <c r="D904" s="34" t="s">
        <v>1349</v>
      </c>
      <c r="E904" s="199">
        <v>4.2263130020995708E-2</v>
      </c>
      <c r="F904" s="199">
        <v>5.5677923933437082E-2</v>
      </c>
      <c r="G904" s="199">
        <v>5.2442007894657798E-2</v>
      </c>
      <c r="H904" s="199">
        <v>5.3175653253915843E-2</v>
      </c>
      <c r="I904" s="199">
        <v>4.1643188091276817E-2</v>
      </c>
      <c r="J904" s="199">
        <v>4.4756671823317662E-2</v>
      </c>
      <c r="K904" s="199">
        <v>5.6630988886843932E-2</v>
      </c>
      <c r="L904" s="199">
        <v>5.6695142728823623E-2</v>
      </c>
      <c r="M904" s="199">
        <v>5.4033600355855117E-2</v>
      </c>
      <c r="N904" s="199">
        <v>3.2620726360975572E-2</v>
      </c>
    </row>
    <row r="905" spans="3:14">
      <c r="C905" s="29">
        <v>15</v>
      </c>
      <c r="D905" s="34" t="s">
        <v>1350</v>
      </c>
      <c r="E905" s="199">
        <v>4.2912039053522977E-2</v>
      </c>
      <c r="F905" s="199">
        <v>5.5845813730338874E-2</v>
      </c>
      <c r="G905" s="199">
        <v>5.2378394391302749E-2</v>
      </c>
      <c r="H905" s="199">
        <v>5.0756239623533712E-2</v>
      </c>
      <c r="I905" s="199">
        <v>3.787801600022906E-2</v>
      </c>
      <c r="J905" s="199">
        <v>4.5044181715223855E-2</v>
      </c>
      <c r="K905" s="199">
        <v>5.8656969106955774E-2</v>
      </c>
      <c r="L905" s="199">
        <v>5.6015499640058447E-2</v>
      </c>
      <c r="M905" s="199">
        <v>5.5493823743095839E-2</v>
      </c>
      <c r="N905" s="199">
        <v>3.2723374045922217E-2</v>
      </c>
    </row>
    <row r="906" spans="3:14">
      <c r="C906" s="29">
        <v>16</v>
      </c>
      <c r="D906" s="34" t="s">
        <v>1351</v>
      </c>
      <c r="E906" s="199">
        <v>4.5116059307418126E-2</v>
      </c>
      <c r="F906" s="199">
        <v>5.3689484340853272E-2</v>
      </c>
      <c r="G906" s="199">
        <v>5.0134456459338762E-2</v>
      </c>
      <c r="H906" s="199">
        <v>4.5852136625135098E-2</v>
      </c>
      <c r="I906" s="199">
        <v>3.6395390941395919E-2</v>
      </c>
      <c r="J906" s="199">
        <v>4.6398959665327609E-2</v>
      </c>
      <c r="K906" s="199">
        <v>5.7038869990876991E-2</v>
      </c>
      <c r="L906" s="199">
        <v>5.2721288357776536E-2</v>
      </c>
      <c r="M906" s="199">
        <v>4.7828263176403922E-2</v>
      </c>
      <c r="N906" s="199">
        <v>3.3561781458831257E-2</v>
      </c>
    </row>
    <row r="907" spans="3:14">
      <c r="C907" s="29">
        <v>17</v>
      </c>
      <c r="D907" s="34" t="s">
        <v>1352</v>
      </c>
      <c r="E907" s="199">
        <v>4.8825095752081174E-2</v>
      </c>
      <c r="F907" s="199">
        <v>4.9938284912351888E-2</v>
      </c>
      <c r="G907" s="199">
        <v>4.7070513619272863E-2</v>
      </c>
      <c r="H907" s="199">
        <v>4.3103043528217928E-2</v>
      </c>
      <c r="I907" s="199">
        <v>3.5854364628887379E-2</v>
      </c>
      <c r="J907" s="199">
        <v>5.3447827743348206E-2</v>
      </c>
      <c r="K907" s="199">
        <v>5.1616747150621596E-2</v>
      </c>
      <c r="L907" s="199">
        <v>4.795541554053441E-2</v>
      </c>
      <c r="M907" s="199">
        <v>3.7546527347222074E-2</v>
      </c>
      <c r="N907" s="199">
        <v>3.195540418233863E-2</v>
      </c>
    </row>
    <row r="908" spans="3:14">
      <c r="C908" s="29">
        <v>18</v>
      </c>
      <c r="D908" s="34" t="s">
        <v>1353</v>
      </c>
      <c r="E908" s="199">
        <v>5.4009218347949077E-2</v>
      </c>
      <c r="F908" s="199">
        <v>3.9536967760207299E-2</v>
      </c>
      <c r="G908" s="199">
        <v>4.3884713743559282E-2</v>
      </c>
      <c r="H908" s="199">
        <v>4.0880936770005122E-2</v>
      </c>
      <c r="I908" s="199">
        <v>3.5408067880771978E-2</v>
      </c>
      <c r="J908" s="199">
        <v>6.0616830348028596E-2</v>
      </c>
      <c r="K908" s="199">
        <v>4.1107486969034435E-2</v>
      </c>
      <c r="L908" s="199">
        <v>4.3291851452758129E-2</v>
      </c>
      <c r="M908" s="199">
        <v>3.5623380961139393E-2</v>
      </c>
      <c r="N908" s="199">
        <v>2.8319552390021561E-2</v>
      </c>
    </row>
    <row r="909" spans="3:14">
      <c r="C909" s="29">
        <v>19</v>
      </c>
      <c r="D909" s="34" t="s">
        <v>1354</v>
      </c>
      <c r="E909" s="199">
        <v>5.6099535722402429E-2</v>
      </c>
      <c r="F909" s="199">
        <v>3.4020698708995246E-2</v>
      </c>
      <c r="G909" s="199">
        <v>4.2841074067016913E-2</v>
      </c>
      <c r="H909" s="199">
        <v>4.0001051696278538E-2</v>
      </c>
      <c r="I909" s="199">
        <v>3.6520484075232444E-2</v>
      </c>
      <c r="J909" s="199">
        <v>6.2013699611514123E-2</v>
      </c>
      <c r="K909" s="199">
        <v>3.2629544777459878E-2</v>
      </c>
      <c r="L909" s="199">
        <v>4.097709658024859E-2</v>
      </c>
      <c r="M909" s="199">
        <v>3.5226314946640538E-2</v>
      </c>
      <c r="N909" s="199">
        <v>3.185924571885413E-2</v>
      </c>
    </row>
    <row r="910" spans="3:14">
      <c r="C910" s="29">
        <v>20</v>
      </c>
      <c r="D910" s="34" t="s">
        <v>1355</v>
      </c>
      <c r="E910" s="199">
        <v>5.6702324918756417E-2</v>
      </c>
      <c r="F910" s="199">
        <v>3.2551266699154653E-2</v>
      </c>
      <c r="G910" s="199">
        <v>3.9489340794615538E-2</v>
      </c>
      <c r="H910" s="199">
        <v>3.8577733302002488E-2</v>
      </c>
      <c r="I910" s="199">
        <v>3.7231373381827547E-2</v>
      </c>
      <c r="J910" s="199">
        <v>5.8052988108882764E-2</v>
      </c>
      <c r="K910" s="199">
        <v>3.0284511492825156E-2</v>
      </c>
      <c r="L910" s="199">
        <v>3.906994742133986E-2</v>
      </c>
      <c r="M910" s="199">
        <v>3.3247194496839959E-2</v>
      </c>
      <c r="N910" s="199">
        <v>3.272372800345652E-2</v>
      </c>
    </row>
    <row r="911" spans="3:14">
      <c r="C911" s="29">
        <v>21</v>
      </c>
      <c r="D911" s="34" t="s">
        <v>1356</v>
      </c>
      <c r="E911" s="199">
        <v>5.6527075226915725E-2</v>
      </c>
      <c r="F911" s="199">
        <v>3.4158787727272454E-2</v>
      </c>
      <c r="G911" s="199">
        <v>3.7135118372815128E-2</v>
      </c>
      <c r="H911" s="199">
        <v>3.7200227435011231E-2</v>
      </c>
      <c r="I911" s="199">
        <v>3.6570712219576917E-2</v>
      </c>
      <c r="J911" s="199">
        <v>5.318046313102652E-2</v>
      </c>
      <c r="K911" s="199">
        <v>3.2205919948062961E-2</v>
      </c>
      <c r="L911" s="199">
        <v>3.5809075221407201E-2</v>
      </c>
      <c r="M911" s="199">
        <v>3.1728898018491901E-2</v>
      </c>
      <c r="N911" s="199">
        <v>4.062606592836631E-2</v>
      </c>
    </row>
    <row r="912" spans="3:14">
      <c r="C912" s="29">
        <v>22</v>
      </c>
      <c r="D912" s="34" t="s">
        <v>1357</v>
      </c>
      <c r="E912" s="199">
        <v>5.349816659437167E-2</v>
      </c>
      <c r="F912" s="199">
        <v>3.9901083758001978E-2</v>
      </c>
      <c r="G912" s="199">
        <v>3.7580967965424726E-2</v>
      </c>
      <c r="H912" s="199">
        <v>3.8553034374248965E-2</v>
      </c>
      <c r="I912" s="199">
        <v>3.531527705116648E-2</v>
      </c>
      <c r="J912" s="199">
        <v>4.8758905980105696E-2</v>
      </c>
      <c r="K912" s="199">
        <v>3.7004898590055034E-2</v>
      </c>
      <c r="L912" s="199">
        <v>3.4059535017950851E-2</v>
      </c>
      <c r="M912" s="199">
        <v>3.3151513831672176E-2</v>
      </c>
      <c r="N912" s="199">
        <v>3.9006238265570328E-2</v>
      </c>
    </row>
    <row r="913" spans="1:14">
      <c r="C913" s="29">
        <v>23</v>
      </c>
      <c r="D913" s="34" t="s">
        <v>1358</v>
      </c>
      <c r="E913" s="199">
        <v>4.6756165776486072E-2</v>
      </c>
      <c r="F913" s="199">
        <v>3.7945600142995424E-2</v>
      </c>
      <c r="G913" s="199">
        <v>3.4889605593568407E-2</v>
      </c>
      <c r="H913" s="199">
        <v>3.5827729645536814E-2</v>
      </c>
      <c r="I913" s="199">
        <v>3.5360882058709658E-2</v>
      </c>
      <c r="J913" s="199">
        <v>4.1254573454981056E-2</v>
      </c>
      <c r="K913" s="199">
        <v>3.6230140159862971E-2</v>
      </c>
      <c r="L913" s="199">
        <v>3.1085733907313031E-2</v>
      </c>
      <c r="M913" s="199">
        <v>3.2460758901603458E-2</v>
      </c>
      <c r="N913" s="199">
        <v>4.004935111914884E-2</v>
      </c>
    </row>
    <row r="914" spans="1:14">
      <c r="C914" s="29">
        <v>24</v>
      </c>
      <c r="D914" s="34" t="s">
        <v>1359</v>
      </c>
      <c r="E914" s="199">
        <v>3.6252441789235673E-2</v>
      </c>
      <c r="F914" s="199">
        <v>3.6167502115040058E-2</v>
      </c>
      <c r="G914" s="199">
        <v>3.2956286925247387E-2</v>
      </c>
      <c r="H914" s="199">
        <v>3.4257924983893052E-2</v>
      </c>
      <c r="I914" s="199">
        <v>3.5870799134548784E-2</v>
      </c>
      <c r="J914" s="199">
        <v>3.4744615299980741E-2</v>
      </c>
      <c r="K914" s="199">
        <v>3.5242949270994077E-2</v>
      </c>
      <c r="L914" s="199">
        <v>2.9222798438067299E-2</v>
      </c>
      <c r="M914" s="199">
        <v>3.2994524074838376E-2</v>
      </c>
      <c r="N914" s="199">
        <v>4.2948145339211076E-2</v>
      </c>
    </row>
    <row r="915" spans="1:14">
      <c r="A915" s="16" t="s">
        <v>435</v>
      </c>
      <c r="B915" s="16" t="s">
        <v>310</v>
      </c>
      <c r="C915" s="29">
        <v>1</v>
      </c>
      <c r="D915" s="34" t="s">
        <v>1360</v>
      </c>
      <c r="E915" s="199">
        <v>3.0960947032726588E-2</v>
      </c>
      <c r="F915" s="199">
        <v>3.3627465024661449E-2</v>
      </c>
      <c r="G915" s="199">
        <v>3.1011826502633795E-2</v>
      </c>
      <c r="H915" s="199">
        <v>3.2633445620290198E-2</v>
      </c>
      <c r="I915" s="199">
        <v>3.9893254157897809E-2</v>
      </c>
      <c r="J915" s="199">
        <v>2.9436289381076609E-2</v>
      </c>
      <c r="K915" s="199">
        <v>3.4407016607400913E-2</v>
      </c>
      <c r="L915" s="199">
        <v>2.7398772569854825E-2</v>
      </c>
      <c r="M915" s="199">
        <v>3.3744174036261829E-2</v>
      </c>
      <c r="N915" s="199">
        <v>4.1893157427540129E-2</v>
      </c>
    </row>
    <row r="916" spans="1:14">
      <c r="C916" s="29">
        <v>2</v>
      </c>
      <c r="D916" s="34" t="s">
        <v>1361</v>
      </c>
      <c r="E916" s="199">
        <v>2.9074949733962838E-2</v>
      </c>
      <c r="F916" s="199">
        <v>3.1534599533299443E-2</v>
      </c>
      <c r="G916" s="199">
        <v>3.0173260266710477E-2</v>
      </c>
      <c r="H916" s="199">
        <v>3.2548703552287138E-2</v>
      </c>
      <c r="I916" s="199">
        <v>4.035421262896919E-2</v>
      </c>
      <c r="J916" s="199">
        <v>2.6437951775412513E-2</v>
      </c>
      <c r="K916" s="199">
        <v>3.2709457283195111E-2</v>
      </c>
      <c r="L916" s="199">
        <v>2.6405324039485697E-2</v>
      </c>
      <c r="M916" s="199">
        <v>3.3276016235872577E-2</v>
      </c>
      <c r="N916" s="199">
        <v>3.8697347699008927E-2</v>
      </c>
    </row>
    <row r="917" spans="1:14">
      <c r="C917" s="29">
        <v>3</v>
      </c>
      <c r="D917" s="34" t="s">
        <v>1362</v>
      </c>
      <c r="E917" s="199">
        <v>2.7403151561248045E-2</v>
      </c>
      <c r="F917" s="199">
        <v>3.0927359627508873E-2</v>
      </c>
      <c r="G917" s="199">
        <v>2.9716925628364057E-2</v>
      </c>
      <c r="H917" s="199">
        <v>3.2081785907862405E-2</v>
      </c>
      <c r="I917" s="199">
        <v>4.0014107751730518E-2</v>
      </c>
      <c r="J917" s="199">
        <v>2.5962049482777864E-2</v>
      </c>
      <c r="K917" s="199">
        <v>3.2952186079775445E-2</v>
      </c>
      <c r="L917" s="199">
        <v>2.5254583928836678E-2</v>
      </c>
      <c r="M917" s="199">
        <v>3.1773198575021915E-2</v>
      </c>
      <c r="N917" s="199">
        <v>3.649491732221221E-2</v>
      </c>
    </row>
    <row r="918" spans="1:14">
      <c r="C918" s="29">
        <v>4</v>
      </c>
      <c r="D918" s="34" t="s">
        <v>1363</v>
      </c>
      <c r="E918" s="199">
        <v>2.8104015885283568E-2</v>
      </c>
      <c r="F918" s="199">
        <v>3.0680287887755574E-2</v>
      </c>
      <c r="G918" s="199">
        <v>3.0246934966203873E-2</v>
      </c>
      <c r="H918" s="199">
        <v>3.1948484404839175E-2</v>
      </c>
      <c r="I918" s="199">
        <v>4.0583466996999822E-2</v>
      </c>
      <c r="J918" s="199">
        <v>2.5370134634801086E-2</v>
      </c>
      <c r="K918" s="199">
        <v>3.2534939309954318E-2</v>
      </c>
      <c r="L918" s="199">
        <v>2.5456237137108314E-2</v>
      </c>
      <c r="M918" s="199">
        <v>3.2701956072660229E-2</v>
      </c>
      <c r="N918" s="199">
        <v>3.4514146300010234E-2</v>
      </c>
    </row>
    <row r="919" spans="1:14">
      <c r="C919" s="29">
        <v>5</v>
      </c>
      <c r="D919" s="34" t="s">
        <v>1364</v>
      </c>
      <c r="E919" s="199">
        <v>2.9694222300329091E-2</v>
      </c>
      <c r="F919" s="199">
        <v>3.0044836453158842E-2</v>
      </c>
      <c r="G919" s="199">
        <v>3.0484305323677342E-2</v>
      </c>
      <c r="H919" s="199">
        <v>3.1355512934259894E-2</v>
      </c>
      <c r="I919" s="199">
        <v>4.1223630388881147E-2</v>
      </c>
      <c r="J919" s="199">
        <v>2.6533374826204735E-2</v>
      </c>
      <c r="K919" s="199">
        <v>3.0460718791099666E-2</v>
      </c>
      <c r="L919" s="199">
        <v>2.9259142891271184E-2</v>
      </c>
      <c r="M919" s="199">
        <v>3.2999478579802191E-2</v>
      </c>
      <c r="N919" s="199">
        <v>4.0828156196035296E-2</v>
      </c>
    </row>
    <row r="920" spans="1:14">
      <c r="C920" s="29">
        <v>6</v>
      </c>
      <c r="D920" s="34" t="s">
        <v>1365</v>
      </c>
      <c r="E920" s="199">
        <v>3.4191668373435437E-2</v>
      </c>
      <c r="F920" s="199">
        <v>2.6419404690508266E-2</v>
      </c>
      <c r="G920" s="199">
        <v>3.2514831946599453E-2</v>
      </c>
      <c r="H920" s="199">
        <v>3.2436977825788374E-2</v>
      </c>
      <c r="I920" s="199">
        <v>4.4420364456604203E-2</v>
      </c>
      <c r="J920" s="199">
        <v>3.1601826242796574E-2</v>
      </c>
      <c r="K920" s="199">
        <v>2.7921414637820826E-2</v>
      </c>
      <c r="L920" s="199">
        <v>3.4120689029584976E-2</v>
      </c>
      <c r="M920" s="199">
        <v>4.2843863460465967E-2</v>
      </c>
      <c r="N920" s="199">
        <v>5.6485366970591387E-2</v>
      </c>
    </row>
    <row r="921" spans="1:14">
      <c r="C921" s="29">
        <v>7</v>
      </c>
      <c r="D921" s="34" t="s">
        <v>1366</v>
      </c>
      <c r="E921" s="199">
        <v>3.8210004304578583E-2</v>
      </c>
      <c r="F921" s="199">
        <v>2.8993942280949512E-2</v>
      </c>
      <c r="G921" s="199">
        <v>3.8281067718740035E-2</v>
      </c>
      <c r="H921" s="199">
        <v>4.1132238770588837E-2</v>
      </c>
      <c r="I921" s="199">
        <v>4.7932059593614816E-2</v>
      </c>
      <c r="J921" s="199">
        <v>3.972010444542718E-2</v>
      </c>
      <c r="K921" s="199">
        <v>3.2629693099456528E-2</v>
      </c>
      <c r="L921" s="199">
        <v>4.1988865283319771E-2</v>
      </c>
      <c r="M921" s="199">
        <v>4.8062778138195567E-2</v>
      </c>
      <c r="N921" s="199">
        <v>5.4477651382688015E-2</v>
      </c>
    </row>
    <row r="922" spans="1:14">
      <c r="C922" s="29">
        <v>8</v>
      </c>
      <c r="D922" s="34" t="s">
        <v>1367</v>
      </c>
      <c r="E922" s="199">
        <v>4.4456189582627467E-2</v>
      </c>
      <c r="F922" s="199">
        <v>3.6810405731110239E-2</v>
      </c>
      <c r="G922" s="199">
        <v>4.1943278544284701E-2</v>
      </c>
      <c r="H922" s="199">
        <v>4.5279638231651591E-2</v>
      </c>
      <c r="I922" s="199">
        <v>4.6846180526280652E-2</v>
      </c>
      <c r="J922" s="199">
        <v>4.1258303876704573E-2</v>
      </c>
      <c r="K922" s="199">
        <v>3.8684222146606786E-2</v>
      </c>
      <c r="L922" s="199">
        <v>4.4259515731534547E-2</v>
      </c>
      <c r="M922" s="199">
        <v>5.0924009230489078E-2</v>
      </c>
      <c r="N922" s="199">
        <v>5.247304478313481E-2</v>
      </c>
    </row>
    <row r="923" spans="1:14">
      <c r="C923" s="29">
        <v>9</v>
      </c>
      <c r="D923" s="34" t="s">
        <v>1368</v>
      </c>
      <c r="E923" s="199">
        <v>4.1755878732884597E-2</v>
      </c>
      <c r="F923" s="199">
        <v>4.66426241421748E-2</v>
      </c>
      <c r="G923" s="199">
        <v>4.5886997776152877E-2</v>
      </c>
      <c r="H923" s="199">
        <v>4.8436001507962796E-2</v>
      </c>
      <c r="I923" s="199">
        <v>4.3819532921274294E-2</v>
      </c>
      <c r="J923" s="199">
        <v>3.9825076996831917E-2</v>
      </c>
      <c r="K923" s="199">
        <v>4.6393830949282538E-2</v>
      </c>
      <c r="L923" s="199">
        <v>5.0795843190787497E-2</v>
      </c>
      <c r="M923" s="199">
        <v>5.3380570588770902E-2</v>
      </c>
      <c r="N923" s="199">
        <v>4.9246145171102013E-2</v>
      </c>
    </row>
    <row r="924" spans="1:14">
      <c r="C924" s="29">
        <v>10</v>
      </c>
      <c r="D924" s="34" t="s">
        <v>1369</v>
      </c>
      <c r="E924" s="199">
        <v>4.2007630094054643E-2</v>
      </c>
      <c r="F924" s="199">
        <v>5.0712681967121573E-2</v>
      </c>
      <c r="G924" s="199">
        <v>4.8516975416738273E-2</v>
      </c>
      <c r="H924" s="199">
        <v>4.9334992196482075E-2</v>
      </c>
      <c r="I924" s="199">
        <v>4.037510342474996E-2</v>
      </c>
      <c r="J924" s="199">
        <v>4.057398810191843E-2</v>
      </c>
      <c r="K924" s="199">
        <v>5.0303682919079072E-2</v>
      </c>
      <c r="L924" s="199">
        <v>5.2624085096614988E-2</v>
      </c>
      <c r="M924" s="199">
        <v>5.3396664902516482E-2</v>
      </c>
      <c r="N924" s="199">
        <v>4.1576501206690493E-2</v>
      </c>
    </row>
    <row r="925" spans="1:14">
      <c r="C925" s="29">
        <v>11</v>
      </c>
      <c r="D925" s="34" t="s">
        <v>1370</v>
      </c>
      <c r="E925" s="199">
        <v>4.1005735701721904E-2</v>
      </c>
      <c r="F925" s="199">
        <v>5.418406935901536E-2</v>
      </c>
      <c r="G925" s="199">
        <v>5.1356304856029454E-2</v>
      </c>
      <c r="H925" s="199">
        <v>4.9938946685085438E-2</v>
      </c>
      <c r="I925" s="199">
        <v>4.1596466447782844E-2</v>
      </c>
      <c r="J925" s="199">
        <v>4.0682599537302529E-2</v>
      </c>
      <c r="K925" s="199">
        <v>5.4158419677791669E-2</v>
      </c>
      <c r="L925" s="199">
        <v>5.4887683916024263E-2</v>
      </c>
      <c r="M925" s="199">
        <v>5.1730325457256365E-2</v>
      </c>
      <c r="N925" s="199">
        <v>3.922368791191936E-2</v>
      </c>
    </row>
    <row r="926" spans="1:14">
      <c r="C926" s="29">
        <v>12</v>
      </c>
      <c r="D926" s="34" t="s">
        <v>1371</v>
      </c>
      <c r="E926" s="199">
        <v>4.1366181160353517E-2</v>
      </c>
      <c r="F926" s="199">
        <v>5.5705725012952491E-2</v>
      </c>
      <c r="G926" s="199">
        <v>5.1904650979969248E-2</v>
      </c>
      <c r="H926" s="199">
        <v>5.2470783220758335E-2</v>
      </c>
      <c r="I926" s="199">
        <v>4.076420300219108E-2</v>
      </c>
      <c r="J926" s="199">
        <v>4.3558417769661392E-2</v>
      </c>
      <c r="K926" s="199">
        <v>5.4853921150993933E-2</v>
      </c>
      <c r="L926" s="199">
        <v>5.6677161343059203E-2</v>
      </c>
      <c r="M926" s="199">
        <v>5.1486421022979491E-2</v>
      </c>
      <c r="N926" s="199">
        <v>3.1263065667476192E-2</v>
      </c>
    </row>
    <row r="927" spans="1:14">
      <c r="C927" s="29">
        <v>13</v>
      </c>
      <c r="D927" s="34" t="s">
        <v>1372</v>
      </c>
      <c r="E927" s="199">
        <v>4.3427885713680427E-2</v>
      </c>
      <c r="F927" s="199">
        <v>5.5196872077664404E-2</v>
      </c>
      <c r="G927" s="199">
        <v>5.129497016477029E-2</v>
      </c>
      <c r="H927" s="199">
        <v>5.0634110399513148E-2</v>
      </c>
      <c r="I927" s="199">
        <v>3.9579551980212672E-2</v>
      </c>
      <c r="J927" s="199">
        <v>4.4374874373698199E-2</v>
      </c>
      <c r="K927" s="199">
        <v>5.3290267167806535E-2</v>
      </c>
      <c r="L927" s="199">
        <v>5.623764877345943E-2</v>
      </c>
      <c r="M927" s="199">
        <v>5.2710300218526997E-2</v>
      </c>
      <c r="N927" s="199">
        <v>3.2436075457219916E-2</v>
      </c>
    </row>
    <row r="928" spans="1:14">
      <c r="C928" s="29">
        <v>14</v>
      </c>
      <c r="D928" s="34" t="s">
        <v>1373</v>
      </c>
      <c r="E928" s="199">
        <v>4.1663656745634735E-2</v>
      </c>
      <c r="F928" s="199">
        <v>5.7099295025404874E-2</v>
      </c>
      <c r="G928" s="199">
        <v>5.2554778550079902E-2</v>
      </c>
      <c r="H928" s="199">
        <v>5.2868736432209525E-2</v>
      </c>
      <c r="I928" s="199">
        <v>4.0532907188318687E-2</v>
      </c>
      <c r="J928" s="199">
        <v>4.5211766292285793E-2</v>
      </c>
      <c r="K928" s="199">
        <v>5.5972892515543743E-2</v>
      </c>
      <c r="L928" s="199">
        <v>5.7532707025757253E-2</v>
      </c>
      <c r="M928" s="199">
        <v>5.6005277512206797E-2</v>
      </c>
      <c r="N928" s="199">
        <v>3.2088905091452041E-2</v>
      </c>
    </row>
    <row r="929" spans="1:14">
      <c r="C929" s="29">
        <v>15</v>
      </c>
      <c r="D929" s="34" t="s">
        <v>1374</v>
      </c>
      <c r="E929" s="199">
        <v>4.1819774005685095E-2</v>
      </c>
      <c r="F929" s="199">
        <v>5.8262505242360214E-2</v>
      </c>
      <c r="G929" s="199">
        <v>5.2249906646798343E-2</v>
      </c>
      <c r="H929" s="199">
        <v>5.0378267406048644E-2</v>
      </c>
      <c r="I929" s="199">
        <v>4.0775737171197077E-2</v>
      </c>
      <c r="J929" s="199">
        <v>4.6096991635932651E-2</v>
      </c>
      <c r="K929" s="199">
        <v>5.7595341468630719E-2</v>
      </c>
      <c r="L929" s="199">
        <v>5.7237434679255947E-2</v>
      </c>
      <c r="M929" s="199">
        <v>5.7236536973173546E-2</v>
      </c>
      <c r="N929" s="199">
        <v>3.0926604039358867E-2</v>
      </c>
    </row>
    <row r="930" spans="1:14">
      <c r="C930" s="29">
        <v>16</v>
      </c>
      <c r="D930" s="34" t="s">
        <v>1375</v>
      </c>
      <c r="E930" s="199">
        <v>4.397325920190874E-2</v>
      </c>
      <c r="F930" s="199">
        <v>5.6183274341642525E-2</v>
      </c>
      <c r="G930" s="199">
        <v>5.1376159734005111E-2</v>
      </c>
      <c r="H930" s="199">
        <v>4.5891342159368381E-2</v>
      </c>
      <c r="I930" s="199">
        <v>3.9036595434496904E-2</v>
      </c>
      <c r="J930" s="199">
        <v>4.8086813574649036E-2</v>
      </c>
      <c r="K930" s="199">
        <v>5.7987912208747092E-2</v>
      </c>
      <c r="L930" s="199">
        <v>5.4071032576369346E-2</v>
      </c>
      <c r="M930" s="199">
        <v>4.761204843445898E-2</v>
      </c>
      <c r="N930" s="199">
        <v>4.008798667326386E-2</v>
      </c>
    </row>
    <row r="931" spans="1:14">
      <c r="C931" s="29">
        <v>17</v>
      </c>
      <c r="D931" s="34" t="s">
        <v>1376</v>
      </c>
      <c r="E931" s="199">
        <v>4.7975725718892276E-2</v>
      </c>
      <c r="F931" s="199">
        <v>5.1554963957636937E-2</v>
      </c>
      <c r="G931" s="199">
        <v>4.8717117878007386E-2</v>
      </c>
      <c r="H931" s="199">
        <v>4.428040659690239E-2</v>
      </c>
      <c r="I931" s="199">
        <v>3.8684446026791802E-2</v>
      </c>
      <c r="J931" s="199">
        <v>5.3355568079438351E-2</v>
      </c>
      <c r="K931" s="199">
        <v>5.3783003107448095E-2</v>
      </c>
      <c r="L931" s="199">
        <v>4.8582670659871166E-2</v>
      </c>
      <c r="M931" s="199">
        <v>3.6537471119154126E-2</v>
      </c>
      <c r="N931" s="199">
        <v>4.2667756117596677E-2</v>
      </c>
    </row>
    <row r="932" spans="1:14">
      <c r="C932" s="29">
        <v>18</v>
      </c>
      <c r="D932" s="34" t="s">
        <v>1377</v>
      </c>
      <c r="E932" s="199">
        <v>5.277825463532345E-2</v>
      </c>
      <c r="F932" s="199">
        <v>4.0977893454862004E-2</v>
      </c>
      <c r="G932" s="199">
        <v>4.7227485500647801E-2</v>
      </c>
      <c r="H932" s="199">
        <v>4.3071940106090376E-2</v>
      </c>
      <c r="I932" s="199">
        <v>4.0826467100365034E-2</v>
      </c>
      <c r="J932" s="199">
        <v>5.6607291250332245E-2</v>
      </c>
      <c r="K932" s="199">
        <v>4.4494723658771204E-2</v>
      </c>
      <c r="L932" s="199">
        <v>4.4378653194999507E-2</v>
      </c>
      <c r="M932" s="199">
        <v>3.5791619717508341E-2</v>
      </c>
      <c r="N932" s="199">
        <v>3.6232380528198695E-2</v>
      </c>
    </row>
    <row r="933" spans="1:14">
      <c r="C933" s="29">
        <v>19</v>
      </c>
      <c r="D933" s="34" t="s">
        <v>1378</v>
      </c>
      <c r="E933" s="199">
        <v>5.6107428986246155E-2</v>
      </c>
      <c r="F933" s="199">
        <v>3.5720418861103234E-2</v>
      </c>
      <c r="G933" s="199">
        <v>4.619553577682714E-2</v>
      </c>
      <c r="H933" s="199">
        <v>4.2511583181420169E-2</v>
      </c>
      <c r="I933" s="199">
        <v>4.2480820786437071E-2</v>
      </c>
      <c r="J933" s="199">
        <v>5.61887990340387E-2</v>
      </c>
      <c r="K933" s="199">
        <v>3.3865929719204102E-2</v>
      </c>
      <c r="L933" s="199">
        <v>4.1634491716388007E-2</v>
      </c>
      <c r="M933" s="199">
        <v>3.428862421893674E-2</v>
      </c>
      <c r="N933" s="199">
        <v>4.0737765238447313E-2</v>
      </c>
    </row>
    <row r="934" spans="1:14">
      <c r="C934" s="29">
        <v>20</v>
      </c>
      <c r="D934" s="34" t="s">
        <v>1379</v>
      </c>
      <c r="E934" s="199">
        <v>5.4811732132603333E-2</v>
      </c>
      <c r="F934" s="199">
        <v>3.4586701176610689E-2</v>
      </c>
      <c r="G934" s="199">
        <v>4.1659080406712561E-2</v>
      </c>
      <c r="H934" s="199">
        <v>4.052861879014865E-2</v>
      </c>
      <c r="I934" s="199">
        <v>4.2233329502219974E-2</v>
      </c>
      <c r="J934" s="199">
        <v>5.4213059781909129E-2</v>
      </c>
      <c r="K934" s="199">
        <v>3.1537670556821107E-2</v>
      </c>
      <c r="L934" s="199">
        <v>4.0290422695928335E-2</v>
      </c>
      <c r="M934" s="199">
        <v>3.3346439973367024E-2</v>
      </c>
      <c r="N934" s="199">
        <v>4.5826833724509318E-2</v>
      </c>
    </row>
    <row r="935" spans="1:14">
      <c r="C935" s="29">
        <v>21</v>
      </c>
      <c r="D935" s="34" t="s">
        <v>1380</v>
      </c>
      <c r="E935" s="199">
        <v>5.3857778177423779E-2</v>
      </c>
      <c r="F935" s="199">
        <v>3.639827593398897E-2</v>
      </c>
      <c r="G935" s="199">
        <v>3.9514356739748409E-2</v>
      </c>
      <c r="H935" s="199">
        <v>3.9154403504485923E-2</v>
      </c>
      <c r="I935" s="199">
        <v>4.2992032849313334E-2</v>
      </c>
      <c r="J935" s="199">
        <v>5.3932341469500988E-2</v>
      </c>
      <c r="K935" s="199">
        <v>3.3043503623913069E-2</v>
      </c>
      <c r="L935" s="199">
        <v>3.6497958027510602E-2</v>
      </c>
      <c r="M935" s="199">
        <v>3.2389228440377421E-2</v>
      </c>
      <c r="N935" s="199">
        <v>5.1906172573955633E-2</v>
      </c>
    </row>
    <row r="936" spans="1:14">
      <c r="C936" s="29">
        <v>22</v>
      </c>
      <c r="D936" s="34" t="s">
        <v>1381</v>
      </c>
      <c r="E936" s="199">
        <v>5.346645285098816E-2</v>
      </c>
      <c r="F936" s="199">
        <v>4.0987007722258141E-2</v>
      </c>
      <c r="G936" s="199">
        <v>3.8869205487404496E-2</v>
      </c>
      <c r="H936" s="199">
        <v>3.9386496418365342E-2</v>
      </c>
      <c r="I936" s="199">
        <v>4.2706400551952517E-2</v>
      </c>
      <c r="J936" s="199">
        <v>4.9830959448091898E-2</v>
      </c>
      <c r="K936" s="199">
        <v>3.7562788590496533E-2</v>
      </c>
      <c r="L936" s="199">
        <v>3.4087404822166101E-2</v>
      </c>
      <c r="M936" s="199">
        <v>3.2779137643550622E-2</v>
      </c>
      <c r="N936" s="199">
        <v>4.2622387917227667E-2</v>
      </c>
    </row>
    <row r="937" spans="1:14">
      <c r="C937" s="29">
        <v>23</v>
      </c>
      <c r="D937" s="34" t="s">
        <v>1382</v>
      </c>
      <c r="E937" s="199">
        <v>4.6138048508338178E-2</v>
      </c>
      <c r="F937" s="199">
        <v>3.8937961390461441E-2</v>
      </c>
      <c r="G937" s="199">
        <v>3.5125376751348893E-2</v>
      </c>
      <c r="H937" s="199">
        <v>3.6520040216801435E-2</v>
      </c>
      <c r="I937" s="199">
        <v>4.145152379301726E-2</v>
      </c>
      <c r="J937" s="199">
        <v>4.5535267189784664E-2</v>
      </c>
      <c r="K937" s="199">
        <v>3.7197843098547408E-2</v>
      </c>
      <c r="L937" s="199">
        <v>3.1197016197422545E-2</v>
      </c>
      <c r="M937" s="199">
        <v>3.2246869344760482E-2</v>
      </c>
      <c r="N937" s="199">
        <v>4.5835815246409777E-2</v>
      </c>
    </row>
    <row r="938" spans="1:14">
      <c r="C938" s="29">
        <v>24</v>
      </c>
      <c r="D938" s="34" t="s">
        <v>1383</v>
      </c>
      <c r="E938" s="199">
        <v>3.5749428860069127E-2</v>
      </c>
      <c r="F938" s="199">
        <v>3.7811429105790099E-2</v>
      </c>
      <c r="G938" s="199">
        <v>3.3178666437546078E-2</v>
      </c>
      <c r="H938" s="199">
        <v>3.5176543930789818E-2</v>
      </c>
      <c r="I938" s="199">
        <v>4.0877605318701341E-2</v>
      </c>
      <c r="J938" s="199">
        <v>3.5606150799422712E-2</v>
      </c>
      <c r="K938" s="199">
        <v>3.5658621631613721E-2</v>
      </c>
      <c r="L938" s="199">
        <v>2.9124655473389868E-2</v>
      </c>
      <c r="M938" s="199">
        <v>3.2736990103686504E-2</v>
      </c>
      <c r="N938" s="199">
        <v>4.1458129353951066E-2</v>
      </c>
    </row>
    <row r="939" spans="1:14">
      <c r="A939" s="16" t="s">
        <v>435</v>
      </c>
      <c r="B939" s="16" t="s">
        <v>311</v>
      </c>
      <c r="C939" s="29">
        <v>1</v>
      </c>
      <c r="D939" s="34" t="s">
        <v>1384</v>
      </c>
      <c r="E939" s="199">
        <v>3.2800802022308541E-2</v>
      </c>
      <c r="F939" s="199">
        <v>3.5780152545007445E-2</v>
      </c>
      <c r="G939" s="199">
        <v>3.1175401504174537E-2</v>
      </c>
      <c r="H939" s="199">
        <v>3.5832929285658538E-2</v>
      </c>
      <c r="I939" s="199">
        <v>4.0517751680834338E-2</v>
      </c>
      <c r="J939" s="199">
        <v>3.1701306640894975E-2</v>
      </c>
      <c r="K939" s="199">
        <v>3.4569430460181662E-2</v>
      </c>
      <c r="L939" s="199">
        <v>2.8290390083724477E-2</v>
      </c>
      <c r="M939" s="199">
        <v>3.2601873804833141E-2</v>
      </c>
      <c r="N939" s="199">
        <v>3.6495769922215919E-2</v>
      </c>
    </row>
    <row r="940" spans="1:14">
      <c r="C940" s="29">
        <v>2</v>
      </c>
      <c r="D940" s="34" t="s">
        <v>1385</v>
      </c>
      <c r="E940" s="199">
        <v>2.9046454611178291E-2</v>
      </c>
      <c r="F940" s="199">
        <v>3.3459799667650718E-2</v>
      </c>
      <c r="G940" s="199">
        <v>3.1074417458053099E-2</v>
      </c>
      <c r="H940" s="199">
        <v>3.4998221574025705E-2</v>
      </c>
      <c r="I940" s="199">
        <v>4.123293111522644E-2</v>
      </c>
      <c r="J940" s="199">
        <v>3.0082567902016983E-2</v>
      </c>
      <c r="K940" s="199">
        <v>3.2694175568907337E-2</v>
      </c>
      <c r="L940" s="199">
        <v>2.7021747710258254E-2</v>
      </c>
      <c r="M940" s="199">
        <v>3.304263737549927E-2</v>
      </c>
      <c r="N940" s="199">
        <v>3.8176232142843873E-2</v>
      </c>
    </row>
    <row r="941" spans="1:14">
      <c r="C941" s="29">
        <v>3</v>
      </c>
      <c r="D941" s="34" t="s">
        <v>1386</v>
      </c>
      <c r="E941" s="199">
        <v>2.8312041893050546E-2</v>
      </c>
      <c r="F941" s="199">
        <v>3.2504022967309636E-2</v>
      </c>
      <c r="G941" s="199">
        <v>3.0149911560335592E-2</v>
      </c>
      <c r="H941" s="199">
        <v>3.3757511661731542E-2</v>
      </c>
      <c r="I941" s="199">
        <v>4.1349653604660926E-2</v>
      </c>
      <c r="J941" s="199">
        <v>2.7523217234360915E-2</v>
      </c>
      <c r="K941" s="199">
        <v>3.1372998407694495E-2</v>
      </c>
      <c r="L941" s="199">
        <v>2.5395946512869756E-2</v>
      </c>
      <c r="M941" s="199">
        <v>3.1845762892466649E-2</v>
      </c>
      <c r="N941" s="199">
        <v>3.3183524013628007E-2</v>
      </c>
    </row>
    <row r="942" spans="1:14">
      <c r="C942" s="29">
        <v>4</v>
      </c>
      <c r="D942" s="34" t="s">
        <v>1387</v>
      </c>
      <c r="E942" s="199">
        <v>2.8067356940631553E-2</v>
      </c>
      <c r="F942" s="199">
        <v>3.1639837179011858E-2</v>
      </c>
      <c r="G942" s="199">
        <v>3.0117878142833402E-2</v>
      </c>
      <c r="H942" s="199">
        <v>3.3315692533863316E-2</v>
      </c>
      <c r="I942" s="199">
        <v>4.236792514794168E-2</v>
      </c>
      <c r="J942" s="199">
        <v>2.7117794568538512E-2</v>
      </c>
      <c r="K942" s="199">
        <v>3.1603751675693799E-2</v>
      </c>
      <c r="L942" s="199">
        <v>2.5815130061872211E-2</v>
      </c>
      <c r="M942" s="199">
        <v>3.1126492446514567E-2</v>
      </c>
      <c r="N942" s="199">
        <v>4.028575908907478E-2</v>
      </c>
    </row>
    <row r="943" spans="1:14">
      <c r="C943" s="29">
        <v>5</v>
      </c>
      <c r="D943" s="34" t="s">
        <v>1388</v>
      </c>
      <c r="E943" s="199">
        <v>3.1271048354823389E-2</v>
      </c>
      <c r="F943" s="199">
        <v>3.1148465523726368E-2</v>
      </c>
      <c r="G943" s="199">
        <v>3.1189042228499889E-2</v>
      </c>
      <c r="H943" s="199">
        <v>3.3451103626400337E-2</v>
      </c>
      <c r="I943" s="199">
        <v>4.2286551542502597E-2</v>
      </c>
      <c r="J943" s="199">
        <v>2.7989803773991354E-2</v>
      </c>
      <c r="K943" s="199">
        <v>3.1602186331887487E-2</v>
      </c>
      <c r="L943" s="199">
        <v>2.9921776383940731E-2</v>
      </c>
      <c r="M943" s="199">
        <v>3.3941703399167605E-2</v>
      </c>
      <c r="N943" s="199">
        <v>4.1444382484943719E-2</v>
      </c>
    </row>
    <row r="944" spans="1:14">
      <c r="C944" s="29">
        <v>6</v>
      </c>
      <c r="D944" s="34" t="s">
        <v>1389</v>
      </c>
      <c r="E944" s="199">
        <v>3.3628611591752927E-2</v>
      </c>
      <c r="F944" s="199">
        <v>2.7929419750518544E-2</v>
      </c>
      <c r="G944" s="199">
        <v>3.3249331455420535E-2</v>
      </c>
      <c r="H944" s="199">
        <v>3.3127249281365137E-2</v>
      </c>
      <c r="I944" s="199">
        <v>4.707298700645518E-2</v>
      </c>
      <c r="J944" s="199">
        <v>3.1279063373061841E-2</v>
      </c>
      <c r="K944" s="199">
        <v>2.8114735274858041E-2</v>
      </c>
      <c r="L944" s="199">
        <v>3.5073360129444626E-2</v>
      </c>
      <c r="M944" s="199">
        <v>4.3041386738613102E-2</v>
      </c>
      <c r="N944" s="199">
        <v>6.0460967124773363E-2</v>
      </c>
    </row>
    <row r="945" spans="3:14">
      <c r="C945" s="29">
        <v>7</v>
      </c>
      <c r="D945" s="34" t="s">
        <v>1390</v>
      </c>
      <c r="E945" s="199">
        <v>3.8512232504258205E-2</v>
      </c>
      <c r="F945" s="199">
        <v>3.0021168639713703E-2</v>
      </c>
      <c r="G945" s="199">
        <v>3.8058129334668934E-2</v>
      </c>
      <c r="H945" s="199">
        <v>4.0026744846160811E-2</v>
      </c>
      <c r="I945" s="199">
        <v>4.8019679601511302E-2</v>
      </c>
      <c r="J945" s="199">
        <v>3.8094165894953125E-2</v>
      </c>
      <c r="K945" s="199">
        <v>3.1532447566447699E-2</v>
      </c>
      <c r="L945" s="199">
        <v>4.2768363079085228E-2</v>
      </c>
      <c r="M945" s="199">
        <v>4.8413660973756989E-2</v>
      </c>
      <c r="N945" s="199">
        <v>6.7922407657566727E-2</v>
      </c>
    </row>
    <row r="946" spans="3:14">
      <c r="C946" s="29">
        <v>8</v>
      </c>
      <c r="D946" s="34" t="s">
        <v>1391</v>
      </c>
      <c r="E946" s="199">
        <v>4.1545026008820318E-2</v>
      </c>
      <c r="F946" s="199">
        <v>3.7503566804550761E-2</v>
      </c>
      <c r="G946" s="199">
        <v>4.2376419824106726E-2</v>
      </c>
      <c r="H946" s="199">
        <v>4.385389905669191E-2</v>
      </c>
      <c r="I946" s="199">
        <v>5.0074151316676446E-2</v>
      </c>
      <c r="J946" s="199">
        <v>4.2665151073533872E-2</v>
      </c>
      <c r="K946" s="199">
        <v>3.9446798862470059E-2</v>
      </c>
      <c r="L946" s="199">
        <v>4.7111048664923667E-2</v>
      </c>
      <c r="M946" s="199">
        <v>5.2384322918498226E-2</v>
      </c>
      <c r="N946" s="199">
        <v>5.8995037266946888E-2</v>
      </c>
    </row>
    <row r="947" spans="3:14">
      <c r="C947" s="29">
        <v>9</v>
      </c>
      <c r="D947" s="34" t="s">
        <v>1392</v>
      </c>
      <c r="E947" s="199">
        <v>4.1611346332900284E-2</v>
      </c>
      <c r="F947" s="199">
        <v>4.5799592096424008E-2</v>
      </c>
      <c r="G947" s="199">
        <v>4.5562341873449978E-2</v>
      </c>
      <c r="H947" s="199">
        <v>4.5598010103955172E-2</v>
      </c>
      <c r="I947" s="199">
        <v>4.9414621803205196E-2</v>
      </c>
      <c r="J947" s="199">
        <v>3.8578023875958975E-2</v>
      </c>
      <c r="K947" s="199">
        <v>4.591822703330941E-2</v>
      </c>
      <c r="L947" s="199">
        <v>5.1515078822804719E-2</v>
      </c>
      <c r="M947" s="199">
        <v>5.1807214368063945E-2</v>
      </c>
      <c r="N947" s="199">
        <v>5.654971515007233E-2</v>
      </c>
    </row>
    <row r="948" spans="3:14">
      <c r="C948" s="29">
        <v>10</v>
      </c>
      <c r="D948" s="34" t="s">
        <v>1393</v>
      </c>
      <c r="E948" s="199">
        <v>4.0398115769664948E-2</v>
      </c>
      <c r="F948" s="199">
        <v>5.0825938295438487E-2</v>
      </c>
      <c r="G948" s="199">
        <v>4.8902341961709797E-2</v>
      </c>
      <c r="H948" s="199">
        <v>4.8327779880257091E-2</v>
      </c>
      <c r="I948" s="199">
        <v>4.7910786059538898E-2</v>
      </c>
      <c r="J948" s="199">
        <v>4.094794687055598E-2</v>
      </c>
      <c r="K948" s="199">
        <v>4.9930473095747795E-2</v>
      </c>
      <c r="L948" s="199">
        <v>5.336297614669288E-2</v>
      </c>
      <c r="M948" s="199">
        <v>5.1691933674116466E-2</v>
      </c>
      <c r="N948" s="199">
        <v>5.0779389137676517E-2</v>
      </c>
    </row>
    <row r="949" spans="3:14">
      <c r="C949" s="29">
        <v>11</v>
      </c>
      <c r="D949" s="34" t="s">
        <v>1394</v>
      </c>
      <c r="E949" s="199">
        <v>4.1083559579987987E-2</v>
      </c>
      <c r="F949" s="199">
        <v>5.3784769718437833E-2</v>
      </c>
      <c r="G949" s="199">
        <v>5.0436600163772813E-2</v>
      </c>
      <c r="H949" s="199">
        <v>4.6348952421313823E-2</v>
      </c>
      <c r="I949" s="199">
        <v>4.3496039196523582E-2</v>
      </c>
      <c r="J949" s="199">
        <v>4.0632176832681076E-2</v>
      </c>
      <c r="K949" s="199">
        <v>5.3682413278671182E-2</v>
      </c>
      <c r="L949" s="199">
        <v>5.4215286381968028E-2</v>
      </c>
      <c r="M949" s="199">
        <v>5.1203224616059327E-2</v>
      </c>
      <c r="N949" s="199">
        <v>4.6493572575728566E-2</v>
      </c>
    </row>
    <row r="950" spans="3:14">
      <c r="C950" s="29">
        <v>12</v>
      </c>
      <c r="D950" s="34" t="s">
        <v>1395</v>
      </c>
      <c r="E950" s="199">
        <v>4.1356370462467436E-2</v>
      </c>
      <c r="F950" s="199">
        <v>5.466442472500703E-2</v>
      </c>
      <c r="G950" s="199">
        <v>5.0601688709116743E-2</v>
      </c>
      <c r="H950" s="199">
        <v>4.8621825298778162E-2</v>
      </c>
      <c r="I950" s="199">
        <v>4.2318612946394878E-2</v>
      </c>
      <c r="J950" s="199">
        <v>4.133540036741476E-2</v>
      </c>
      <c r="K950" s="199">
        <v>5.5351960402847171E-2</v>
      </c>
      <c r="L950" s="199">
        <v>5.5766898578796673E-2</v>
      </c>
      <c r="M950" s="199">
        <v>5.0134851090041538E-2</v>
      </c>
      <c r="N950" s="199">
        <v>4.6791589241375421E-2</v>
      </c>
    </row>
    <row r="951" spans="3:14">
      <c r="C951" s="29">
        <v>13</v>
      </c>
      <c r="D951" s="34" t="s">
        <v>1396</v>
      </c>
      <c r="E951" s="199">
        <v>4.3951151933106641E-2</v>
      </c>
      <c r="F951" s="199">
        <v>5.4882113656646976E-2</v>
      </c>
      <c r="G951" s="199">
        <v>5.0889813700285266E-2</v>
      </c>
      <c r="H951" s="199">
        <v>4.8919163563832781E-2</v>
      </c>
      <c r="I951" s="199">
        <v>3.98221954524186E-2</v>
      </c>
      <c r="J951" s="199">
        <v>4.010611169972484E-2</v>
      </c>
      <c r="K951" s="199">
        <v>5.5740867372656523E-2</v>
      </c>
      <c r="L951" s="199">
        <v>5.6433108479099055E-2</v>
      </c>
      <c r="M951" s="199">
        <v>5.2830110189129975E-2</v>
      </c>
      <c r="N951" s="199">
        <v>3.223262046326604E-2</v>
      </c>
    </row>
    <row r="952" spans="3:14">
      <c r="C952" s="29">
        <v>14</v>
      </c>
      <c r="D952" s="34" t="s">
        <v>1397</v>
      </c>
      <c r="E952" s="199">
        <v>4.2002923500860247E-2</v>
      </c>
      <c r="F952" s="199">
        <v>5.5468839006798547E-2</v>
      </c>
      <c r="G952" s="199">
        <v>5.1652206525889505E-2</v>
      </c>
      <c r="H952" s="199">
        <v>5.1736338196366999E-2</v>
      </c>
      <c r="I952" s="199">
        <v>3.8826834595217311E-2</v>
      </c>
      <c r="J952" s="199">
        <v>4.2850403115334362E-2</v>
      </c>
      <c r="K952" s="199">
        <v>5.7016406665309494E-2</v>
      </c>
      <c r="L952" s="199">
        <v>5.6328770387162198E-2</v>
      </c>
      <c r="M952" s="199">
        <v>5.328885331756774E-2</v>
      </c>
      <c r="N952" s="199">
        <v>2.9866571274909354E-2</v>
      </c>
    </row>
    <row r="953" spans="3:14">
      <c r="C953" s="29">
        <v>15</v>
      </c>
      <c r="D953" s="34" t="s">
        <v>1398</v>
      </c>
      <c r="E953" s="199">
        <v>4.0977777840967636E-2</v>
      </c>
      <c r="F953" s="199">
        <v>5.5056276747301215E-2</v>
      </c>
      <c r="G953" s="199">
        <v>5.2155256100330602E-2</v>
      </c>
      <c r="H953" s="199">
        <v>5.0066691696151605E-2</v>
      </c>
      <c r="I953" s="199">
        <v>3.8771184674296459E-2</v>
      </c>
      <c r="J953" s="199">
        <v>4.4511810579797993E-2</v>
      </c>
      <c r="K953" s="199">
        <v>5.8195434415697508E-2</v>
      </c>
      <c r="L953" s="199">
        <v>5.5920129210242121E-2</v>
      </c>
      <c r="M953" s="199">
        <v>5.4048665903593092E-2</v>
      </c>
      <c r="N953" s="199">
        <v>3.4714730173530925E-2</v>
      </c>
    </row>
    <row r="954" spans="3:14">
      <c r="C954" s="29">
        <v>16</v>
      </c>
      <c r="D954" s="34" t="s">
        <v>1399</v>
      </c>
      <c r="E954" s="199">
        <v>4.280776710712425E-2</v>
      </c>
      <c r="F954" s="199">
        <v>5.4639862114913902E-2</v>
      </c>
      <c r="G954" s="199">
        <v>5.1345029717727225E-2</v>
      </c>
      <c r="H954" s="199">
        <v>4.6843514862956064E-2</v>
      </c>
      <c r="I954" s="199">
        <v>3.8887771597541122E-2</v>
      </c>
      <c r="J954" s="199">
        <v>4.6115038297676943E-2</v>
      </c>
      <c r="K954" s="199">
        <v>5.7767987601829322E-2</v>
      </c>
      <c r="L954" s="199">
        <v>5.3487038676719355E-2</v>
      </c>
      <c r="M954" s="199">
        <v>4.808667980055735E-2</v>
      </c>
      <c r="N954" s="199">
        <v>3.2525930298782153E-2</v>
      </c>
    </row>
    <row r="955" spans="3:14">
      <c r="C955" s="29">
        <v>17</v>
      </c>
      <c r="D955" s="34" t="s">
        <v>1400</v>
      </c>
      <c r="E955" s="199">
        <v>4.7411207137595036E-2</v>
      </c>
      <c r="F955" s="199">
        <v>5.171220803530327E-2</v>
      </c>
      <c r="G955" s="199">
        <v>4.989664593295403E-2</v>
      </c>
      <c r="H955" s="199">
        <v>4.5298245530928469E-2</v>
      </c>
      <c r="I955" s="199">
        <v>3.8318156359467566E-2</v>
      </c>
      <c r="J955" s="199">
        <v>4.9841451066426706E-2</v>
      </c>
      <c r="K955" s="199">
        <v>5.3897054300940002E-2</v>
      </c>
      <c r="L955" s="199">
        <v>4.90101536646214E-2</v>
      </c>
      <c r="M955" s="199">
        <v>3.8309149506104194E-2</v>
      </c>
      <c r="N955" s="199">
        <v>3.1503804976704915E-2</v>
      </c>
    </row>
    <row r="956" spans="3:14">
      <c r="C956" s="29">
        <v>18</v>
      </c>
      <c r="D956" s="34" t="s">
        <v>1401</v>
      </c>
      <c r="E956" s="199">
        <v>5.3814687348104094E-2</v>
      </c>
      <c r="F956" s="199">
        <v>4.0002786251090203E-2</v>
      </c>
      <c r="G956" s="199">
        <v>4.6923733869129444E-2</v>
      </c>
      <c r="H956" s="199">
        <v>4.2848656556164329E-2</v>
      </c>
      <c r="I956" s="199">
        <v>3.7265518787067603E-2</v>
      </c>
      <c r="J956" s="199">
        <v>5.8294152440618377E-2</v>
      </c>
      <c r="K956" s="199">
        <v>4.2930228605238457E-2</v>
      </c>
      <c r="L956" s="199">
        <v>4.3610130942277996E-2</v>
      </c>
      <c r="M956" s="199">
        <v>3.6772954937675718E-2</v>
      </c>
      <c r="N956" s="199">
        <v>2.9469835040467594E-2</v>
      </c>
    </row>
    <row r="957" spans="3:14">
      <c r="C957" s="29">
        <v>19</v>
      </c>
      <c r="D957" s="34" t="s">
        <v>1402</v>
      </c>
      <c r="E957" s="199">
        <v>5.6288279718448429E-2</v>
      </c>
      <c r="F957" s="199">
        <v>3.4451054034606556E-2</v>
      </c>
      <c r="G957" s="199">
        <v>4.621165416154991E-2</v>
      </c>
      <c r="H957" s="199">
        <v>4.29337506428994E-2</v>
      </c>
      <c r="I957" s="199">
        <v>3.7555257626259053E-2</v>
      </c>
      <c r="J957" s="199">
        <v>5.7791595360248943E-2</v>
      </c>
      <c r="K957" s="199">
        <v>3.4124333045463008E-2</v>
      </c>
      <c r="L957" s="199">
        <v>4.1098757410103846E-2</v>
      </c>
      <c r="M957" s="199">
        <v>3.5853000898360944E-2</v>
      </c>
      <c r="N957" s="199">
        <v>2.9782467652309928E-2</v>
      </c>
    </row>
    <row r="958" spans="3:14">
      <c r="C958" s="29">
        <v>20</v>
      </c>
      <c r="D958" s="34" t="s">
        <v>1403</v>
      </c>
      <c r="E958" s="199">
        <v>5.407301453723224E-2</v>
      </c>
      <c r="F958" s="199">
        <v>3.3926907346400449E-2</v>
      </c>
      <c r="G958" s="199">
        <v>4.1929125847207156E-2</v>
      </c>
      <c r="H958" s="199">
        <v>4.0193351326910279E-2</v>
      </c>
      <c r="I958" s="199">
        <v>3.7638427483713238E-2</v>
      </c>
      <c r="J958" s="199">
        <v>5.7580237572379449E-2</v>
      </c>
      <c r="K958" s="199">
        <v>3.1784683828754302E-2</v>
      </c>
      <c r="L958" s="199">
        <v>3.8496413409154349E-2</v>
      </c>
      <c r="M958" s="199">
        <v>3.4138949724132769E-2</v>
      </c>
      <c r="N958" s="199">
        <v>3.7894441654753024E-2</v>
      </c>
    </row>
    <row r="959" spans="3:14">
      <c r="C959" s="29">
        <v>21</v>
      </c>
      <c r="D959" s="34" t="s">
        <v>1404</v>
      </c>
      <c r="E959" s="199">
        <v>5.339261463080415E-2</v>
      </c>
      <c r="F959" s="199">
        <v>3.5800444695230277E-2</v>
      </c>
      <c r="G959" s="199">
        <v>4.0417033037501618E-2</v>
      </c>
      <c r="H959" s="199">
        <v>4.0558164061283687E-2</v>
      </c>
      <c r="I959" s="199">
        <v>3.8725736109159518E-2</v>
      </c>
      <c r="J959" s="199">
        <v>5.3182922157635197E-2</v>
      </c>
      <c r="K959" s="199">
        <v>3.4211290592772226E-2</v>
      </c>
      <c r="L959" s="199">
        <v>3.610629023579362E-2</v>
      </c>
      <c r="M959" s="199">
        <v>3.3518126170489049E-2</v>
      </c>
      <c r="N959" s="199">
        <v>4.7526102469673773E-2</v>
      </c>
    </row>
    <row r="960" spans="3:14">
      <c r="C960" s="29">
        <v>22</v>
      </c>
      <c r="D960" s="34" t="s">
        <v>1405</v>
      </c>
      <c r="E960" s="199">
        <v>5.3380742354618052E-2</v>
      </c>
      <c r="F960" s="199">
        <v>4.1270052683439036E-2</v>
      </c>
      <c r="G960" s="199">
        <v>3.81317001073763E-2</v>
      </c>
      <c r="H960" s="199">
        <v>4.0044595540526827E-2</v>
      </c>
      <c r="I960" s="199">
        <v>3.7755760021001908E-2</v>
      </c>
      <c r="J960" s="199">
        <v>5.3545558020895487E-2</v>
      </c>
      <c r="K960" s="199">
        <v>3.7109821525706604E-2</v>
      </c>
      <c r="L960" s="199">
        <v>3.36471969284498E-2</v>
      </c>
      <c r="M960" s="199">
        <v>3.3740843535630678E-2</v>
      </c>
      <c r="N960" s="199">
        <v>4.2317251746295921E-2</v>
      </c>
    </row>
    <row r="961" spans="1:14">
      <c r="C961" s="29">
        <v>23</v>
      </c>
      <c r="D961" s="34" t="s">
        <v>1406</v>
      </c>
      <c r="E961" s="199">
        <v>4.6461676512507315E-2</v>
      </c>
      <c r="F961" s="199">
        <v>3.9341118809718321E-2</v>
      </c>
      <c r="G961" s="199">
        <v>3.5062819615808531E-2</v>
      </c>
      <c r="H961" s="199">
        <v>3.765110049530767E-2</v>
      </c>
      <c r="I961" s="199">
        <v>3.926044305335457E-2</v>
      </c>
      <c r="J961" s="199">
        <v>4.4548350036878126E-2</v>
      </c>
      <c r="K961" s="199">
        <v>3.5986390469128951E-2</v>
      </c>
      <c r="L961" s="199">
        <v>3.1037135806497088E-2</v>
      </c>
      <c r="M961" s="199">
        <v>3.3589515591052846E-2</v>
      </c>
      <c r="N961" s="199">
        <v>4.3962288876992453E-2</v>
      </c>
    </row>
    <row r="962" spans="1:14">
      <c r="C962" s="29">
        <v>24</v>
      </c>
      <c r="D962" s="34" t="s">
        <v>1407</v>
      </c>
      <c r="E962" s="199">
        <v>3.7805191306787639E-2</v>
      </c>
      <c r="F962" s="199">
        <v>3.8387178705755011E-2</v>
      </c>
      <c r="G962" s="199">
        <v>3.2491477168098505E-2</v>
      </c>
      <c r="H962" s="199">
        <v>3.5646507956470418E-2</v>
      </c>
      <c r="I962" s="199">
        <v>4.1111023219031373E-2</v>
      </c>
      <c r="J962" s="199">
        <v>3.3685751244421309E-2</v>
      </c>
      <c r="K962" s="199">
        <v>3.5415903617787521E-2</v>
      </c>
      <c r="L962" s="199">
        <v>2.8566872293497754E-2</v>
      </c>
      <c r="M962" s="199">
        <v>3.4588086128074916E-2</v>
      </c>
      <c r="N962" s="199">
        <v>3.0625609565467924E-2</v>
      </c>
    </row>
    <row r="963" spans="1:14">
      <c r="A963" s="16" t="s">
        <v>435</v>
      </c>
      <c r="B963" s="16" t="s">
        <v>420</v>
      </c>
      <c r="C963" s="29">
        <v>1</v>
      </c>
      <c r="D963" s="34" t="s">
        <v>1408</v>
      </c>
      <c r="E963" s="199">
        <v>3.2693070117807144E-2</v>
      </c>
      <c r="F963" s="199">
        <v>3.7814298761220139E-2</v>
      </c>
      <c r="G963" s="199">
        <v>3.2342712723786513E-2</v>
      </c>
      <c r="H963" s="199">
        <v>3.4406358697214486E-2</v>
      </c>
      <c r="I963" s="199">
        <v>3.899066047983589E-2</v>
      </c>
      <c r="J963" s="199">
        <v>3.1296403296322176E-2</v>
      </c>
      <c r="K963" s="199">
        <v>3.5506776520746346E-2</v>
      </c>
      <c r="L963" s="199">
        <v>2.870039815449656E-2</v>
      </c>
      <c r="M963" s="199">
        <v>3.3508212691786748E-2</v>
      </c>
      <c r="N963" s="199">
        <v>3.3356560925928397E-2</v>
      </c>
    </row>
    <row r="964" spans="1:14">
      <c r="C964" s="29">
        <v>2</v>
      </c>
      <c r="D964" s="34" t="s">
        <v>1409</v>
      </c>
      <c r="E964" s="199">
        <v>2.9984175013201782E-2</v>
      </c>
      <c r="F964" s="199">
        <v>3.4506273998653261E-2</v>
      </c>
      <c r="G964" s="199">
        <v>3.1731878420743154E-2</v>
      </c>
      <c r="H964" s="199">
        <v>3.406513927616639E-2</v>
      </c>
      <c r="I964" s="199">
        <v>3.8705211086299068E-2</v>
      </c>
      <c r="J964" s="199">
        <v>3.005749971599617E-2</v>
      </c>
      <c r="K964" s="199">
        <v>3.3741917631205078E-2</v>
      </c>
      <c r="L964" s="199">
        <v>2.786258372233737E-2</v>
      </c>
      <c r="M964" s="199">
        <v>3.4402269245287199E-2</v>
      </c>
      <c r="N964" s="199">
        <v>2.9722205977781833E-2</v>
      </c>
    </row>
    <row r="965" spans="1:14">
      <c r="C965" s="29">
        <v>3</v>
      </c>
      <c r="D965" s="34" t="s">
        <v>1410</v>
      </c>
      <c r="E965" s="199">
        <v>2.8419196093942205E-2</v>
      </c>
      <c r="F965" s="199">
        <v>3.3583646863997126E-2</v>
      </c>
      <c r="G965" s="199">
        <v>3.0920702314008602E-2</v>
      </c>
      <c r="H965" s="199">
        <v>3.2891942392272985E-2</v>
      </c>
      <c r="I965" s="199">
        <v>3.8993269824252601E-2</v>
      </c>
      <c r="J965" s="199">
        <v>2.7606453375778117E-2</v>
      </c>
      <c r="K965" s="199">
        <v>3.3476252012335735E-2</v>
      </c>
      <c r="L965" s="199">
        <v>2.5879429326482309E-2</v>
      </c>
      <c r="M965" s="199">
        <v>3.2830297866198899E-2</v>
      </c>
      <c r="N965" s="199">
        <v>3.0576718342775852E-2</v>
      </c>
    </row>
    <row r="966" spans="1:14">
      <c r="C966" s="29">
        <v>4</v>
      </c>
      <c r="D966" s="34" t="s">
        <v>1411</v>
      </c>
      <c r="E966" s="199">
        <v>2.8228912443433125E-2</v>
      </c>
      <c r="F966" s="199">
        <v>3.3691292285440211E-2</v>
      </c>
      <c r="G966" s="199">
        <v>3.1264219406783186E-2</v>
      </c>
      <c r="H966" s="199">
        <v>3.3178371230632137E-2</v>
      </c>
      <c r="I966" s="199">
        <v>3.9429803480929879E-2</v>
      </c>
      <c r="J966" s="199">
        <v>2.731409450075584E-2</v>
      </c>
      <c r="K966" s="199">
        <v>3.3976927367322711E-2</v>
      </c>
      <c r="L966" s="199">
        <v>2.6699515372470901E-2</v>
      </c>
      <c r="M966" s="199">
        <v>3.3262581322024108E-2</v>
      </c>
      <c r="N966" s="199">
        <v>3.3108690337204053E-2</v>
      </c>
    </row>
    <row r="967" spans="1:14">
      <c r="C967" s="29">
        <v>5</v>
      </c>
      <c r="D967" s="34" t="s">
        <v>1412</v>
      </c>
      <c r="E967" s="199">
        <v>2.9005826300356349E-2</v>
      </c>
      <c r="F967" s="199">
        <v>3.3585850553087639E-2</v>
      </c>
      <c r="G967" s="199">
        <v>3.2443378386939996E-2</v>
      </c>
      <c r="H967" s="199">
        <v>3.3954523241440777E-2</v>
      </c>
      <c r="I967" s="199">
        <v>4.151180261243697E-2</v>
      </c>
      <c r="J967" s="199">
        <v>3.0426794546030252E-2</v>
      </c>
      <c r="K967" s="199">
        <v>3.3153537843130625E-2</v>
      </c>
      <c r="L967" s="199">
        <v>3.1317423184458675E-2</v>
      </c>
      <c r="M967" s="199">
        <v>3.5172295834536044E-2</v>
      </c>
      <c r="N967" s="199">
        <v>4.4545825409765032E-2</v>
      </c>
    </row>
    <row r="968" spans="1:14">
      <c r="C968" s="29">
        <v>6</v>
      </c>
      <c r="D968" s="34" t="s">
        <v>1413</v>
      </c>
      <c r="E968" s="199">
        <v>3.2685878687482572E-2</v>
      </c>
      <c r="F968" s="199">
        <v>2.933996445736935E-2</v>
      </c>
      <c r="G968" s="199">
        <v>3.3828377994451493E-2</v>
      </c>
      <c r="H968" s="199">
        <v>3.4985080633570018E-2</v>
      </c>
      <c r="I968" s="199">
        <v>4.5213141560478162E-2</v>
      </c>
      <c r="J968" s="199">
        <v>3.4030004820316651E-2</v>
      </c>
      <c r="K968" s="199">
        <v>3.0176439330156901E-2</v>
      </c>
      <c r="L968" s="199">
        <v>3.5882846351673929E-2</v>
      </c>
      <c r="M968" s="199">
        <v>4.3959515231920411E-2</v>
      </c>
      <c r="N968" s="199">
        <v>5.8081616922275862E-2</v>
      </c>
    </row>
    <row r="969" spans="1:14">
      <c r="C969" s="29">
        <v>7</v>
      </c>
      <c r="D969" s="34" t="s">
        <v>1414</v>
      </c>
      <c r="E969" s="199">
        <v>3.7769731188972491E-2</v>
      </c>
      <c r="F969" s="199">
        <v>3.12567907158387E-2</v>
      </c>
      <c r="G969" s="199">
        <v>3.8871934920492193E-2</v>
      </c>
      <c r="H969" s="199">
        <v>4.2709747894328347E-2</v>
      </c>
      <c r="I969" s="199">
        <v>4.7559811972574181E-2</v>
      </c>
      <c r="J969" s="199">
        <v>3.995214181568315E-2</v>
      </c>
      <c r="K969" s="199">
        <v>3.1091628217794879E-2</v>
      </c>
      <c r="L969" s="199">
        <v>4.2764383483583419E-2</v>
      </c>
      <c r="M969" s="199">
        <v>4.8374374819592773E-2</v>
      </c>
      <c r="N969" s="199">
        <v>6.9391505183229077E-2</v>
      </c>
    </row>
    <row r="970" spans="1:14">
      <c r="C970" s="29">
        <v>8</v>
      </c>
      <c r="D970" s="34" t="s">
        <v>1415</v>
      </c>
      <c r="E970" s="199">
        <v>4.3982643238542646E-2</v>
      </c>
      <c r="F970" s="199">
        <v>3.6809592192323166E-2</v>
      </c>
      <c r="G970" s="199">
        <v>4.3595205291409096E-2</v>
      </c>
      <c r="H970" s="199">
        <v>4.7223675510966748E-2</v>
      </c>
      <c r="I970" s="199">
        <v>4.662740623433588E-2</v>
      </c>
      <c r="J970" s="199">
        <v>4.11603765749411E-2</v>
      </c>
      <c r="K970" s="199">
        <v>3.7743393825551821E-2</v>
      </c>
      <c r="L970" s="199">
        <v>4.6632472166197966E-2</v>
      </c>
      <c r="M970" s="199">
        <v>5.0932427781601786E-2</v>
      </c>
      <c r="N970" s="199">
        <v>6.1966378940441311E-2</v>
      </c>
    </row>
    <row r="971" spans="1:14">
      <c r="C971" s="29">
        <v>9</v>
      </c>
      <c r="D971" s="34" t="s">
        <v>1416</v>
      </c>
      <c r="E971" s="199">
        <v>4.3665417377574713E-2</v>
      </c>
      <c r="F971" s="199">
        <v>4.6176340734023928E-2</v>
      </c>
      <c r="G971" s="199">
        <v>4.7161278771366215E-2</v>
      </c>
      <c r="H971" s="199">
        <v>4.9463707706902012E-2</v>
      </c>
      <c r="I971" s="199">
        <v>4.4574335390312823E-2</v>
      </c>
      <c r="J971" s="199">
        <v>3.7907336633332928E-2</v>
      </c>
      <c r="K971" s="199">
        <v>4.5466264196716871E-2</v>
      </c>
      <c r="L971" s="199">
        <v>5.2087938453401733E-2</v>
      </c>
      <c r="M971" s="199">
        <v>5.1722056309256824E-2</v>
      </c>
      <c r="N971" s="199">
        <v>5.9680586547207794E-2</v>
      </c>
    </row>
    <row r="972" spans="1:14">
      <c r="C972" s="29">
        <v>10</v>
      </c>
      <c r="D972" s="34" t="s">
        <v>1417</v>
      </c>
      <c r="E972" s="199">
        <v>4.4228737774462464E-2</v>
      </c>
      <c r="F972" s="199">
        <v>4.9918731778844663E-2</v>
      </c>
      <c r="G972" s="199">
        <v>4.8862779511914312E-2</v>
      </c>
      <c r="H972" s="199">
        <v>5.0541409147095186E-2</v>
      </c>
      <c r="I972" s="199">
        <v>4.1626710409158087E-2</v>
      </c>
      <c r="J972" s="199">
        <v>4.2987647618547516E-2</v>
      </c>
      <c r="K972" s="199">
        <v>5.0212512861867738E-2</v>
      </c>
      <c r="L972" s="199">
        <v>5.4199852663100651E-2</v>
      </c>
      <c r="M972" s="199">
        <v>5.1533235867175869E-2</v>
      </c>
      <c r="N972" s="199">
        <v>5.000672872121182E-2</v>
      </c>
    </row>
    <row r="973" spans="1:14">
      <c r="C973" s="29">
        <v>11</v>
      </c>
      <c r="D973" s="34" t="s">
        <v>1418</v>
      </c>
      <c r="E973" s="199">
        <v>4.4169969525540989E-2</v>
      </c>
      <c r="F973" s="199">
        <v>5.2833302226185881E-2</v>
      </c>
      <c r="G973" s="199">
        <v>5.0854110762512846E-2</v>
      </c>
      <c r="H973" s="199">
        <v>5.0020524908730289E-2</v>
      </c>
      <c r="I973" s="199">
        <v>3.9648279701104433E-2</v>
      </c>
      <c r="J973" s="199">
        <v>4.4134443666687437E-2</v>
      </c>
      <c r="K973" s="199">
        <v>5.3679011647608695E-2</v>
      </c>
      <c r="L973" s="199">
        <v>5.3821009444339714E-2</v>
      </c>
      <c r="M973" s="199">
        <v>5.2648985139995996E-2</v>
      </c>
      <c r="N973" s="199">
        <v>4.2974757079072688E-2</v>
      </c>
    </row>
    <row r="974" spans="1:14">
      <c r="C974" s="29">
        <v>12</v>
      </c>
      <c r="D974" s="34" t="s">
        <v>1419</v>
      </c>
      <c r="E974" s="199">
        <v>4.4064461966632065E-2</v>
      </c>
      <c r="F974" s="199">
        <v>5.5147654834069887E-2</v>
      </c>
      <c r="G974" s="199">
        <v>5.0947809920807642E-2</v>
      </c>
      <c r="H974" s="199">
        <v>5.1997125362922947E-2</v>
      </c>
      <c r="I974" s="199">
        <v>3.9464691382205173E-2</v>
      </c>
      <c r="J974" s="199">
        <v>4.4546524365732629E-2</v>
      </c>
      <c r="K974" s="199">
        <v>5.4435732339869571E-2</v>
      </c>
      <c r="L974" s="199">
        <v>5.5650037346138728E-2</v>
      </c>
      <c r="M974" s="199">
        <v>5.1205553905677541E-2</v>
      </c>
      <c r="N974" s="199">
        <v>3.9484981564713043E-2</v>
      </c>
    </row>
    <row r="975" spans="1:14">
      <c r="C975" s="29">
        <v>13</v>
      </c>
      <c r="D975" s="34" t="s">
        <v>1420</v>
      </c>
      <c r="E975" s="199">
        <v>4.5043857975155838E-2</v>
      </c>
      <c r="F975" s="199">
        <v>5.3316548887469173E-2</v>
      </c>
      <c r="G975" s="199">
        <v>5.113773849321341E-2</v>
      </c>
      <c r="H975" s="199">
        <v>5.1359990801161361E-2</v>
      </c>
      <c r="I975" s="199">
        <v>3.9794628487340493E-2</v>
      </c>
      <c r="J975" s="199">
        <v>4.3765890009187396E-2</v>
      </c>
      <c r="K975" s="199">
        <v>5.3660472271122979E-2</v>
      </c>
      <c r="L975" s="199">
        <v>5.582195958345567E-2</v>
      </c>
      <c r="M975" s="199">
        <v>5.118248259764193E-2</v>
      </c>
      <c r="N975" s="199">
        <v>3.8810418456001562E-2</v>
      </c>
    </row>
    <row r="976" spans="1:14">
      <c r="C976" s="29">
        <v>14</v>
      </c>
      <c r="D976" s="34" t="s">
        <v>1421</v>
      </c>
      <c r="E976" s="199">
        <v>4.4936076288488246E-2</v>
      </c>
      <c r="F976" s="199">
        <v>5.3357301166882122E-2</v>
      </c>
      <c r="G976" s="199">
        <v>5.1152229354606789E-2</v>
      </c>
      <c r="H976" s="199">
        <v>5.3004915629401801E-2</v>
      </c>
      <c r="I976" s="199">
        <v>3.7901114222280062E-2</v>
      </c>
      <c r="J976" s="199">
        <v>4.3479584043193208E-2</v>
      </c>
      <c r="K976" s="199">
        <v>5.6146768137919051E-2</v>
      </c>
      <c r="L976" s="199">
        <v>5.6086901962495973E-2</v>
      </c>
      <c r="M976" s="199">
        <v>5.2828698486799733E-2</v>
      </c>
      <c r="N976" s="199">
        <v>3.1991652158228523E-2</v>
      </c>
    </row>
    <row r="977" spans="1:14">
      <c r="C977" s="29">
        <v>15</v>
      </c>
      <c r="D977" s="34" t="s">
        <v>1422</v>
      </c>
      <c r="E977" s="199">
        <v>4.5821160827616725E-2</v>
      </c>
      <c r="F977" s="199">
        <v>5.2792086852688692E-2</v>
      </c>
      <c r="G977" s="199">
        <v>5.0447802150730733E-2</v>
      </c>
      <c r="H977" s="199">
        <v>4.9011354816454425E-2</v>
      </c>
      <c r="I977" s="199">
        <v>4.0433015873834008E-2</v>
      </c>
      <c r="J977" s="199">
        <v>4.3027648475612489E-2</v>
      </c>
      <c r="K977" s="199">
        <v>5.5608649412873939E-2</v>
      </c>
      <c r="L977" s="199">
        <v>5.519343710231954E-2</v>
      </c>
      <c r="M977" s="199">
        <v>5.2022850656127183E-2</v>
      </c>
      <c r="N977" s="199">
        <v>2.7070173868746952E-2</v>
      </c>
    </row>
    <row r="978" spans="1:14">
      <c r="C978" s="29">
        <v>16</v>
      </c>
      <c r="D978" s="34" t="s">
        <v>1423</v>
      </c>
      <c r="E978" s="199">
        <v>4.4787589709789327E-2</v>
      </c>
      <c r="F978" s="199">
        <v>5.0063233101888496E-2</v>
      </c>
      <c r="G978" s="199">
        <v>4.8150847874777705E-2</v>
      </c>
      <c r="H978" s="199">
        <v>4.309563917555409E-2</v>
      </c>
      <c r="I978" s="199">
        <v>3.8813160631242294E-2</v>
      </c>
      <c r="J978" s="199">
        <v>4.8657089699350328E-2</v>
      </c>
      <c r="K978" s="199">
        <v>5.3790668618546082E-2</v>
      </c>
      <c r="L978" s="199">
        <v>5.0697728523579066E-2</v>
      </c>
      <c r="M978" s="199">
        <v>4.4685654295357147E-2</v>
      </c>
      <c r="N978" s="199">
        <v>2.8754397448299818E-2</v>
      </c>
    </row>
    <row r="979" spans="1:14">
      <c r="C979" s="29">
        <v>17</v>
      </c>
      <c r="D979" s="34" t="s">
        <v>1424</v>
      </c>
      <c r="E979" s="199">
        <v>4.5963283838289182E-2</v>
      </c>
      <c r="F979" s="199">
        <v>4.8362799530850563E-2</v>
      </c>
      <c r="G979" s="199">
        <v>4.8421844249671567E-2</v>
      </c>
      <c r="H979" s="199">
        <v>4.3335671371489352E-2</v>
      </c>
      <c r="I979" s="199">
        <v>4.0026956782813629E-2</v>
      </c>
      <c r="J979" s="199">
        <v>5.0047439534133986E-2</v>
      </c>
      <c r="K979" s="199">
        <v>5.2456674935621249E-2</v>
      </c>
      <c r="L979" s="199">
        <v>4.7536377375373057E-2</v>
      </c>
      <c r="M979" s="199">
        <v>3.8710705919577225E-2</v>
      </c>
      <c r="N979" s="199">
        <v>2.9731929156077443E-2</v>
      </c>
    </row>
    <row r="980" spans="1:14">
      <c r="C980" s="29">
        <v>18</v>
      </c>
      <c r="D980" s="34" t="s">
        <v>1425</v>
      </c>
      <c r="E980" s="199">
        <v>4.9736321120284803E-2</v>
      </c>
      <c r="F980" s="199">
        <v>4.0848091982110389E-2</v>
      </c>
      <c r="G980" s="199">
        <v>4.6719792298538836E-2</v>
      </c>
      <c r="H980" s="199">
        <v>4.1972460976801684E-2</v>
      </c>
      <c r="I980" s="199">
        <v>3.9772561809248548E-2</v>
      </c>
      <c r="J980" s="199">
        <v>5.4790258728957382E-2</v>
      </c>
      <c r="K980" s="199">
        <v>4.2815413833942495E-2</v>
      </c>
      <c r="L980" s="199">
        <v>4.3978831821941268E-2</v>
      </c>
      <c r="M980" s="199">
        <v>3.7163887470302193E-2</v>
      </c>
      <c r="N980" s="199">
        <v>2.9093863194881379E-2</v>
      </c>
    </row>
    <row r="981" spans="1:14">
      <c r="C981" s="29">
        <v>19</v>
      </c>
      <c r="D981" s="34" t="s">
        <v>1426</v>
      </c>
      <c r="E981" s="199">
        <v>4.9787184780395982E-2</v>
      </c>
      <c r="F981" s="199">
        <v>3.575779374568764E-2</v>
      </c>
      <c r="G981" s="199">
        <v>4.540854865190494E-2</v>
      </c>
      <c r="H981" s="199">
        <v>4.0484031391036894E-2</v>
      </c>
      <c r="I981" s="199">
        <v>4.1623005784368929E-2</v>
      </c>
      <c r="J981" s="199">
        <v>5.8853063353676349E-2</v>
      </c>
      <c r="K981" s="199">
        <v>3.3457965063063894E-2</v>
      </c>
      <c r="L981" s="199">
        <v>4.0869695890146517E-2</v>
      </c>
      <c r="M981" s="199">
        <v>3.5694869634966798E-2</v>
      </c>
      <c r="N981" s="199">
        <v>3.3187744004216195E-2</v>
      </c>
    </row>
    <row r="982" spans="1:14">
      <c r="C982" s="29">
        <v>20</v>
      </c>
      <c r="D982" s="34" t="s">
        <v>1427</v>
      </c>
      <c r="E982" s="199">
        <v>5.0982468325202999E-2</v>
      </c>
      <c r="F982" s="199">
        <v>3.4775986380818177E-2</v>
      </c>
      <c r="G982" s="199">
        <v>4.1178903962247791E-2</v>
      </c>
      <c r="H982" s="199">
        <v>3.9021243567999547E-2</v>
      </c>
      <c r="I982" s="199">
        <v>4.1335462472473029E-2</v>
      </c>
      <c r="J982" s="199">
        <v>5.5028994894129796E-2</v>
      </c>
      <c r="K982" s="199">
        <v>3.3837419260454457E-2</v>
      </c>
      <c r="L982" s="199">
        <v>3.9009225698589015E-2</v>
      </c>
      <c r="M982" s="199">
        <v>3.4256989392055417E-2</v>
      </c>
      <c r="N982" s="199">
        <v>3.3261724708639327E-2</v>
      </c>
    </row>
    <row r="983" spans="1:14">
      <c r="C983" s="29">
        <v>21</v>
      </c>
      <c r="D983" s="34" t="s">
        <v>1428</v>
      </c>
      <c r="E983" s="199">
        <v>4.9704353666484166E-2</v>
      </c>
      <c r="F983" s="199">
        <v>3.6103054338629474E-2</v>
      </c>
      <c r="G983" s="199">
        <v>3.9870330034349054E-2</v>
      </c>
      <c r="H983" s="199">
        <v>3.769695575933539E-2</v>
      </c>
      <c r="I983" s="199">
        <v>4.2907028736291285E-2</v>
      </c>
      <c r="J983" s="199">
        <v>4.9728420907659658E-2</v>
      </c>
      <c r="K983" s="199">
        <v>3.5710569424748116E-2</v>
      </c>
      <c r="L983" s="199">
        <v>3.6289252091791277E-2</v>
      </c>
      <c r="M983" s="199">
        <v>3.3877527088838059E-2</v>
      </c>
      <c r="N983" s="199">
        <v>5.4456280574287544E-2</v>
      </c>
    </row>
    <row r="984" spans="1:14">
      <c r="C984" s="29">
        <v>22</v>
      </c>
      <c r="D984" s="34" t="s">
        <v>1429</v>
      </c>
      <c r="E984" s="199">
        <v>4.9503856389550176E-2</v>
      </c>
      <c r="F984" s="199">
        <v>4.1483409159400561E-2</v>
      </c>
      <c r="G984" s="199">
        <v>3.8776183664960655E-2</v>
      </c>
      <c r="H984" s="199">
        <v>3.7886969270129647E-2</v>
      </c>
      <c r="I984" s="199">
        <v>4.3296884120625156E-2</v>
      </c>
      <c r="J984" s="199">
        <v>4.5837849058012387E-2</v>
      </c>
      <c r="K984" s="199">
        <v>3.8201605313671387E-2</v>
      </c>
      <c r="L984" s="199">
        <v>3.4501581443444937E-2</v>
      </c>
      <c r="M984" s="199">
        <v>3.4239035404223191E-2</v>
      </c>
      <c r="N984" s="199">
        <v>5.2262928832676074E-2</v>
      </c>
    </row>
    <row r="985" spans="1:14">
      <c r="C985" s="29">
        <v>23</v>
      </c>
      <c r="D985" s="34" t="s">
        <v>1430</v>
      </c>
      <c r="E985" s="199">
        <v>4.6258376850588291E-2</v>
      </c>
      <c r="F985" s="199">
        <v>4.0435235621631309E-2</v>
      </c>
      <c r="G985" s="199">
        <v>3.4952515532516583E-2</v>
      </c>
      <c r="H985" s="199">
        <v>3.5415413804007249E-2</v>
      </c>
      <c r="I985" s="199">
        <v>4.6153536402609607E-2</v>
      </c>
      <c r="J985" s="199">
        <v>3.9707745787523452E-2</v>
      </c>
      <c r="K985" s="199">
        <v>3.6949117573359981E-2</v>
      </c>
      <c r="L985" s="199">
        <v>3.1249877494291999E-2</v>
      </c>
      <c r="M985" s="199">
        <v>3.2922236161378418E-2</v>
      </c>
      <c r="N985" s="199">
        <v>4.1835454230956484E-2</v>
      </c>
    </row>
    <row r="986" spans="1:14">
      <c r="C986" s="29">
        <v>24</v>
      </c>
      <c r="D986" s="34" t="s">
        <v>1431</v>
      </c>
      <c r="E986" s="199">
        <v>3.8577450500205619E-2</v>
      </c>
      <c r="F986" s="199">
        <v>3.8040719830889545E-2</v>
      </c>
      <c r="G986" s="199">
        <v>3.0958875307266695E-2</v>
      </c>
      <c r="H986" s="199">
        <v>3.2277747434386411E-2</v>
      </c>
      <c r="I986" s="199">
        <v>4.5597520542949799E-2</v>
      </c>
      <c r="J986" s="199">
        <v>3.5656294578439704E-2</v>
      </c>
      <c r="K986" s="199">
        <v>3.4704282360369473E-2</v>
      </c>
      <c r="L986" s="199">
        <v>2.7267241343889814E-2</v>
      </c>
      <c r="M986" s="199">
        <v>3.2863256877678354E-2</v>
      </c>
      <c r="N986" s="199">
        <v>4.664687741538192E-2</v>
      </c>
    </row>
    <row r="987" spans="1:14">
      <c r="A987" s="16" t="s">
        <v>435</v>
      </c>
      <c r="B987" s="16" t="s">
        <v>424</v>
      </c>
      <c r="C987" s="29">
        <v>1</v>
      </c>
      <c r="D987" s="34" t="s">
        <v>1432</v>
      </c>
      <c r="E987" s="199">
        <v>3.2267114850044167E-2</v>
      </c>
      <c r="F987" s="199">
        <v>4.3954461197767983E-2</v>
      </c>
      <c r="G987" s="199">
        <v>3.6109613941742759E-2</v>
      </c>
      <c r="H987" s="199">
        <v>4.1404284683447111E-2</v>
      </c>
      <c r="I987" s="199">
        <v>4.3412840674021326E-2</v>
      </c>
      <c r="J987" s="199">
        <v>2.9223287903281044E-2</v>
      </c>
      <c r="K987" s="199">
        <v>4.1123838914697897E-2</v>
      </c>
      <c r="L987" s="199">
        <v>3.4174969286580058E-2</v>
      </c>
      <c r="M987" s="199">
        <v>3.8295743823375826E-2</v>
      </c>
      <c r="N987" s="199">
        <v>3.5150451794017011E-2</v>
      </c>
    </row>
    <row r="988" spans="1:14">
      <c r="C988" s="29">
        <v>2</v>
      </c>
      <c r="D988" s="34" t="s">
        <v>1433</v>
      </c>
      <c r="E988" s="199">
        <v>2.8585845653192325E-2</v>
      </c>
      <c r="F988" s="199">
        <v>4.1650524678993661E-2</v>
      </c>
      <c r="G988" s="199">
        <v>3.5608603237333648E-2</v>
      </c>
      <c r="H988" s="199">
        <v>4.0426821812170603E-2</v>
      </c>
      <c r="I988" s="199">
        <v>4.3222123987197186E-2</v>
      </c>
      <c r="J988" s="199">
        <v>2.7070539504756314E-2</v>
      </c>
      <c r="K988" s="199">
        <v>3.8786549936529427E-2</v>
      </c>
      <c r="L988" s="199">
        <v>3.3704645850971097E-2</v>
      </c>
      <c r="M988" s="199">
        <v>3.9352408517627779E-2</v>
      </c>
      <c r="N988" s="199">
        <v>3.1607544521449239E-2</v>
      </c>
    </row>
    <row r="989" spans="1:14">
      <c r="C989" s="29">
        <v>3</v>
      </c>
      <c r="D989" s="34" t="s">
        <v>1434</v>
      </c>
      <c r="E989" s="199">
        <v>2.7345047145422907E-2</v>
      </c>
      <c r="F989" s="199">
        <v>4.0534491817235008E-2</v>
      </c>
      <c r="G989" s="199">
        <v>3.4810711704738373E-2</v>
      </c>
      <c r="H989" s="199">
        <v>3.9238431099519328E-2</v>
      </c>
      <c r="I989" s="199">
        <v>4.2923902194897987E-2</v>
      </c>
      <c r="J989" s="199">
        <v>2.456518110016195E-2</v>
      </c>
      <c r="K989" s="199">
        <v>3.8444520620880288E-2</v>
      </c>
      <c r="L989" s="199">
        <v>3.2401822521080828E-2</v>
      </c>
      <c r="M989" s="199">
        <v>3.7515796736705291E-2</v>
      </c>
      <c r="N989" s="199">
        <v>3.8372067725239052E-2</v>
      </c>
    </row>
    <row r="990" spans="1:14">
      <c r="C990" s="29">
        <v>4</v>
      </c>
      <c r="D990" s="34" t="s">
        <v>1435</v>
      </c>
      <c r="E990" s="199">
        <v>2.7352829132944002E-2</v>
      </c>
      <c r="F990" s="199">
        <v>4.0172320891659362E-2</v>
      </c>
      <c r="G990" s="199">
        <v>3.487604850403335E-2</v>
      </c>
      <c r="H990" s="199">
        <v>3.8517078171044147E-2</v>
      </c>
      <c r="I990" s="199">
        <v>4.4577395833767054E-2</v>
      </c>
      <c r="J990" s="199">
        <v>2.4071616586589867E-2</v>
      </c>
      <c r="K990" s="199">
        <v>3.8772553596921312E-2</v>
      </c>
      <c r="L990" s="199">
        <v>3.2152463445484163E-2</v>
      </c>
      <c r="M990" s="199">
        <v>3.8174429573952562E-2</v>
      </c>
      <c r="N990" s="199">
        <v>3.4486674269672772E-2</v>
      </c>
    </row>
    <row r="991" spans="1:14">
      <c r="C991" s="29">
        <v>5</v>
      </c>
      <c r="D991" s="34" t="s">
        <v>1436</v>
      </c>
      <c r="E991" s="199">
        <v>2.8210433709619516E-2</v>
      </c>
      <c r="F991" s="199">
        <v>3.9794637450812145E-2</v>
      </c>
      <c r="G991" s="199">
        <v>3.5484096632554703E-2</v>
      </c>
      <c r="H991" s="199">
        <v>3.8959925192798443E-2</v>
      </c>
      <c r="I991" s="199">
        <v>4.4675102133763467E-2</v>
      </c>
      <c r="J991" s="199">
        <v>2.5905388420776082E-2</v>
      </c>
      <c r="K991" s="199">
        <v>3.9057134753798906E-2</v>
      </c>
      <c r="L991" s="199">
        <v>3.4829452251214442E-2</v>
      </c>
      <c r="M991" s="199">
        <v>3.9664387352296E-2</v>
      </c>
      <c r="N991" s="199">
        <v>3.9797315553995953E-2</v>
      </c>
    </row>
    <row r="992" spans="1:14">
      <c r="C992" s="29">
        <v>6</v>
      </c>
      <c r="D992" s="34" t="s">
        <v>1437</v>
      </c>
      <c r="E992" s="199">
        <v>2.9295695898446827E-2</v>
      </c>
      <c r="F992" s="199">
        <v>3.40237695338792E-2</v>
      </c>
      <c r="G992" s="199">
        <v>3.4852205969402382E-2</v>
      </c>
      <c r="H992" s="199">
        <v>3.8234904632601249E-2</v>
      </c>
      <c r="I992" s="199">
        <v>4.5963879849864768E-2</v>
      </c>
      <c r="J992" s="199">
        <v>2.858537640015071E-2</v>
      </c>
      <c r="K992" s="199">
        <v>3.3589818750061715E-2</v>
      </c>
      <c r="L992" s="199">
        <v>3.4930441323090179E-2</v>
      </c>
      <c r="M992" s="199">
        <v>4.4196382959977819E-2</v>
      </c>
      <c r="N992" s="199">
        <v>6.306616369857003E-2</v>
      </c>
    </row>
    <row r="993" spans="3:14">
      <c r="C993" s="29">
        <v>7</v>
      </c>
      <c r="D993" s="34" t="s">
        <v>1438</v>
      </c>
      <c r="E993" s="199">
        <v>3.2973906478684381E-2</v>
      </c>
      <c r="F993" s="199">
        <v>3.275122233893267E-2</v>
      </c>
      <c r="G993" s="199">
        <v>3.8005198624981029E-2</v>
      </c>
      <c r="H993" s="199">
        <v>4.1399602600397725E-2</v>
      </c>
      <c r="I993" s="199">
        <v>5.1000090192838923E-2</v>
      </c>
      <c r="J993" s="199">
        <v>3.1282909547458083E-2</v>
      </c>
      <c r="K993" s="199">
        <v>3.2614496623973178E-2</v>
      </c>
      <c r="L993" s="199">
        <v>4.0756976042660979E-2</v>
      </c>
      <c r="M993" s="199">
        <v>4.5952802310323421E-2</v>
      </c>
      <c r="N993" s="199">
        <v>6.5685902272129115E-2</v>
      </c>
    </row>
    <row r="994" spans="3:14">
      <c r="C994" s="29">
        <v>8</v>
      </c>
      <c r="D994" s="34" t="s">
        <v>1439</v>
      </c>
      <c r="E994" s="199">
        <v>3.7564604348855363E-2</v>
      </c>
      <c r="F994" s="199">
        <v>3.2983736420447343E-2</v>
      </c>
      <c r="G994" s="199">
        <v>3.9858154062712349E-2</v>
      </c>
      <c r="H994" s="199">
        <v>4.3058152485924692E-2</v>
      </c>
      <c r="I994" s="199">
        <v>4.973823571223808E-2</v>
      </c>
      <c r="J994" s="199">
        <v>3.9730158647237987E-2</v>
      </c>
      <c r="K994" s="199">
        <v>3.348891877212673E-2</v>
      </c>
      <c r="L994" s="199">
        <v>4.2059494780846522E-2</v>
      </c>
      <c r="M994" s="199">
        <v>4.487591857450092E-2</v>
      </c>
      <c r="N994" s="199">
        <v>4.7323870514957442E-2</v>
      </c>
    </row>
    <row r="995" spans="3:14">
      <c r="C995" s="29">
        <v>9</v>
      </c>
      <c r="D995" s="34" t="s">
        <v>1440</v>
      </c>
      <c r="E995" s="199">
        <v>4.2133497878041618E-2</v>
      </c>
      <c r="F995" s="199">
        <v>3.701521532712141E-2</v>
      </c>
      <c r="G995" s="199">
        <v>4.2006974401721436E-2</v>
      </c>
      <c r="H995" s="199">
        <v>4.3657381081528418E-2</v>
      </c>
      <c r="I995" s="199">
        <v>4.6578480965382064E-2</v>
      </c>
      <c r="J995" s="199">
        <v>4.3711434061065133E-2</v>
      </c>
      <c r="K995" s="199">
        <v>4.1219286636823553E-2</v>
      </c>
      <c r="L995" s="199">
        <v>4.589728257326111E-2</v>
      </c>
      <c r="M995" s="199">
        <v>4.5802380455160906E-2</v>
      </c>
      <c r="N995" s="199">
        <v>5.0224896920782518E-2</v>
      </c>
    </row>
    <row r="996" spans="3:14">
      <c r="C996" s="29">
        <v>10</v>
      </c>
      <c r="D996" s="34" t="s">
        <v>1441</v>
      </c>
      <c r="E996" s="199">
        <v>4.7357078196636676E-2</v>
      </c>
      <c r="F996" s="199">
        <v>3.8633070340246364E-2</v>
      </c>
      <c r="G996" s="199">
        <v>4.3848373670869974E-2</v>
      </c>
      <c r="H996" s="199">
        <v>4.3960780063128535E-2</v>
      </c>
      <c r="I996" s="199">
        <v>4.5228343317209978E-2</v>
      </c>
      <c r="J996" s="199">
        <v>4.7135291372687106E-2</v>
      </c>
      <c r="K996" s="199">
        <v>4.5414199063787845E-2</v>
      </c>
      <c r="L996" s="199">
        <v>4.6557129736250827E-2</v>
      </c>
      <c r="M996" s="199">
        <v>4.6501353699019934E-2</v>
      </c>
      <c r="N996" s="199">
        <v>4.591251864198613E-2</v>
      </c>
    </row>
    <row r="997" spans="3:14">
      <c r="C997" s="29">
        <v>11</v>
      </c>
      <c r="D997" s="34" t="s">
        <v>1442</v>
      </c>
      <c r="E997" s="199">
        <v>4.7310563582618217E-2</v>
      </c>
      <c r="F997" s="199">
        <v>4.1097804498664146E-2</v>
      </c>
      <c r="G997" s="199">
        <v>4.4945066768462556E-2</v>
      </c>
      <c r="H997" s="199">
        <v>4.3936667335424208E-2</v>
      </c>
      <c r="I997" s="199">
        <v>4.3444334598339289E-2</v>
      </c>
      <c r="J997" s="199">
        <v>4.8185233349796922E-2</v>
      </c>
      <c r="K997" s="199">
        <v>5.2376064823066157E-2</v>
      </c>
      <c r="L997" s="199">
        <v>4.7365820712279912E-2</v>
      </c>
      <c r="M997" s="199">
        <v>4.4966855423303705E-2</v>
      </c>
      <c r="N997" s="199">
        <v>4.4599140275462752E-2</v>
      </c>
    </row>
    <row r="998" spans="3:14">
      <c r="C998" s="29">
        <v>12</v>
      </c>
      <c r="D998" s="34" t="s">
        <v>1443</v>
      </c>
      <c r="E998" s="199">
        <v>4.8549313162027652E-2</v>
      </c>
      <c r="F998" s="199">
        <v>4.3223038385043731E-2</v>
      </c>
      <c r="G998" s="199">
        <v>4.6331926052331232E-2</v>
      </c>
      <c r="H998" s="199">
        <v>4.5865607517053132E-2</v>
      </c>
      <c r="I998" s="199">
        <v>4.2894286635847489E-2</v>
      </c>
      <c r="J998" s="199">
        <v>4.8014152352872576E-2</v>
      </c>
      <c r="K998" s="199">
        <v>5.1085409487516886E-2</v>
      </c>
      <c r="L998" s="199">
        <v>4.8871874396263275E-2</v>
      </c>
      <c r="M998" s="199">
        <v>4.6766252446552865E-2</v>
      </c>
      <c r="N998" s="199">
        <v>3.7004930257040089E-2</v>
      </c>
    </row>
    <row r="999" spans="3:14">
      <c r="C999" s="29">
        <v>13</v>
      </c>
      <c r="D999" s="34" t="s">
        <v>1444</v>
      </c>
      <c r="E999" s="199">
        <v>4.8754289728271456E-2</v>
      </c>
      <c r="F999" s="199">
        <v>4.293337496244147E-2</v>
      </c>
      <c r="G999" s="199">
        <v>4.574137091526348E-2</v>
      </c>
      <c r="H999" s="199">
        <v>4.4966101328548877E-2</v>
      </c>
      <c r="I999" s="199">
        <v>4.2573743602953164E-2</v>
      </c>
      <c r="J999" s="199">
        <v>4.8598845594550903E-2</v>
      </c>
      <c r="K999" s="199">
        <v>4.7479673142583508E-2</v>
      </c>
      <c r="L999" s="199">
        <v>4.9401863962474431E-2</v>
      </c>
      <c r="M999" s="199">
        <v>4.8283852682695645E-2</v>
      </c>
      <c r="N999" s="199">
        <v>3.6550995701377313E-2</v>
      </c>
    </row>
    <row r="1000" spans="3:14">
      <c r="C1000" s="29">
        <v>14</v>
      </c>
      <c r="D1000" s="34" t="s">
        <v>1445</v>
      </c>
      <c r="E1000" s="199">
        <v>4.5675183830369601E-2</v>
      </c>
      <c r="F1000" s="199">
        <v>4.3199480199538016E-2</v>
      </c>
      <c r="G1000" s="199">
        <v>4.7284167042639005E-2</v>
      </c>
      <c r="H1000" s="199">
        <v>4.6417312969705603E-2</v>
      </c>
      <c r="I1000" s="199">
        <v>4.2933387939498739E-2</v>
      </c>
      <c r="J1000" s="199">
        <v>4.9456789737521163E-2</v>
      </c>
      <c r="K1000" s="199">
        <v>4.7648194390739175E-2</v>
      </c>
      <c r="L1000" s="199">
        <v>5.0440200162100317E-2</v>
      </c>
      <c r="M1000" s="199">
        <v>4.7533892290528283E-2</v>
      </c>
      <c r="N1000" s="199">
        <v>3.6395192560750939E-2</v>
      </c>
    </row>
    <row r="1001" spans="3:14">
      <c r="C1001" s="29">
        <v>15</v>
      </c>
      <c r="D1001" s="34" t="s">
        <v>1446</v>
      </c>
      <c r="E1001" s="199">
        <v>4.7382694726445039E-2</v>
      </c>
      <c r="F1001" s="199">
        <v>4.2718785167851291E-2</v>
      </c>
      <c r="G1001" s="199">
        <v>4.6684349509461286E-2</v>
      </c>
      <c r="H1001" s="199">
        <v>4.4604254343548949E-2</v>
      </c>
      <c r="I1001" s="199">
        <v>4.0536938225168351E-2</v>
      </c>
      <c r="J1001" s="199">
        <v>4.8004224659985363E-2</v>
      </c>
      <c r="K1001" s="199">
        <v>4.7122217932449417E-2</v>
      </c>
      <c r="L1001" s="199">
        <v>4.9930381335446104E-2</v>
      </c>
      <c r="M1001" s="199">
        <v>4.7634889821851684E-2</v>
      </c>
      <c r="N1001" s="199">
        <v>3.9792683568734097E-2</v>
      </c>
    </row>
    <row r="1002" spans="3:14">
      <c r="C1002" s="29">
        <v>16</v>
      </c>
      <c r="D1002" s="34" t="s">
        <v>1447</v>
      </c>
      <c r="E1002" s="199">
        <v>4.6486638265859928E-2</v>
      </c>
      <c r="F1002" s="199">
        <v>4.3885426645974814E-2</v>
      </c>
      <c r="G1002" s="199">
        <v>4.6942728295205766E-2</v>
      </c>
      <c r="H1002" s="199">
        <v>4.338496188277173E-2</v>
      </c>
      <c r="I1002" s="199">
        <v>3.9381680973496612E-2</v>
      </c>
      <c r="J1002" s="199">
        <v>4.9543017057503837E-2</v>
      </c>
      <c r="K1002" s="199">
        <v>4.5818929321244359E-2</v>
      </c>
      <c r="L1002" s="199">
        <v>4.9075003219788131E-2</v>
      </c>
      <c r="M1002" s="199">
        <v>4.5042066350884959E-2</v>
      </c>
      <c r="N1002" s="199">
        <v>4.066770769365733E-2</v>
      </c>
    </row>
    <row r="1003" spans="3:14">
      <c r="C1003" s="29">
        <v>17</v>
      </c>
      <c r="D1003" s="34" t="s">
        <v>1448</v>
      </c>
      <c r="E1003" s="199">
        <v>4.7127810008586526E-2</v>
      </c>
      <c r="F1003" s="199">
        <v>4.4411057807098739E-2</v>
      </c>
      <c r="G1003" s="199">
        <v>4.7076156008148885E-2</v>
      </c>
      <c r="H1003" s="199">
        <v>4.2312140586722759E-2</v>
      </c>
      <c r="I1003" s="199">
        <v>3.5129030701848994E-2</v>
      </c>
      <c r="J1003" s="199">
        <v>5.6143746499421603E-2</v>
      </c>
      <c r="K1003" s="199">
        <v>4.3383466493045572E-2</v>
      </c>
      <c r="L1003" s="199">
        <v>4.803392569481979E-2</v>
      </c>
      <c r="M1003" s="199">
        <v>3.9498239575911955E-2</v>
      </c>
      <c r="N1003" s="199">
        <v>3.4738345468900776E-2</v>
      </c>
    </row>
    <row r="1004" spans="3:14">
      <c r="C1004" s="29">
        <v>18</v>
      </c>
      <c r="D1004" s="34" t="s">
        <v>1449</v>
      </c>
      <c r="E1004" s="199">
        <v>4.987462011402926E-2</v>
      </c>
      <c r="F1004" s="199">
        <v>4.3399946659328698E-2</v>
      </c>
      <c r="G1004" s="199">
        <v>4.6491204342935154E-2</v>
      </c>
      <c r="H1004" s="199">
        <v>4.1644553578598018E-2</v>
      </c>
      <c r="I1004" s="199">
        <v>3.3688543684311414E-2</v>
      </c>
      <c r="J1004" s="199">
        <v>5.4952693919009213E-2</v>
      </c>
      <c r="K1004" s="199">
        <v>3.9364289579545637E-2</v>
      </c>
      <c r="L1004" s="199">
        <v>4.6384646222572976E-2</v>
      </c>
      <c r="M1004" s="199">
        <v>3.8210960595920607E-2</v>
      </c>
      <c r="N1004" s="199">
        <v>3.5230178085796995E-2</v>
      </c>
    </row>
    <row r="1005" spans="3:14">
      <c r="C1005" s="29">
        <v>19</v>
      </c>
      <c r="D1005" s="34" t="s">
        <v>1450</v>
      </c>
      <c r="E1005" s="199">
        <v>5.3886604079293222E-2</v>
      </c>
      <c r="F1005" s="199">
        <v>4.0461637019143612E-2</v>
      </c>
      <c r="G1005" s="199">
        <v>4.5829621628499725E-2</v>
      </c>
      <c r="H1005" s="199">
        <v>4.0612544439796186E-2</v>
      </c>
      <c r="I1005" s="199">
        <v>3.5296299128917498E-2</v>
      </c>
      <c r="J1005" s="199">
        <v>4.9127448412055109E-2</v>
      </c>
      <c r="K1005" s="199">
        <v>3.5517623369671625E-2</v>
      </c>
      <c r="L1005" s="199">
        <v>4.4574914608984703E-2</v>
      </c>
      <c r="M1005" s="199">
        <v>3.7681260777384061E-2</v>
      </c>
      <c r="N1005" s="199">
        <v>4.2387998947276066E-2</v>
      </c>
    </row>
    <row r="1006" spans="3:14">
      <c r="C1006" s="29">
        <v>20</v>
      </c>
      <c r="D1006" s="34" t="s">
        <v>1451</v>
      </c>
      <c r="E1006" s="199">
        <v>5.2410686116907169E-2</v>
      </c>
      <c r="F1006" s="199">
        <v>4.0945592766105078E-2</v>
      </c>
      <c r="G1006" s="199">
        <v>4.3919266320445127E-2</v>
      </c>
      <c r="H1006" s="199">
        <v>4.0335521192707599E-2</v>
      </c>
      <c r="I1006" s="199">
        <v>3.5555576148004413E-2</v>
      </c>
      <c r="J1006" s="199">
        <v>4.9890184523342845E-2</v>
      </c>
      <c r="K1006" s="199">
        <v>3.6937038380523111E-2</v>
      </c>
      <c r="L1006" s="199">
        <v>4.3318439983495861E-2</v>
      </c>
      <c r="M1006" s="199">
        <v>3.7540313545566202E-2</v>
      </c>
      <c r="N1006" s="199">
        <v>4.0337152381787866E-2</v>
      </c>
    </row>
    <row r="1007" spans="3:14">
      <c r="C1007" s="29">
        <v>21</v>
      </c>
      <c r="D1007" s="34" t="s">
        <v>1452</v>
      </c>
      <c r="E1007" s="199">
        <v>4.9371588500419124E-2</v>
      </c>
      <c r="F1007" s="199">
        <v>4.3841763931970354E-2</v>
      </c>
      <c r="G1007" s="199">
        <v>4.2636698283264489E-2</v>
      </c>
      <c r="H1007" s="199">
        <v>3.9621893701263913E-2</v>
      </c>
      <c r="I1007" s="199">
        <v>3.7111739159930567E-2</v>
      </c>
      <c r="J1007" s="199">
        <v>5.0323350368657691E-2</v>
      </c>
      <c r="K1007" s="199">
        <v>3.8755565165710514E-2</v>
      </c>
      <c r="L1007" s="199">
        <v>3.8908324377914166E-2</v>
      </c>
      <c r="M1007" s="199">
        <v>3.610192897470705E-2</v>
      </c>
      <c r="N1007" s="199">
        <v>4.591813316957627E-2</v>
      </c>
    </row>
    <row r="1008" spans="3:14">
      <c r="C1008" s="29">
        <v>22</v>
      </c>
      <c r="D1008" s="34" t="s">
        <v>1453</v>
      </c>
      <c r="E1008" s="199">
        <v>4.8147614846682646E-2</v>
      </c>
      <c r="F1008" s="199">
        <v>5.0988692283193152E-2</v>
      </c>
      <c r="G1008" s="199">
        <v>4.2684859568264719E-2</v>
      </c>
      <c r="H1008" s="199">
        <v>4.009673495718899E-2</v>
      </c>
      <c r="I1008" s="199">
        <v>3.720171285624254E-2</v>
      </c>
      <c r="J1008" s="199">
        <v>4.9675500766253468E-2</v>
      </c>
      <c r="K1008" s="199">
        <v>4.4495693432688062E-2</v>
      </c>
      <c r="L1008" s="199">
        <v>3.8858219042487881E-2</v>
      </c>
      <c r="M1008" s="199">
        <v>3.6356278657072749E-2</v>
      </c>
      <c r="N1008" s="199">
        <v>3.8899271865953149E-2</v>
      </c>
    </row>
    <row r="1009" spans="1:14">
      <c r="C1009" s="29">
        <v>23</v>
      </c>
      <c r="D1009" s="34" t="s">
        <v>1454</v>
      </c>
      <c r="E1009" s="199">
        <v>4.4408384618724352E-2</v>
      </c>
      <c r="F1009" s="199">
        <v>4.9413400216198916E-2</v>
      </c>
      <c r="G1009" s="199">
        <v>4.0567151990824661E-2</v>
      </c>
      <c r="H1009" s="199">
        <v>3.9322318420820797E-2</v>
      </c>
      <c r="I1009" s="199">
        <v>3.8397699328130662E-2</v>
      </c>
      <c r="J1009" s="199">
        <v>4.2166730835915697E-2</v>
      </c>
      <c r="K1009" s="199">
        <v>4.473662329762871E-2</v>
      </c>
      <c r="L1009" s="199">
        <v>3.5339271077868648E-2</v>
      </c>
      <c r="M1009" s="199">
        <v>3.6847005540408095E-2</v>
      </c>
      <c r="N1009" s="199">
        <v>4.0184437231336072E-2</v>
      </c>
    </row>
    <row r="1010" spans="1:14">
      <c r="C1010" s="29">
        <v>24</v>
      </c>
      <c r="D1010" s="34" t="s">
        <v>1455</v>
      </c>
      <c r="E1010" s="199">
        <v>3.752795512787787E-2</v>
      </c>
      <c r="F1010" s="199">
        <v>4.7966549460352573E-2</v>
      </c>
      <c r="G1010" s="199">
        <v>3.7405452524164065E-2</v>
      </c>
      <c r="H1010" s="199">
        <v>3.8022025923289231E-2</v>
      </c>
      <c r="I1010" s="199">
        <v>3.853463215612947E-2</v>
      </c>
      <c r="J1010" s="199">
        <v>3.4636898378949274E-2</v>
      </c>
      <c r="K1010" s="199">
        <v>4.2767893513986521E-2</v>
      </c>
      <c r="L1010" s="199">
        <v>3.2032437392063483E-2</v>
      </c>
      <c r="M1010" s="199">
        <v>3.720459931427169E-2</v>
      </c>
      <c r="N1010" s="199">
        <v>3.5666426879550829E-2</v>
      </c>
    </row>
    <row r="1011" spans="1:14">
      <c r="A1011" s="16" t="s">
        <v>436</v>
      </c>
      <c r="B1011" s="16" t="s">
        <v>423</v>
      </c>
      <c r="C1011" s="29">
        <v>1</v>
      </c>
      <c r="D1011" s="34" t="s">
        <v>1456</v>
      </c>
      <c r="E1011" s="199">
        <v>3.0032430954148641E-2</v>
      </c>
      <c r="F1011" s="199">
        <v>4.4169549780075854E-2</v>
      </c>
      <c r="G1011" s="199">
        <v>3.3865419044476958E-2</v>
      </c>
      <c r="H1011" s="199">
        <v>3.7604225487263047E-2</v>
      </c>
      <c r="I1011" s="199">
        <v>4.1490307986688325E-2</v>
      </c>
      <c r="J1011" s="199">
        <v>2.5365209585895845E-2</v>
      </c>
      <c r="K1011" s="199">
        <v>3.9863872561275653E-2</v>
      </c>
      <c r="L1011" s="199">
        <v>3.4018874200541484E-2</v>
      </c>
      <c r="M1011" s="199">
        <v>4.0260043786508812E-2</v>
      </c>
      <c r="N1011" s="199">
        <v>4.0700155278863545E-2</v>
      </c>
    </row>
    <row r="1012" spans="1:14">
      <c r="C1012" s="29">
        <v>2</v>
      </c>
      <c r="D1012" s="34" t="s">
        <v>1457</v>
      </c>
      <c r="E1012" s="199">
        <v>2.6528521279984622E-2</v>
      </c>
      <c r="F1012" s="199">
        <v>4.3824401274606482E-2</v>
      </c>
      <c r="G1012" s="199">
        <v>3.2362293495252888E-2</v>
      </c>
      <c r="H1012" s="199">
        <v>3.6473143913261348E-2</v>
      </c>
      <c r="I1012" s="199">
        <v>4.0277408084987282E-2</v>
      </c>
      <c r="J1012" s="199">
        <v>2.2756566962298646E-2</v>
      </c>
      <c r="K1012" s="199">
        <v>3.7209674157285474E-2</v>
      </c>
      <c r="L1012" s="199">
        <v>3.3074495573068477E-2</v>
      </c>
      <c r="M1012" s="199">
        <v>4.0326802047319137E-2</v>
      </c>
      <c r="N1012" s="199">
        <v>4.2410968646300562E-2</v>
      </c>
    </row>
    <row r="1013" spans="1:14">
      <c r="C1013" s="29">
        <v>3</v>
      </c>
      <c r="D1013" s="34" t="s">
        <v>1458</v>
      </c>
      <c r="E1013" s="199">
        <v>2.4129676375022668E-2</v>
      </c>
      <c r="F1013" s="199">
        <v>4.3066394728387365E-2</v>
      </c>
      <c r="G1013" s="199">
        <v>3.1696392156708851E-2</v>
      </c>
      <c r="H1013" s="199">
        <v>3.5381920097278023E-2</v>
      </c>
      <c r="I1013" s="199">
        <v>4.0293587693133716E-2</v>
      </c>
      <c r="J1013" s="199">
        <v>2.0379989772338975E-2</v>
      </c>
      <c r="K1013" s="199">
        <v>3.6578054307649918E-2</v>
      </c>
      <c r="L1013" s="199">
        <v>3.2674229392365459E-2</v>
      </c>
      <c r="M1013" s="199">
        <v>3.9402675216989029E-2</v>
      </c>
      <c r="N1013" s="199">
        <v>4.4425612362998329E-2</v>
      </c>
    </row>
    <row r="1014" spans="1:14">
      <c r="C1014" s="29">
        <v>4</v>
      </c>
      <c r="D1014" s="34" t="s">
        <v>1459</v>
      </c>
      <c r="E1014" s="199">
        <v>2.2929220874450335E-2</v>
      </c>
      <c r="F1014" s="199">
        <v>4.05167224263763E-2</v>
      </c>
      <c r="G1014" s="199">
        <v>3.1760357928013565E-2</v>
      </c>
      <c r="H1014" s="199">
        <v>3.4884796564198482E-2</v>
      </c>
      <c r="I1014" s="199">
        <v>4.0483034639314013E-2</v>
      </c>
      <c r="J1014" s="199">
        <v>1.9689480684938837E-2</v>
      </c>
      <c r="K1014" s="199">
        <v>3.5674498081826149E-2</v>
      </c>
      <c r="L1014" s="199">
        <v>3.2258239440652016E-2</v>
      </c>
      <c r="M1014" s="199">
        <v>3.9910457551988153E-2</v>
      </c>
      <c r="N1014" s="199">
        <v>4.0445064095435405E-2</v>
      </c>
    </row>
    <row r="1015" spans="1:14">
      <c r="C1015" s="29">
        <v>5</v>
      </c>
      <c r="D1015" s="34" t="s">
        <v>1460</v>
      </c>
      <c r="E1015" s="199">
        <v>2.2660835695227408E-2</v>
      </c>
      <c r="F1015" s="199">
        <v>3.9858902174947655E-2</v>
      </c>
      <c r="G1015" s="199">
        <v>3.2993612112347671E-2</v>
      </c>
      <c r="H1015" s="199">
        <v>3.6045771456713956E-2</v>
      </c>
      <c r="I1015" s="199">
        <v>4.0990737616635846E-2</v>
      </c>
      <c r="J1015" s="199">
        <v>1.9942650681387085E-2</v>
      </c>
      <c r="K1015" s="199">
        <v>3.7314047020341079E-2</v>
      </c>
      <c r="L1015" s="199">
        <v>3.3192938911186583E-2</v>
      </c>
      <c r="M1015" s="199">
        <v>4.0719207351158082E-2</v>
      </c>
      <c r="N1015" s="199">
        <v>4.2475702496131758E-2</v>
      </c>
    </row>
    <row r="1016" spans="1:14">
      <c r="C1016" s="29">
        <v>6</v>
      </c>
      <c r="D1016" s="34" t="s">
        <v>1461</v>
      </c>
      <c r="E1016" s="199">
        <v>2.3073014734557959E-2</v>
      </c>
      <c r="F1016" s="199">
        <v>3.5620846677116277E-2</v>
      </c>
      <c r="G1016" s="199">
        <v>3.3988627435261293E-2</v>
      </c>
      <c r="H1016" s="199">
        <v>3.4294383908512943E-2</v>
      </c>
      <c r="I1016" s="199">
        <v>4.2894737923449153E-2</v>
      </c>
      <c r="J1016" s="199">
        <v>2.0209475075702022E-2</v>
      </c>
      <c r="K1016" s="199">
        <v>2.8999062013787914E-2</v>
      </c>
      <c r="L1016" s="199">
        <v>3.1101599622567293E-2</v>
      </c>
      <c r="M1016" s="199">
        <v>4.0848404946478629E-2</v>
      </c>
      <c r="N1016" s="199">
        <v>4.9998009245339224E-2</v>
      </c>
    </row>
    <row r="1017" spans="1:14">
      <c r="C1017" s="29">
        <v>7</v>
      </c>
      <c r="D1017" s="34" t="s">
        <v>1462</v>
      </c>
      <c r="E1017" s="199">
        <v>2.382106308777153E-2</v>
      </c>
      <c r="F1017" s="199">
        <v>3.0972774217025562E-2</v>
      </c>
      <c r="G1017" s="199">
        <v>3.6257071763596861E-2</v>
      </c>
      <c r="H1017" s="199">
        <v>3.5721260261509256E-2</v>
      </c>
      <c r="I1017" s="199">
        <v>4.5008588033276446E-2</v>
      </c>
      <c r="J1017" s="199">
        <v>2.2942922794635688E-2</v>
      </c>
      <c r="K1017" s="199">
        <v>3.1056516456163866E-2</v>
      </c>
      <c r="L1017" s="199">
        <v>3.3938428356027069E-2</v>
      </c>
      <c r="M1017" s="199">
        <v>4.0894802554731283E-2</v>
      </c>
      <c r="N1017" s="199">
        <v>5.2522492095331066E-2</v>
      </c>
    </row>
    <row r="1018" spans="1:14">
      <c r="C1018" s="29">
        <v>8</v>
      </c>
      <c r="D1018" s="34" t="s">
        <v>1463</v>
      </c>
      <c r="E1018" s="199">
        <v>2.6295971073480993E-2</v>
      </c>
      <c r="F1018" s="199">
        <v>3.2313388990684748E-2</v>
      </c>
      <c r="G1018" s="199">
        <v>4.1688416056698006E-2</v>
      </c>
      <c r="H1018" s="199">
        <v>3.6311437536734055E-2</v>
      </c>
      <c r="I1018" s="199">
        <v>4.7111309312103555E-2</v>
      </c>
      <c r="J1018" s="199">
        <v>2.753931010879317E-2</v>
      </c>
      <c r="K1018" s="199">
        <v>3.1993801965471268E-2</v>
      </c>
      <c r="L1018" s="199">
        <v>3.8263340006509522E-2</v>
      </c>
      <c r="M1018" s="199">
        <v>4.2448011850146586E-2</v>
      </c>
      <c r="N1018" s="199">
        <v>4.6241935727456072E-2</v>
      </c>
    </row>
    <row r="1019" spans="1:14">
      <c r="C1019" s="29">
        <v>9</v>
      </c>
      <c r="D1019" s="34" t="s">
        <v>1464</v>
      </c>
      <c r="E1019" s="199">
        <v>3.3352425897002901E-2</v>
      </c>
      <c r="F1019" s="199">
        <v>3.2900607591004466E-2</v>
      </c>
      <c r="G1019" s="199">
        <v>4.3704606236298307E-2</v>
      </c>
      <c r="H1019" s="199">
        <v>3.7366883522685142E-2</v>
      </c>
      <c r="I1019" s="199">
        <v>4.6207277273854153E-2</v>
      </c>
      <c r="J1019" s="199">
        <v>3.1588029780148505E-2</v>
      </c>
      <c r="K1019" s="199">
        <v>3.3943061529666002E-2</v>
      </c>
      <c r="L1019" s="199">
        <v>4.0958732545107887E-2</v>
      </c>
      <c r="M1019" s="199">
        <v>4.105645379624985E-2</v>
      </c>
      <c r="N1019" s="199">
        <v>4.340710109052167E-2</v>
      </c>
    </row>
    <row r="1020" spans="1:14">
      <c r="C1020" s="29">
        <v>10</v>
      </c>
      <c r="D1020" s="34" t="s">
        <v>1465</v>
      </c>
      <c r="E1020" s="199">
        <v>3.7207486132768149E-2</v>
      </c>
      <c r="F1020" s="199">
        <v>3.4736165457606299E-2</v>
      </c>
      <c r="G1020" s="199">
        <v>4.6233489641161002E-2</v>
      </c>
      <c r="H1020" s="199">
        <v>3.9266090000229882E-2</v>
      </c>
      <c r="I1020" s="199">
        <v>4.4746261511776915E-2</v>
      </c>
      <c r="J1020" s="199">
        <v>3.6207581259029557E-2</v>
      </c>
      <c r="K1020" s="199">
        <v>4.0447844622345089E-2</v>
      </c>
      <c r="L1020" s="199">
        <v>4.2899733924251691E-2</v>
      </c>
      <c r="M1020" s="199">
        <v>4.2163209510127635E-2</v>
      </c>
      <c r="N1020" s="199">
        <v>4.6456319410407114E-2</v>
      </c>
    </row>
    <row r="1021" spans="1:14">
      <c r="C1021" s="29">
        <v>11</v>
      </c>
      <c r="D1021" s="34" t="s">
        <v>1466</v>
      </c>
      <c r="E1021" s="199">
        <v>3.9942010899887026E-2</v>
      </c>
      <c r="F1021" s="199">
        <v>3.741310786852E-2</v>
      </c>
      <c r="G1021" s="199">
        <v>4.9140841864672317E-2</v>
      </c>
      <c r="H1021" s="199">
        <v>4.1852685883284398E-2</v>
      </c>
      <c r="I1021" s="199">
        <v>4.3753341502846467E-2</v>
      </c>
      <c r="J1021" s="199">
        <v>3.899229018112757E-2</v>
      </c>
      <c r="K1021" s="199">
        <v>4.6078118804155167E-2</v>
      </c>
      <c r="L1021" s="199">
        <v>4.6694002316233919E-2</v>
      </c>
      <c r="M1021" s="199">
        <v>4.1364454940395111E-2</v>
      </c>
      <c r="N1021" s="199">
        <v>4.2308410457914759E-2</v>
      </c>
    </row>
    <row r="1022" spans="1:14">
      <c r="C1022" s="29">
        <v>12</v>
      </c>
      <c r="D1022" s="34" t="s">
        <v>1467</v>
      </c>
      <c r="E1022" s="199">
        <v>4.380114970960465E-2</v>
      </c>
      <c r="F1022" s="199">
        <v>4.0533768897318745E-2</v>
      </c>
      <c r="G1022" s="199">
        <v>5.0271476115287518E-2</v>
      </c>
      <c r="H1022" s="199">
        <v>4.3672726065867445E-2</v>
      </c>
      <c r="I1022" s="199">
        <v>4.3325423683156811E-2</v>
      </c>
      <c r="J1022" s="199">
        <v>4.22155756504708E-2</v>
      </c>
      <c r="K1022" s="199">
        <v>4.7779679938083339E-2</v>
      </c>
      <c r="L1022" s="199">
        <v>4.871364198648797E-2</v>
      </c>
      <c r="M1022" s="199">
        <v>4.3223197422069912E-2</v>
      </c>
      <c r="N1022" s="199">
        <v>3.8035976369055709E-2</v>
      </c>
    </row>
    <row r="1023" spans="1:14">
      <c r="C1023" s="29">
        <v>13</v>
      </c>
      <c r="D1023" s="34" t="s">
        <v>1468</v>
      </c>
      <c r="E1023" s="199">
        <v>4.6918559989726438E-2</v>
      </c>
      <c r="F1023" s="199">
        <v>4.0539536116529808E-2</v>
      </c>
      <c r="G1023" s="199">
        <v>5.0229381199837546E-2</v>
      </c>
      <c r="H1023" s="199">
        <v>4.4534924693552289E-2</v>
      </c>
      <c r="I1023" s="199">
        <v>4.0730522719479946E-2</v>
      </c>
      <c r="J1023" s="199">
        <v>4.908020339882626E-2</v>
      </c>
      <c r="K1023" s="199">
        <v>4.7624537974109024E-2</v>
      </c>
      <c r="L1023" s="199">
        <v>5.0288293106329505E-2</v>
      </c>
      <c r="M1023" s="199">
        <v>4.1808440564046839E-2</v>
      </c>
      <c r="N1023" s="199">
        <v>3.2755739894860691E-2</v>
      </c>
    </row>
    <row r="1024" spans="1:14">
      <c r="C1024" s="29">
        <v>14</v>
      </c>
      <c r="D1024" s="34" t="s">
        <v>1469</v>
      </c>
      <c r="E1024" s="199">
        <v>5.032942026988986E-2</v>
      </c>
      <c r="F1024" s="199">
        <v>4.1939983662948058E-2</v>
      </c>
      <c r="G1024" s="199">
        <v>4.8861145783374679E-2</v>
      </c>
      <c r="H1024" s="199">
        <v>4.607046835925617E-2</v>
      </c>
      <c r="I1024" s="199">
        <v>4.0607763152908531E-2</v>
      </c>
      <c r="J1024" s="199">
        <v>5.289912913165784E-2</v>
      </c>
      <c r="K1024" s="199">
        <v>4.7371138371280097E-2</v>
      </c>
      <c r="L1024" s="199">
        <v>5.186422700600625E-2</v>
      </c>
      <c r="M1024" s="199">
        <v>4.2970355136671814E-2</v>
      </c>
      <c r="N1024" s="199">
        <v>3.2340839164871557E-2</v>
      </c>
    </row>
    <row r="1025" spans="1:14">
      <c r="C1025" s="29">
        <v>15</v>
      </c>
      <c r="D1025" s="34" t="s">
        <v>1470</v>
      </c>
      <c r="E1025" s="199">
        <v>5.2637435583151357E-2</v>
      </c>
      <c r="F1025" s="199">
        <v>4.3255811302711895E-2</v>
      </c>
      <c r="G1025" s="199">
        <v>4.8253316787819488E-2</v>
      </c>
      <c r="H1025" s="199">
        <v>4.6199456851740824E-2</v>
      </c>
      <c r="I1025" s="199">
        <v>3.9903707647093459E-2</v>
      </c>
      <c r="J1025" s="199">
        <v>5.8741558651635405E-2</v>
      </c>
      <c r="K1025" s="199">
        <v>4.6822042198231981E-2</v>
      </c>
      <c r="L1025" s="199">
        <v>5.2121540979315324E-2</v>
      </c>
      <c r="M1025" s="199">
        <v>4.2731086619645482E-2</v>
      </c>
      <c r="N1025" s="199">
        <v>3.3160892791683313E-2</v>
      </c>
    </row>
    <row r="1026" spans="1:14">
      <c r="C1026" s="29">
        <v>16</v>
      </c>
      <c r="D1026" s="34" t="s">
        <v>1471</v>
      </c>
      <c r="E1026" s="199">
        <v>5.659968617571793E-2</v>
      </c>
      <c r="F1026" s="199">
        <v>4.4734039752472317E-2</v>
      </c>
      <c r="G1026" s="199">
        <v>4.7874721831585025E-2</v>
      </c>
      <c r="H1026" s="199">
        <v>4.6641658277314729E-2</v>
      </c>
      <c r="I1026" s="199">
        <v>3.8642440133737722E-2</v>
      </c>
      <c r="J1026" s="199">
        <v>6.104770254161232E-2</v>
      </c>
      <c r="K1026" s="199">
        <v>4.5466277882794719E-2</v>
      </c>
      <c r="L1026" s="199">
        <v>5.2656557350890157E-2</v>
      </c>
      <c r="M1026" s="199">
        <v>4.3027858555410463E-2</v>
      </c>
      <c r="N1026" s="199">
        <v>3.3585884588401171E-2</v>
      </c>
    </row>
    <row r="1027" spans="1:14">
      <c r="C1027" s="29">
        <v>17</v>
      </c>
      <c r="D1027" s="34" t="s">
        <v>1472</v>
      </c>
      <c r="E1027" s="199">
        <v>6.0422353740881452E-2</v>
      </c>
      <c r="F1027" s="199">
        <v>4.4972009847824526E-2</v>
      </c>
      <c r="G1027" s="199">
        <v>4.7555775938162313E-2</v>
      </c>
      <c r="H1027" s="199">
        <v>4.6344765056170016E-2</v>
      </c>
      <c r="I1027" s="199">
        <v>3.8061315407278681E-2</v>
      </c>
      <c r="J1027" s="199">
        <v>6.4644581151345443E-2</v>
      </c>
      <c r="K1027" s="199">
        <v>4.5815673765528926E-2</v>
      </c>
      <c r="L1027" s="199">
        <v>5.1266043445576177E-2</v>
      </c>
      <c r="M1027" s="199">
        <v>4.2705173061844799E-2</v>
      </c>
      <c r="N1027" s="199">
        <v>3.3431704072260274E-2</v>
      </c>
    </row>
    <row r="1028" spans="1:14">
      <c r="C1028" s="29">
        <v>18</v>
      </c>
      <c r="D1028" s="34" t="s">
        <v>1473</v>
      </c>
      <c r="E1028" s="199">
        <v>6.2914155101261374E-2</v>
      </c>
      <c r="F1028" s="199">
        <v>4.5898847908647247E-2</v>
      </c>
      <c r="G1028" s="199">
        <v>4.7077840625440612E-2</v>
      </c>
      <c r="H1028" s="199">
        <v>4.6900419863819841E-2</v>
      </c>
      <c r="I1028" s="199">
        <v>3.9624916162806459E-2</v>
      </c>
      <c r="J1028" s="199">
        <v>6.8040601958071156E-2</v>
      </c>
      <c r="K1028" s="199">
        <v>4.4443188133917032E-2</v>
      </c>
      <c r="L1028" s="199">
        <v>5.082117151151231E-2</v>
      </c>
      <c r="M1028" s="199">
        <v>4.3421621236086581E-2</v>
      </c>
      <c r="N1028" s="199">
        <v>3.5251940299327128E-2</v>
      </c>
    </row>
    <row r="1029" spans="1:14">
      <c r="C1029" s="29">
        <v>19</v>
      </c>
      <c r="D1029" s="34" t="s">
        <v>1474</v>
      </c>
      <c r="E1029" s="199">
        <v>6.3325844425752773E-2</v>
      </c>
      <c r="F1029" s="199">
        <v>4.4859064218496288E-2</v>
      </c>
      <c r="G1029" s="199">
        <v>4.6338141791540541E-2</v>
      </c>
      <c r="H1029" s="199">
        <v>4.6811367589507144E-2</v>
      </c>
      <c r="I1029" s="199">
        <v>4.0265194906351165E-2</v>
      </c>
      <c r="J1029" s="199">
        <v>6.9307579212141229E-2</v>
      </c>
      <c r="K1029" s="199">
        <v>4.5649862009328884E-2</v>
      </c>
      <c r="L1029" s="199">
        <v>4.582550205961964E-2</v>
      </c>
      <c r="M1029" s="199">
        <v>4.3080549456271863E-2</v>
      </c>
      <c r="N1029" s="199">
        <v>3.8084715534888319E-2</v>
      </c>
    </row>
    <row r="1030" spans="1:14">
      <c r="C1030" s="29">
        <v>20</v>
      </c>
      <c r="D1030" s="34" t="s">
        <v>1475</v>
      </c>
      <c r="E1030" s="199">
        <v>6.2177641855974498E-2</v>
      </c>
      <c r="F1030" s="199">
        <v>4.3905839853849479E-2</v>
      </c>
      <c r="G1030" s="199">
        <v>4.3725320830949571E-2</v>
      </c>
      <c r="H1030" s="199">
        <v>4.5063824588831514E-2</v>
      </c>
      <c r="I1030" s="199">
        <v>4.0939116962073391E-2</v>
      </c>
      <c r="J1030" s="199">
        <v>6.2721014673477016E-2</v>
      </c>
      <c r="K1030" s="199">
        <v>4.4752898759596829E-2</v>
      </c>
      <c r="L1030" s="199">
        <v>4.3681413309291706E-2</v>
      </c>
      <c r="M1030" s="199">
        <v>4.2049066457910338E-2</v>
      </c>
      <c r="N1030" s="199">
        <v>4.1165236755646532E-2</v>
      </c>
    </row>
    <row r="1031" spans="1:14">
      <c r="C1031" s="29">
        <v>21</v>
      </c>
      <c r="D1031" s="34" t="s">
        <v>1476</v>
      </c>
      <c r="E1031" s="199">
        <v>5.7023182274762114E-2</v>
      </c>
      <c r="F1031" s="199">
        <v>4.7050216232442411E-2</v>
      </c>
      <c r="G1031" s="199">
        <v>4.1668072867160594E-2</v>
      </c>
      <c r="H1031" s="199">
        <v>4.5576090931551898E-2</v>
      </c>
      <c r="I1031" s="199">
        <v>4.127332431764856E-2</v>
      </c>
      <c r="J1031" s="199">
        <v>5.9819349180204262E-2</v>
      </c>
      <c r="K1031" s="199">
        <v>4.7518986656389678E-2</v>
      </c>
      <c r="L1031" s="199">
        <v>4.0806839750983669E-2</v>
      </c>
      <c r="M1031" s="199">
        <v>4.1398019167641721E-2</v>
      </c>
      <c r="N1031" s="199">
        <v>4.9099629719633088E-2</v>
      </c>
    </row>
    <row r="1032" spans="1:14">
      <c r="C1032" s="29">
        <v>22</v>
      </c>
      <c r="D1032" s="34" t="s">
        <v>1477</v>
      </c>
      <c r="E1032" s="199">
        <v>5.2692769785415157E-2</v>
      </c>
      <c r="F1032" s="199">
        <v>5.2111503994649928E-2</v>
      </c>
      <c r="G1032" s="199">
        <v>4.0684634171568985E-2</v>
      </c>
      <c r="H1032" s="199">
        <v>4.6561550460510095E-2</v>
      </c>
      <c r="I1032" s="199">
        <v>4.2286475970628089E-2</v>
      </c>
      <c r="J1032" s="199">
        <v>5.1875134048936219E-2</v>
      </c>
      <c r="K1032" s="199">
        <v>5.0022565814304205E-2</v>
      </c>
      <c r="L1032" s="199">
        <v>4.0002497922188213E-2</v>
      </c>
      <c r="M1032" s="199">
        <v>4.1881985709043064E-2</v>
      </c>
      <c r="N1032" s="199">
        <v>4.7265664150078192E-2</v>
      </c>
    </row>
    <row r="1033" spans="1:14">
      <c r="C1033" s="29">
        <v>23</v>
      </c>
      <c r="D1033" s="34" t="s">
        <v>1478</v>
      </c>
      <c r="E1033" s="199">
        <v>4.393824126808149E-2</v>
      </c>
      <c r="F1033" s="199">
        <v>4.9009233420031599E-2</v>
      </c>
      <c r="G1033" s="199">
        <v>3.8444402616598081E-2</v>
      </c>
      <c r="H1033" s="199">
        <v>4.6386113557106395E-2</v>
      </c>
      <c r="I1033" s="199">
        <v>4.1778230819488303E-2</v>
      </c>
      <c r="J1033" s="199">
        <v>4.1758996656876199E-2</v>
      </c>
      <c r="K1033" s="199">
        <v>4.6224151632080081E-2</v>
      </c>
      <c r="L1033" s="199">
        <v>3.8013470043456309E-2</v>
      </c>
      <c r="M1033" s="199">
        <v>4.2115948116614954E-2</v>
      </c>
      <c r="N1033" s="199">
        <v>5.092583821068225E-2</v>
      </c>
    </row>
    <row r="1034" spans="1:14">
      <c r="C1034" s="29">
        <v>24</v>
      </c>
      <c r="D1034" s="34" t="s">
        <v>1479</v>
      </c>
      <c r="E1034" s="199">
        <v>3.7246902815478926E-2</v>
      </c>
      <c r="F1034" s="199">
        <v>4.5797283605726699E-2</v>
      </c>
      <c r="G1034" s="199">
        <v>3.5324641706187446E-2</v>
      </c>
      <c r="H1034" s="199">
        <v>4.4034035073100927E-2</v>
      </c>
      <c r="I1034" s="199">
        <v>3.9304976539282832E-2</v>
      </c>
      <c r="J1034" s="199">
        <v>3.2235066858449783E-2</v>
      </c>
      <c r="K1034" s="199">
        <v>4.1350445344387442E-2</v>
      </c>
      <c r="L1034" s="199">
        <v>3.4864187239831354E-2</v>
      </c>
      <c r="M1034" s="199">
        <v>4.0192174944649876E-2</v>
      </c>
      <c r="N1034" s="199">
        <v>4.3504167541912248E-2</v>
      </c>
    </row>
    <row r="1035" spans="1:14">
      <c r="A1035" s="16" t="s">
        <v>436</v>
      </c>
      <c r="B1035" s="16" t="s">
        <v>308</v>
      </c>
      <c r="C1035" s="29">
        <v>1</v>
      </c>
      <c r="D1035" s="34" t="s">
        <v>1480</v>
      </c>
      <c r="E1035" s="199">
        <v>3.074623403486304E-2</v>
      </c>
      <c r="F1035" s="199">
        <v>3.3233258494085323E-2</v>
      </c>
      <c r="G1035" s="199">
        <v>2.8401931885959231E-2</v>
      </c>
      <c r="H1035" s="199">
        <v>3.03003247151282E-2</v>
      </c>
      <c r="I1035" s="199">
        <v>3.828482519904941E-2</v>
      </c>
      <c r="J1035" s="199">
        <v>2.5705529657441398E-2</v>
      </c>
      <c r="K1035" s="199">
        <v>3.0263888987730608E-2</v>
      </c>
      <c r="L1035" s="199">
        <v>2.3235403401232421E-2</v>
      </c>
      <c r="M1035" s="199">
        <v>3.0175738787538063E-2</v>
      </c>
      <c r="N1035" s="199">
        <v>3.8419149598405755E-2</v>
      </c>
    </row>
    <row r="1036" spans="1:14">
      <c r="C1036" s="29">
        <v>2</v>
      </c>
      <c r="D1036" s="34" t="s">
        <v>1481</v>
      </c>
      <c r="E1036" s="199">
        <v>2.6674218215808714E-2</v>
      </c>
      <c r="F1036" s="199">
        <v>3.3297214997893163E-2</v>
      </c>
      <c r="G1036" s="199">
        <v>2.85282222088541E-2</v>
      </c>
      <c r="H1036" s="199">
        <v>2.9711604316982512E-2</v>
      </c>
      <c r="I1036" s="199">
        <v>3.7239244495513614E-2</v>
      </c>
      <c r="J1036" s="199">
        <v>2.2642893974623927E-2</v>
      </c>
      <c r="K1036" s="199">
        <v>2.8739309886958515E-2</v>
      </c>
      <c r="L1036" s="199">
        <v>2.2568574083229254E-2</v>
      </c>
      <c r="M1036" s="199">
        <v>3.1021617371704106E-2</v>
      </c>
      <c r="N1036" s="199">
        <v>3.7135695200675861E-2</v>
      </c>
    </row>
    <row r="1037" spans="1:14">
      <c r="C1037" s="29">
        <v>3</v>
      </c>
      <c r="D1037" s="34" t="s">
        <v>1482</v>
      </c>
      <c r="E1037" s="199">
        <v>2.4082540021480903E-2</v>
      </c>
      <c r="F1037" s="199">
        <v>3.3045747515442953E-2</v>
      </c>
      <c r="G1037" s="199">
        <v>2.8635244049875015E-2</v>
      </c>
      <c r="H1037" s="199">
        <v>2.8824547670249251E-2</v>
      </c>
      <c r="I1037" s="199">
        <v>3.8330022243762758E-2</v>
      </c>
      <c r="J1037" s="199">
        <v>2.1370681805482676E-2</v>
      </c>
      <c r="K1037" s="199">
        <v>2.8391954626989395E-2</v>
      </c>
      <c r="L1037" s="199">
        <v>2.1782717809230918E-2</v>
      </c>
      <c r="M1037" s="199">
        <v>3.0522062714902348E-2</v>
      </c>
      <c r="N1037" s="199">
        <v>3.5706316772370635E-2</v>
      </c>
    </row>
    <row r="1038" spans="1:14">
      <c r="C1038" s="29">
        <v>4</v>
      </c>
      <c r="D1038" s="34" t="s">
        <v>1483</v>
      </c>
      <c r="E1038" s="199">
        <v>2.3387961317125526E-2</v>
      </c>
      <c r="F1038" s="199">
        <v>3.1723314318633081E-2</v>
      </c>
      <c r="G1038" s="199">
        <v>2.8925209816584755E-2</v>
      </c>
      <c r="H1038" s="199">
        <v>2.8704691866544521E-2</v>
      </c>
      <c r="I1038" s="199">
        <v>3.870782441252963E-2</v>
      </c>
      <c r="J1038" s="199">
        <v>2.0738178455227577E-2</v>
      </c>
      <c r="K1038" s="199">
        <v>2.7993099650115677E-2</v>
      </c>
      <c r="L1038" s="199">
        <v>2.2283104034645451E-2</v>
      </c>
      <c r="M1038" s="199">
        <v>3.140353278879103E-2</v>
      </c>
      <c r="N1038" s="199">
        <v>3.6951723803402746E-2</v>
      </c>
    </row>
    <row r="1039" spans="1:14">
      <c r="C1039" s="29">
        <v>5</v>
      </c>
      <c r="D1039" s="34" t="s">
        <v>1484</v>
      </c>
      <c r="E1039" s="199">
        <v>2.3288993389803118E-2</v>
      </c>
      <c r="F1039" s="199">
        <v>3.0981485768010786E-2</v>
      </c>
      <c r="G1039" s="199">
        <v>2.9982397708547579E-2</v>
      </c>
      <c r="H1039" s="199">
        <v>3.0683041570083645E-2</v>
      </c>
      <c r="I1039" s="199">
        <v>3.9966236871494649E-2</v>
      </c>
      <c r="J1039" s="199">
        <v>2.1654193971120742E-2</v>
      </c>
      <c r="K1039" s="199">
        <v>2.8100594787295079E-2</v>
      </c>
      <c r="L1039" s="199">
        <v>2.6957847441767057E-2</v>
      </c>
      <c r="M1039" s="199">
        <v>3.3917565763894153E-2</v>
      </c>
      <c r="N1039" s="199">
        <v>4.1950127127721934E-2</v>
      </c>
    </row>
    <row r="1040" spans="1:14">
      <c r="C1040" s="29">
        <v>6</v>
      </c>
      <c r="D1040" s="34" t="s">
        <v>1485</v>
      </c>
      <c r="E1040" s="199">
        <v>2.3921763914658604E-2</v>
      </c>
      <c r="F1040" s="199">
        <v>2.8831966102363136E-2</v>
      </c>
      <c r="G1040" s="199">
        <v>3.1526573371916493E-2</v>
      </c>
      <c r="H1040" s="199">
        <v>3.3825401858219993E-2</v>
      </c>
      <c r="I1040" s="199">
        <v>4.1890579658939213E-2</v>
      </c>
      <c r="J1040" s="199">
        <v>2.5425721806973611E-2</v>
      </c>
      <c r="K1040" s="199">
        <v>2.5357813987766951E-2</v>
      </c>
      <c r="L1040" s="199">
        <v>3.374335716251458E-2</v>
      </c>
      <c r="M1040" s="199">
        <v>4.2249196325429707E-2</v>
      </c>
      <c r="N1040" s="199">
        <v>5.092051384661405E-2</v>
      </c>
    </row>
    <row r="1041" spans="3:14">
      <c r="C1041" s="29">
        <v>7</v>
      </c>
      <c r="D1041" s="34" t="s">
        <v>1486</v>
      </c>
      <c r="E1041" s="199">
        <v>2.7792923487328119E-2</v>
      </c>
      <c r="F1041" s="199">
        <v>2.9309774178040815E-2</v>
      </c>
      <c r="G1041" s="199">
        <v>3.6560169190637912E-2</v>
      </c>
      <c r="H1041" s="199">
        <v>4.0069080767835247E-2</v>
      </c>
      <c r="I1041" s="199">
        <v>4.3661473319005974E-2</v>
      </c>
      <c r="J1041" s="199">
        <v>2.869520319831249E-2</v>
      </c>
      <c r="K1041" s="199">
        <v>2.6251846777552528E-2</v>
      </c>
      <c r="L1041" s="199">
        <v>4.0783486618299773E-2</v>
      </c>
      <c r="M1041" s="199">
        <v>4.6392345446953059E-2</v>
      </c>
      <c r="N1041" s="199">
        <v>6.324786065669856E-2</v>
      </c>
    </row>
    <row r="1042" spans="3:14">
      <c r="C1042" s="29">
        <v>8</v>
      </c>
      <c r="D1042" s="34" t="s">
        <v>1487</v>
      </c>
      <c r="E1042" s="199">
        <v>3.1427656062595906E-2</v>
      </c>
      <c r="F1042" s="199">
        <v>3.7652204511388711E-2</v>
      </c>
      <c r="G1042" s="199">
        <v>4.204344350134849E-2</v>
      </c>
      <c r="H1042" s="199">
        <v>4.5565659973635264E-2</v>
      </c>
      <c r="I1042" s="199">
        <v>4.5405003924918079E-2</v>
      </c>
      <c r="J1042" s="199">
        <v>2.9341697618296685E-2</v>
      </c>
      <c r="K1042" s="199">
        <v>3.4410496208572484E-2</v>
      </c>
      <c r="L1042" s="199">
        <v>4.6404846990293444E-2</v>
      </c>
      <c r="M1042" s="199">
        <v>5.1321429591004331E-2</v>
      </c>
      <c r="N1042" s="199">
        <v>6.5996163936149155E-2</v>
      </c>
    </row>
    <row r="1043" spans="3:14">
      <c r="C1043" s="29">
        <v>9</v>
      </c>
      <c r="D1043" s="34" t="s">
        <v>1488</v>
      </c>
      <c r="E1043" s="199">
        <v>3.3685951338393701E-2</v>
      </c>
      <c r="F1043" s="199">
        <v>4.4883752495625838E-2</v>
      </c>
      <c r="G1043" s="199">
        <v>4.4829898244924747E-2</v>
      </c>
      <c r="H1043" s="199">
        <v>4.9300407461136439E-2</v>
      </c>
      <c r="I1043" s="199">
        <v>4.617608999046037E-2</v>
      </c>
      <c r="J1043" s="199">
        <v>3.1494236563025059E-2</v>
      </c>
      <c r="K1043" s="199">
        <v>4.2894213689236953E-2</v>
      </c>
      <c r="L1043" s="199">
        <v>5.2626626880506094E-2</v>
      </c>
      <c r="M1043" s="199">
        <v>5.1716083014939358E-2</v>
      </c>
      <c r="N1043" s="199">
        <v>5.6434956687645775E-2</v>
      </c>
    </row>
    <row r="1044" spans="3:14">
      <c r="C1044" s="29">
        <v>10</v>
      </c>
      <c r="D1044" s="34" t="s">
        <v>1489</v>
      </c>
      <c r="E1044" s="199">
        <v>3.6191831840014829E-2</v>
      </c>
      <c r="F1044" s="199">
        <v>4.903698479503367E-2</v>
      </c>
      <c r="G1044" s="199">
        <v>4.7731826417020388E-2</v>
      </c>
      <c r="H1044" s="199">
        <v>5.2401284299335923E-2</v>
      </c>
      <c r="I1044" s="199">
        <v>4.6184970981721092E-2</v>
      </c>
      <c r="J1044" s="199">
        <v>3.5271005970983593E-2</v>
      </c>
      <c r="K1044" s="199">
        <v>4.8394410237562163E-2</v>
      </c>
      <c r="L1044" s="199">
        <v>5.5113781670154356E-2</v>
      </c>
      <c r="M1044" s="199">
        <v>5.3035590665498664E-2</v>
      </c>
      <c r="N1044" s="199">
        <v>4.159148143207661E-2</v>
      </c>
    </row>
    <row r="1045" spans="3:14">
      <c r="C1045" s="29">
        <v>11</v>
      </c>
      <c r="D1045" s="34" t="s">
        <v>1490</v>
      </c>
      <c r="E1045" s="199">
        <v>4.0370947670726048E-2</v>
      </c>
      <c r="F1045" s="199">
        <v>5.2797646032745352E-2</v>
      </c>
      <c r="G1045" s="199">
        <v>4.9095978052568705E-2</v>
      </c>
      <c r="H1045" s="199">
        <v>5.1213196526010675E-2</v>
      </c>
      <c r="I1045" s="199">
        <v>4.3967531479993674E-2</v>
      </c>
      <c r="J1045" s="199">
        <v>4.1280854397382043E-2</v>
      </c>
      <c r="K1045" s="199">
        <v>5.4151340144304824E-2</v>
      </c>
      <c r="L1045" s="199">
        <v>5.6424333965485705E-2</v>
      </c>
      <c r="M1045" s="199">
        <v>5.3314852733280307E-2</v>
      </c>
      <c r="N1045" s="199">
        <v>3.4303111698579969E-2</v>
      </c>
    </row>
    <row r="1046" spans="3:14">
      <c r="C1046" s="29">
        <v>12</v>
      </c>
      <c r="D1046" s="34" t="s">
        <v>1491</v>
      </c>
      <c r="E1046" s="199">
        <v>4.4439617377053223E-2</v>
      </c>
      <c r="F1046" s="199">
        <v>5.4392910839114975E-2</v>
      </c>
      <c r="G1046" s="199">
        <v>4.9396940837223721E-2</v>
      </c>
      <c r="H1046" s="199">
        <v>5.3703838120357054E-2</v>
      </c>
      <c r="I1046" s="199">
        <v>4.2793104395140169E-2</v>
      </c>
      <c r="J1046" s="199">
        <v>4.2967482593663432E-2</v>
      </c>
      <c r="K1046" s="199">
        <v>5.5862347455045473E-2</v>
      </c>
      <c r="L1046" s="199">
        <v>5.7793635806355735E-2</v>
      </c>
      <c r="M1046" s="199">
        <v>5.1285913030733744E-2</v>
      </c>
      <c r="N1046" s="199">
        <v>3.4752404108509272E-2</v>
      </c>
    </row>
    <row r="1047" spans="3:14">
      <c r="C1047" s="29">
        <v>13</v>
      </c>
      <c r="D1047" s="34" t="s">
        <v>1492</v>
      </c>
      <c r="E1047" s="199">
        <v>4.7326282253106679E-2</v>
      </c>
      <c r="F1047" s="199">
        <v>5.4391343021567798E-2</v>
      </c>
      <c r="G1047" s="199">
        <v>5.1027670615972305E-2</v>
      </c>
      <c r="H1047" s="199">
        <v>5.2678503307167557E-2</v>
      </c>
      <c r="I1047" s="199">
        <v>4.3256596128233453E-2</v>
      </c>
      <c r="J1047" s="199">
        <v>4.5089852024527775E-2</v>
      </c>
      <c r="K1047" s="199">
        <v>5.7071997752071814E-2</v>
      </c>
      <c r="L1047" s="199">
        <v>5.931328583403625E-2</v>
      </c>
      <c r="M1047" s="199">
        <v>5.5643660102921592E-2</v>
      </c>
      <c r="N1047" s="199">
        <v>3.1244719854156819E-2</v>
      </c>
    </row>
    <row r="1048" spans="3:14">
      <c r="C1048" s="29">
        <v>14</v>
      </c>
      <c r="D1048" s="34" t="s">
        <v>1493</v>
      </c>
      <c r="E1048" s="199">
        <v>5.0002540632349844E-2</v>
      </c>
      <c r="F1048" s="199">
        <v>5.5230595754571662E-2</v>
      </c>
      <c r="G1048" s="199">
        <v>5.1709599490834264E-2</v>
      </c>
      <c r="H1048" s="199">
        <v>5.4596593771394746E-2</v>
      </c>
      <c r="I1048" s="199">
        <v>4.1342382471361926E-2</v>
      </c>
      <c r="J1048" s="199">
        <v>4.8203623509631949E-2</v>
      </c>
      <c r="K1048" s="199">
        <v>5.8346940966555585E-2</v>
      </c>
      <c r="L1048" s="199">
        <v>5.9644822056375169E-2</v>
      </c>
      <c r="M1048" s="199">
        <v>5.4023535490747072E-2</v>
      </c>
      <c r="N1048" s="199">
        <v>3.3035270363678267E-2</v>
      </c>
    </row>
    <row r="1049" spans="3:14">
      <c r="C1049" s="29">
        <v>15</v>
      </c>
      <c r="D1049" s="34" t="s">
        <v>1494</v>
      </c>
      <c r="E1049" s="199">
        <v>5.1258542278029909E-2</v>
      </c>
      <c r="F1049" s="199">
        <v>5.5877174163144458E-2</v>
      </c>
      <c r="G1049" s="199">
        <v>5.2183025853472502E-2</v>
      </c>
      <c r="H1049" s="199">
        <v>5.1638457110773583E-2</v>
      </c>
      <c r="I1049" s="199">
        <v>3.9602788304819433E-2</v>
      </c>
      <c r="J1049" s="199">
        <v>5.396408416553506E-2</v>
      </c>
      <c r="K1049" s="199">
        <v>6.1016776587570626E-2</v>
      </c>
      <c r="L1049" s="199">
        <v>5.8726847326298161E-2</v>
      </c>
      <c r="M1049" s="199">
        <v>5.3480072175045384E-2</v>
      </c>
      <c r="N1049" s="199">
        <v>3.0996881429651284E-2</v>
      </c>
    </row>
    <row r="1050" spans="3:14">
      <c r="C1050" s="29">
        <v>16</v>
      </c>
      <c r="D1050" s="34" t="s">
        <v>1495</v>
      </c>
      <c r="E1050" s="199">
        <v>5.3345865836102555E-2</v>
      </c>
      <c r="F1050" s="199">
        <v>5.5326577544809838E-2</v>
      </c>
      <c r="G1050" s="199">
        <v>5.189411712771181E-2</v>
      </c>
      <c r="H1050" s="199">
        <v>4.771016436856159E-2</v>
      </c>
      <c r="I1050" s="199">
        <v>3.8992520189133427E-2</v>
      </c>
      <c r="J1050" s="199">
        <v>5.9393377690803204E-2</v>
      </c>
      <c r="K1050" s="199">
        <v>6.0059497860159995E-2</v>
      </c>
      <c r="L1050" s="199">
        <v>5.6827784487244258E-2</v>
      </c>
      <c r="M1050" s="199">
        <v>4.9548598755556679E-2</v>
      </c>
      <c r="N1050" s="199">
        <v>3.5415226626891255E-2</v>
      </c>
    </row>
    <row r="1051" spans="3:14">
      <c r="C1051" s="29">
        <v>17</v>
      </c>
      <c r="D1051" s="34" t="s">
        <v>1496</v>
      </c>
      <c r="E1051" s="199">
        <v>5.6477328414572925E-2</v>
      </c>
      <c r="F1051" s="199">
        <v>5.1923086048579051E-2</v>
      </c>
      <c r="G1051" s="199">
        <v>5.185676044735546E-2</v>
      </c>
      <c r="H1051" s="199">
        <v>4.6398156385361024E-2</v>
      </c>
      <c r="I1051" s="199">
        <v>3.989823728165242E-2</v>
      </c>
      <c r="J1051" s="199">
        <v>6.2022811660406733E-2</v>
      </c>
      <c r="K1051" s="199">
        <v>5.7123516599629047E-2</v>
      </c>
      <c r="L1051" s="199">
        <v>5.1600466756453502E-2</v>
      </c>
      <c r="M1051" s="199">
        <v>3.9881725358531808E-2</v>
      </c>
      <c r="N1051" s="199">
        <v>3.2605380594933495E-2</v>
      </c>
    </row>
    <row r="1052" spans="3:14">
      <c r="C1052" s="29">
        <v>18</v>
      </c>
      <c r="D1052" s="34" t="s">
        <v>1497</v>
      </c>
      <c r="E1052" s="199">
        <v>6.0567324844238109E-2</v>
      </c>
      <c r="F1052" s="199">
        <v>4.3015886026270059E-2</v>
      </c>
      <c r="G1052" s="199">
        <v>4.9733762432549455E-2</v>
      </c>
      <c r="H1052" s="199">
        <v>4.2039610907328759E-2</v>
      </c>
      <c r="I1052" s="199">
        <v>4.0288256814072561E-2</v>
      </c>
      <c r="J1052" s="199">
        <v>6.826644503800923E-2</v>
      </c>
      <c r="K1052" s="199">
        <v>4.8167520697261795E-2</v>
      </c>
      <c r="L1052" s="199">
        <v>4.5859849202244174E-2</v>
      </c>
      <c r="M1052" s="199">
        <v>3.8036138025145882E-2</v>
      </c>
      <c r="N1052" s="199">
        <v>3.7361402487580291E-2</v>
      </c>
    </row>
    <row r="1053" spans="3:14">
      <c r="C1053" s="29">
        <v>19</v>
      </c>
      <c r="D1053" s="34" t="s">
        <v>1498</v>
      </c>
      <c r="E1053" s="199">
        <v>6.1222029490527956E-2</v>
      </c>
      <c r="F1053" s="199">
        <v>3.7264326450217121E-2</v>
      </c>
      <c r="G1053" s="199">
        <v>4.8073587190233608E-2</v>
      </c>
      <c r="H1053" s="199">
        <v>4.03570351093566E-2</v>
      </c>
      <c r="I1053" s="199">
        <v>4.0874834285503613E-2</v>
      </c>
      <c r="J1053" s="199">
        <v>6.8135121308974159E-2</v>
      </c>
      <c r="K1053" s="199">
        <v>4.1614813032688262E-2</v>
      </c>
      <c r="L1053" s="199">
        <v>4.1106085877352268E-2</v>
      </c>
      <c r="M1053" s="199">
        <v>3.612513728012233E-2</v>
      </c>
      <c r="N1053" s="199">
        <v>4.1715223797339412E-2</v>
      </c>
    </row>
    <row r="1054" spans="3:14">
      <c r="C1054" s="29">
        <v>20</v>
      </c>
      <c r="D1054" s="34" t="s">
        <v>1499</v>
      </c>
      <c r="E1054" s="199">
        <v>6.0136587399579097E-2</v>
      </c>
      <c r="F1054" s="199">
        <v>3.502839913348605E-2</v>
      </c>
      <c r="G1054" s="199">
        <v>4.6261046368248328E-2</v>
      </c>
      <c r="H1054" s="199">
        <v>3.9418952493851148E-2</v>
      </c>
      <c r="I1054" s="199">
        <v>4.1762045312449585E-2</v>
      </c>
      <c r="J1054" s="199">
        <v>6.326050665510019E-2</v>
      </c>
      <c r="K1054" s="199">
        <v>3.7761536108762511E-2</v>
      </c>
      <c r="L1054" s="199">
        <v>3.9173682095639623E-2</v>
      </c>
      <c r="M1054" s="199">
        <v>3.5211447541853159E-2</v>
      </c>
      <c r="N1054" s="199">
        <v>4.517743311141563E-2</v>
      </c>
    </row>
    <row r="1055" spans="3:14">
      <c r="C1055" s="29">
        <v>21</v>
      </c>
      <c r="D1055" s="34" t="s">
        <v>1500</v>
      </c>
      <c r="E1055" s="199">
        <v>5.6577733489176857E-2</v>
      </c>
      <c r="F1055" s="199">
        <v>3.5823606645531234E-2</v>
      </c>
      <c r="G1055" s="199">
        <v>4.2892830414990993E-2</v>
      </c>
      <c r="H1055" s="199">
        <v>3.81083582171447E-2</v>
      </c>
      <c r="I1055" s="199">
        <v>4.2010521046317105E-2</v>
      </c>
      <c r="J1055" s="199">
        <v>5.8069162896081293E-2</v>
      </c>
      <c r="K1055" s="199">
        <v>3.8508473310405647E-2</v>
      </c>
      <c r="L1055" s="199">
        <v>3.5890928276934859E-2</v>
      </c>
      <c r="M1055" s="199">
        <v>3.3585478432418922E-2</v>
      </c>
      <c r="N1055" s="199">
        <v>4.8060948546620914E-2</v>
      </c>
    </row>
    <row r="1056" spans="3:14">
      <c r="C1056" s="29">
        <v>22</v>
      </c>
      <c r="D1056" s="34" t="s">
        <v>1501</v>
      </c>
      <c r="E1056" s="199">
        <v>5.3791397762965286E-2</v>
      </c>
      <c r="F1056" s="199">
        <v>4.1647139499116574E-2</v>
      </c>
      <c r="G1056" s="199">
        <v>3.9542565197491761E-2</v>
      </c>
      <c r="H1056" s="199">
        <v>3.9644659571303233E-2</v>
      </c>
      <c r="I1056" s="199">
        <v>4.2937072464280177E-2</v>
      </c>
      <c r="J1056" s="199">
        <v>5.1112601219480878E-2</v>
      </c>
      <c r="K1056" s="199">
        <v>3.9920908525407008E-2</v>
      </c>
      <c r="L1056" s="199">
        <v>3.4369970145728811E-2</v>
      </c>
      <c r="M1056" s="199">
        <v>3.3987474942654618E-2</v>
      </c>
      <c r="N1056" s="199">
        <v>4.2597235527852897E-2</v>
      </c>
    </row>
    <row r="1057" spans="1:14">
      <c r="C1057" s="29">
        <v>23</v>
      </c>
      <c r="D1057" s="34" t="s">
        <v>1502</v>
      </c>
      <c r="E1057" s="199">
        <v>4.578568748330486E-2</v>
      </c>
      <c r="F1057" s="199">
        <v>3.8691479407061434E-2</v>
      </c>
      <c r="G1057" s="199">
        <v>3.6148572613378213E-2</v>
      </c>
      <c r="H1057" s="199">
        <v>3.7752325072265808E-2</v>
      </c>
      <c r="I1057" s="199">
        <v>4.2478693301831572E-2</v>
      </c>
      <c r="J1057" s="199">
        <v>4.1746257241555243E-2</v>
      </c>
      <c r="K1057" s="199">
        <v>3.6373167254781201E-2</v>
      </c>
      <c r="L1057" s="199">
        <v>3.0768426265437906E-2</v>
      </c>
      <c r="M1057" s="199">
        <v>3.2917782085222218E-2</v>
      </c>
      <c r="N1057" s="199">
        <v>4.2614819171426385E-2</v>
      </c>
    </row>
    <row r="1058" spans="1:14">
      <c r="C1058" s="29">
        <v>24</v>
      </c>
      <c r="D1058" s="34" t="s">
        <v>1503</v>
      </c>
      <c r="E1058" s="199">
        <v>3.7498041446194154E-2</v>
      </c>
      <c r="F1058" s="199">
        <v>3.6594126257266858E-2</v>
      </c>
      <c r="G1058" s="199">
        <v>3.3018626962299936E-2</v>
      </c>
      <c r="H1058" s="199">
        <v>3.5354104539972619E-2</v>
      </c>
      <c r="I1058" s="199">
        <v>4.3949145427816069E-2</v>
      </c>
      <c r="J1058" s="199">
        <v>3.4148476577361232E-2</v>
      </c>
      <c r="K1058" s="199">
        <v>3.3223534865576179E-2</v>
      </c>
      <c r="L1058" s="199">
        <v>2.7000135812540443E-2</v>
      </c>
      <c r="M1058" s="199">
        <v>3.1203021575111491E-2</v>
      </c>
      <c r="N1058" s="199">
        <v>4.1765953619603141E-2</v>
      </c>
    </row>
    <row r="1059" spans="1:14">
      <c r="A1059" s="16" t="s">
        <v>436</v>
      </c>
      <c r="B1059" s="16" t="s">
        <v>309</v>
      </c>
      <c r="C1059" s="29">
        <v>1</v>
      </c>
      <c r="D1059" s="34" t="s">
        <v>1504</v>
      </c>
      <c r="E1059" s="199">
        <v>3.0167345165709781E-2</v>
      </c>
      <c r="F1059" s="199">
        <v>3.3064270420114478E-2</v>
      </c>
      <c r="G1059" s="199">
        <v>3.0488935937644488E-2</v>
      </c>
      <c r="H1059" s="199">
        <v>3.1369392054548834E-2</v>
      </c>
      <c r="I1059" s="199">
        <v>4.1940896428256033E-2</v>
      </c>
      <c r="J1059" s="199">
        <v>2.6183377673209399E-2</v>
      </c>
      <c r="K1059" s="199">
        <v>2.998782250403537E-2</v>
      </c>
      <c r="L1059" s="199">
        <v>2.4832328499101643E-2</v>
      </c>
      <c r="M1059" s="199">
        <v>3.0102930018227066E-2</v>
      </c>
      <c r="N1059" s="199">
        <v>3.8568656742400502E-2</v>
      </c>
    </row>
    <row r="1060" spans="1:14">
      <c r="C1060" s="29">
        <v>2</v>
      </c>
      <c r="D1060" s="34" t="s">
        <v>1505</v>
      </c>
      <c r="E1060" s="199">
        <v>2.6453745267192012E-2</v>
      </c>
      <c r="F1060" s="199">
        <v>3.1732590596470732E-2</v>
      </c>
      <c r="G1060" s="199">
        <v>2.9954370064677546E-2</v>
      </c>
      <c r="H1060" s="199">
        <v>3.052774559267811E-2</v>
      </c>
      <c r="I1060" s="199">
        <v>4.0701154218320615E-2</v>
      </c>
      <c r="J1060" s="199">
        <v>2.2891214242927466E-2</v>
      </c>
      <c r="K1060" s="199">
        <v>2.827965563240991E-2</v>
      </c>
      <c r="L1060" s="199">
        <v>2.3631927967051606E-2</v>
      </c>
      <c r="M1060" s="199">
        <v>2.9943927756681452E-2</v>
      </c>
      <c r="N1060" s="199">
        <v>3.6913935103483772E-2</v>
      </c>
    </row>
    <row r="1061" spans="1:14">
      <c r="C1061" s="29">
        <v>3</v>
      </c>
      <c r="D1061" s="34" t="s">
        <v>1506</v>
      </c>
      <c r="E1061" s="199">
        <v>2.3988253062210762E-2</v>
      </c>
      <c r="F1061" s="199">
        <v>3.1889774704310377E-2</v>
      </c>
      <c r="G1061" s="199">
        <v>2.9864843426018039E-2</v>
      </c>
      <c r="H1061" s="199">
        <v>2.9694642501810895E-2</v>
      </c>
      <c r="I1061" s="199">
        <v>4.0632560375568408E-2</v>
      </c>
      <c r="J1061" s="199">
        <v>2.1115318784660157E-2</v>
      </c>
      <c r="K1061" s="199">
        <v>2.7534815640826112E-2</v>
      </c>
      <c r="L1061" s="199">
        <v>2.2391909921324785E-2</v>
      </c>
      <c r="M1061" s="199">
        <v>2.9026459656233874E-2</v>
      </c>
      <c r="N1061" s="199">
        <v>3.9127324819848271E-2</v>
      </c>
    </row>
    <row r="1062" spans="1:14">
      <c r="C1062" s="29">
        <v>4</v>
      </c>
      <c r="D1062" s="34" t="s">
        <v>1507</v>
      </c>
      <c r="E1062" s="199">
        <v>2.2493556913736199E-2</v>
      </c>
      <c r="F1062" s="199">
        <v>3.0871334359425111E-2</v>
      </c>
      <c r="G1062" s="199">
        <v>2.9944503672915068E-2</v>
      </c>
      <c r="H1062" s="199">
        <v>2.9415199619181303E-2</v>
      </c>
      <c r="I1062" s="199">
        <v>4.2131896632738884E-2</v>
      </c>
      <c r="J1062" s="199">
        <v>2.0232150808411495E-2</v>
      </c>
      <c r="K1062" s="199">
        <v>2.733468327105653E-2</v>
      </c>
      <c r="L1062" s="199">
        <v>2.3329193421364934E-2</v>
      </c>
      <c r="M1062" s="199">
        <v>3.0023355207073558E-2</v>
      </c>
      <c r="N1062" s="199">
        <v>4.1741157896025539E-2</v>
      </c>
    </row>
    <row r="1063" spans="1:14">
      <c r="C1063" s="29">
        <v>5</v>
      </c>
      <c r="D1063" s="34" t="s">
        <v>1508</v>
      </c>
      <c r="E1063" s="199">
        <v>2.3019643671822649E-2</v>
      </c>
      <c r="F1063" s="199">
        <v>2.9690395853232313E-2</v>
      </c>
      <c r="G1063" s="199">
        <v>3.1203564628726609E-2</v>
      </c>
      <c r="H1063" s="199">
        <v>3.0593355364171133E-2</v>
      </c>
      <c r="I1063" s="199">
        <v>4.2590495467139423E-2</v>
      </c>
      <c r="J1063" s="199">
        <v>2.1577101701754337E-2</v>
      </c>
      <c r="K1063" s="199">
        <v>2.7432788817786557E-2</v>
      </c>
      <c r="L1063" s="199">
        <v>2.7095967854085957E-2</v>
      </c>
      <c r="M1063" s="199">
        <v>3.3101353110719364E-2</v>
      </c>
      <c r="N1063" s="199">
        <v>4.3859499136892695E-2</v>
      </c>
    </row>
    <row r="1064" spans="1:14">
      <c r="C1064" s="29">
        <v>6</v>
      </c>
      <c r="D1064" s="34" t="s">
        <v>1509</v>
      </c>
      <c r="E1064" s="199">
        <v>2.3248647250785646E-2</v>
      </c>
      <c r="F1064" s="199">
        <v>2.7748848483569913E-2</v>
      </c>
      <c r="G1064" s="199">
        <v>3.2089151575558542E-2</v>
      </c>
      <c r="H1064" s="199">
        <v>3.3579470893274128E-2</v>
      </c>
      <c r="I1064" s="199">
        <v>4.4996828862966742E-2</v>
      </c>
      <c r="J1064" s="199">
        <v>2.5468651255848764E-2</v>
      </c>
      <c r="K1064" s="199">
        <v>2.3594890256639068E-2</v>
      </c>
      <c r="L1064" s="199">
        <v>3.3329930550295879E-2</v>
      </c>
      <c r="M1064" s="199">
        <v>4.1553155900170169E-2</v>
      </c>
      <c r="N1064" s="199">
        <v>5.1430626778058659E-2</v>
      </c>
    </row>
    <row r="1065" spans="1:14">
      <c r="C1065" s="29">
        <v>7</v>
      </c>
      <c r="D1065" s="34" t="s">
        <v>1510</v>
      </c>
      <c r="E1065" s="199">
        <v>2.7068849738213038E-2</v>
      </c>
      <c r="F1065" s="199">
        <v>2.8970591328891137E-2</v>
      </c>
      <c r="G1065" s="199">
        <v>3.7127779036795636E-2</v>
      </c>
      <c r="H1065" s="199">
        <v>3.9908615790588194E-2</v>
      </c>
      <c r="I1065" s="199">
        <v>4.8076656984033815E-2</v>
      </c>
      <c r="J1065" s="199">
        <v>2.7019962228961338E-2</v>
      </c>
      <c r="K1065" s="199">
        <v>2.7318151317413528E-2</v>
      </c>
      <c r="L1065" s="199">
        <v>3.916037215131965E-2</v>
      </c>
      <c r="M1065" s="199">
        <v>4.5788377863053821E-2</v>
      </c>
      <c r="N1065" s="199">
        <v>5.206207925875414E-2</v>
      </c>
    </row>
    <row r="1066" spans="1:14">
      <c r="C1066" s="29">
        <v>8</v>
      </c>
      <c r="D1066" s="34" t="s">
        <v>1511</v>
      </c>
      <c r="E1066" s="199">
        <v>3.0753489388806392E-2</v>
      </c>
      <c r="F1066" s="199">
        <v>3.6304714298605573E-2</v>
      </c>
      <c r="G1066" s="199">
        <v>4.1457853746927502E-2</v>
      </c>
      <c r="H1066" s="199">
        <v>4.4722224733623077E-2</v>
      </c>
      <c r="I1066" s="199">
        <v>4.8186477969452246E-2</v>
      </c>
      <c r="J1066" s="199">
        <v>2.9775214995265684E-2</v>
      </c>
      <c r="K1066" s="199">
        <v>3.6458830492411602E-2</v>
      </c>
      <c r="L1066" s="199">
        <v>4.445239046352744E-2</v>
      </c>
      <c r="M1066" s="199">
        <v>5.0217821309456581E-2</v>
      </c>
      <c r="N1066" s="199">
        <v>5.7151150269935086E-2</v>
      </c>
    </row>
    <row r="1067" spans="1:14">
      <c r="C1067" s="29">
        <v>9</v>
      </c>
      <c r="D1067" s="34" t="s">
        <v>1512</v>
      </c>
      <c r="E1067" s="199">
        <v>3.3540486903950679E-2</v>
      </c>
      <c r="F1067" s="199">
        <v>4.3542305289534906E-2</v>
      </c>
      <c r="G1067" s="199">
        <v>4.3746281758424148E-2</v>
      </c>
      <c r="H1067" s="199">
        <v>4.7051910766397601E-2</v>
      </c>
      <c r="I1067" s="199">
        <v>4.5954757815329796E-2</v>
      </c>
      <c r="J1067" s="199">
        <v>3.2809859653803015E-2</v>
      </c>
      <c r="K1067" s="199">
        <v>4.3667038426979825E-2</v>
      </c>
      <c r="L1067" s="199">
        <v>4.9319153775987279E-2</v>
      </c>
      <c r="M1067" s="199">
        <v>4.9741477648246032E-2</v>
      </c>
      <c r="N1067" s="199">
        <v>5.5713955332278881E-2</v>
      </c>
    </row>
    <row r="1068" spans="1:14">
      <c r="C1068" s="29">
        <v>10</v>
      </c>
      <c r="D1068" s="34" t="s">
        <v>1513</v>
      </c>
      <c r="E1068" s="199">
        <v>3.5670210772040946E-2</v>
      </c>
      <c r="F1068" s="199">
        <v>4.8920726728376406E-2</v>
      </c>
      <c r="G1068" s="199">
        <v>4.7318350239838866E-2</v>
      </c>
      <c r="H1068" s="199">
        <v>5.0989450927499035E-2</v>
      </c>
      <c r="I1068" s="199">
        <v>4.4650648371197289E-2</v>
      </c>
      <c r="J1068" s="199">
        <v>3.4328159659798151E-2</v>
      </c>
      <c r="K1068" s="199">
        <v>5.005503686193033E-2</v>
      </c>
      <c r="L1068" s="199">
        <v>5.3558774886650597E-2</v>
      </c>
      <c r="M1068" s="199">
        <v>5.1990497588662192E-2</v>
      </c>
      <c r="N1068" s="199">
        <v>5.0186628198206865E-2</v>
      </c>
    </row>
    <row r="1069" spans="1:14">
      <c r="C1069" s="29">
        <v>11</v>
      </c>
      <c r="D1069" s="34" t="s">
        <v>1514</v>
      </c>
      <c r="E1069" s="199">
        <v>3.9323099298216452E-2</v>
      </c>
      <c r="F1069" s="199">
        <v>5.3579153855252887E-2</v>
      </c>
      <c r="G1069" s="199">
        <v>4.9537732204198104E-2</v>
      </c>
      <c r="H1069" s="199">
        <v>5.0515957399600235E-2</v>
      </c>
      <c r="I1069" s="199">
        <v>4.1855136415562037E-2</v>
      </c>
      <c r="J1069" s="199">
        <v>3.6968723917038676E-2</v>
      </c>
      <c r="K1069" s="199">
        <v>5.6116041354111329E-2</v>
      </c>
      <c r="L1069" s="199">
        <v>5.5016658860530386E-2</v>
      </c>
      <c r="M1069" s="199">
        <v>5.2585540343176695E-2</v>
      </c>
      <c r="N1069" s="199">
        <v>3.715765179228623E-2</v>
      </c>
    </row>
    <row r="1070" spans="1:14">
      <c r="C1070" s="29">
        <v>12</v>
      </c>
      <c r="D1070" s="34" t="s">
        <v>1515</v>
      </c>
      <c r="E1070" s="199">
        <v>4.1605646541079101E-2</v>
      </c>
      <c r="F1070" s="199">
        <v>5.5992633123681933E-2</v>
      </c>
      <c r="G1070" s="199">
        <v>5.0847910510415241E-2</v>
      </c>
      <c r="H1070" s="199">
        <v>5.3639845154303631E-2</v>
      </c>
      <c r="I1070" s="199">
        <v>4.0037009979046405E-2</v>
      </c>
      <c r="J1070" s="199">
        <v>4.3923781958255297E-2</v>
      </c>
      <c r="K1070" s="199">
        <v>5.7540293093128331E-2</v>
      </c>
      <c r="L1070" s="199">
        <v>5.711697476207328E-2</v>
      </c>
      <c r="M1070" s="199">
        <v>5.1168813983121605E-2</v>
      </c>
      <c r="N1070" s="199">
        <v>3.2946487759951779E-2</v>
      </c>
    </row>
    <row r="1071" spans="1:14">
      <c r="C1071" s="29">
        <v>13</v>
      </c>
      <c r="D1071" s="34" t="s">
        <v>1516</v>
      </c>
      <c r="E1071" s="199">
        <v>4.6197948803078738E-2</v>
      </c>
      <c r="F1071" s="199">
        <v>5.6030251028494085E-2</v>
      </c>
      <c r="G1071" s="199">
        <v>5.1388926227357655E-2</v>
      </c>
      <c r="H1071" s="199">
        <v>5.2737275333189379E-2</v>
      </c>
      <c r="I1071" s="199">
        <v>4.0085580558922945E-2</v>
      </c>
      <c r="J1071" s="199">
        <v>4.66544841756504E-2</v>
      </c>
      <c r="K1071" s="199">
        <v>5.6796391998689084E-2</v>
      </c>
      <c r="L1071" s="199">
        <v>5.8692079967596726E-2</v>
      </c>
      <c r="M1071" s="199">
        <v>5.4004845516556217E-2</v>
      </c>
      <c r="N1071" s="199">
        <v>3.0851856981178802E-2</v>
      </c>
    </row>
    <row r="1072" spans="1:14">
      <c r="C1072" s="29">
        <v>14</v>
      </c>
      <c r="D1072" s="34" t="s">
        <v>1517</v>
      </c>
      <c r="E1072" s="199">
        <v>4.9372736906827225E-2</v>
      </c>
      <c r="F1072" s="199">
        <v>5.7820188053164745E-2</v>
      </c>
      <c r="G1072" s="199">
        <v>5.1813695191142164E-2</v>
      </c>
      <c r="H1072" s="199">
        <v>5.4589901188034522E-2</v>
      </c>
      <c r="I1072" s="199">
        <v>3.8276072625885643E-2</v>
      </c>
      <c r="J1072" s="199">
        <v>4.9144901569871502E-2</v>
      </c>
      <c r="K1072" s="199">
        <v>5.9303173735607922E-2</v>
      </c>
      <c r="L1072" s="199">
        <v>5.9549692748956426E-2</v>
      </c>
      <c r="M1072" s="199">
        <v>5.369546159800663E-2</v>
      </c>
      <c r="N1072" s="199">
        <v>3.4445980774482875E-2</v>
      </c>
    </row>
    <row r="1073" spans="1:14">
      <c r="C1073" s="29">
        <v>15</v>
      </c>
      <c r="D1073" s="34" t="s">
        <v>1518</v>
      </c>
      <c r="E1073" s="199">
        <v>5.1046349948254618E-2</v>
      </c>
      <c r="F1073" s="199">
        <v>5.8550021355103211E-2</v>
      </c>
      <c r="G1073" s="199">
        <v>5.2514054770878567E-2</v>
      </c>
      <c r="H1073" s="199">
        <v>5.2097808160843626E-2</v>
      </c>
      <c r="I1073" s="199">
        <v>3.6747858478978178E-2</v>
      </c>
      <c r="J1073" s="199">
        <v>5.4038128855568822E-2</v>
      </c>
      <c r="K1073" s="199">
        <v>6.1825438070537635E-2</v>
      </c>
      <c r="L1073" s="199">
        <v>5.8880379679660477E-2</v>
      </c>
      <c r="M1073" s="199">
        <v>5.5581974065390179E-2</v>
      </c>
      <c r="N1073" s="199">
        <v>3.1185456467462454E-2</v>
      </c>
    </row>
    <row r="1074" spans="1:14">
      <c r="C1074" s="29">
        <v>16</v>
      </c>
      <c r="D1074" s="34" t="s">
        <v>1519</v>
      </c>
      <c r="E1074" s="199">
        <v>5.3697598916882555E-2</v>
      </c>
      <c r="F1074" s="199">
        <v>5.7045714704331556E-2</v>
      </c>
      <c r="G1074" s="199">
        <v>5.0893648317041296E-2</v>
      </c>
      <c r="H1074" s="199">
        <v>4.7813017293856529E-2</v>
      </c>
      <c r="I1074" s="199">
        <v>3.7232360048490294E-2</v>
      </c>
      <c r="J1074" s="199">
        <v>5.8805101652627687E-2</v>
      </c>
      <c r="K1074" s="199">
        <v>5.9163664665778666E-2</v>
      </c>
      <c r="L1074" s="199">
        <v>5.6017553294295051E-2</v>
      </c>
      <c r="M1074" s="199">
        <v>4.9671039204299057E-2</v>
      </c>
      <c r="N1074" s="199">
        <v>3.4215126623940662E-2</v>
      </c>
    </row>
    <row r="1075" spans="1:14">
      <c r="C1075" s="29">
        <v>17</v>
      </c>
      <c r="D1075" s="34" t="s">
        <v>1520</v>
      </c>
      <c r="E1075" s="199">
        <v>5.8053395975005244E-2</v>
      </c>
      <c r="F1075" s="199">
        <v>5.2438919799965435E-2</v>
      </c>
      <c r="G1075" s="199">
        <v>4.9760644420550323E-2</v>
      </c>
      <c r="H1075" s="199">
        <v>4.6355418666237103E-2</v>
      </c>
      <c r="I1075" s="199">
        <v>3.8647187746896516E-2</v>
      </c>
      <c r="J1075" s="199">
        <v>6.1774388941502389E-2</v>
      </c>
      <c r="K1075" s="199">
        <v>5.6536096572677476E-2</v>
      </c>
      <c r="L1075" s="199">
        <v>5.1105052524869243E-2</v>
      </c>
      <c r="M1075" s="199">
        <v>4.067694881291329E-2</v>
      </c>
      <c r="N1075" s="199">
        <v>3.4400161210479528E-2</v>
      </c>
    </row>
    <row r="1076" spans="1:14">
      <c r="C1076" s="29">
        <v>18</v>
      </c>
      <c r="D1076" s="34" t="s">
        <v>1521</v>
      </c>
      <c r="E1076" s="199">
        <v>6.2164438134349131E-2</v>
      </c>
      <c r="F1076" s="199">
        <v>4.1612185132592919E-2</v>
      </c>
      <c r="G1076" s="199">
        <v>4.8254671285477849E-2</v>
      </c>
      <c r="H1076" s="199">
        <v>4.1801428667289683E-2</v>
      </c>
      <c r="I1076" s="199">
        <v>3.9182290557378686E-2</v>
      </c>
      <c r="J1076" s="199">
        <v>6.6565279673118066E-2</v>
      </c>
      <c r="K1076" s="199">
        <v>4.665094560105424E-2</v>
      </c>
      <c r="L1076" s="199">
        <v>4.6164333142760597E-2</v>
      </c>
      <c r="M1076" s="199">
        <v>3.9223750664412839E-2</v>
      </c>
      <c r="N1076" s="199">
        <v>3.9206359693495535E-2</v>
      </c>
    </row>
    <row r="1077" spans="1:14">
      <c r="C1077" s="29">
        <v>19</v>
      </c>
      <c r="D1077" s="34" t="s">
        <v>1522</v>
      </c>
      <c r="E1077" s="199">
        <v>6.4233126292060405E-2</v>
      </c>
      <c r="F1077" s="199">
        <v>3.6467771833962354E-2</v>
      </c>
      <c r="G1077" s="199">
        <v>4.6045655809479169E-2</v>
      </c>
      <c r="H1077" s="199">
        <v>4.0932327294718338E-2</v>
      </c>
      <c r="I1077" s="199">
        <v>3.9415131825323475E-2</v>
      </c>
      <c r="J1077" s="199">
        <v>6.8501686645714238E-2</v>
      </c>
      <c r="K1077" s="199">
        <v>4.0594543545856253E-2</v>
      </c>
      <c r="L1077" s="199">
        <v>4.2261947251459001E-2</v>
      </c>
      <c r="M1077" s="199">
        <v>3.7215002445451839E-2</v>
      </c>
      <c r="N1077" s="199">
        <v>3.8762111384105721E-2</v>
      </c>
    </row>
    <row r="1078" spans="1:14">
      <c r="C1078" s="29">
        <v>20</v>
      </c>
      <c r="D1078" s="34" t="s">
        <v>1523</v>
      </c>
      <c r="E1078" s="199">
        <v>6.1709975154163176E-2</v>
      </c>
      <c r="F1078" s="199">
        <v>3.4643143629415812E-2</v>
      </c>
      <c r="G1078" s="199">
        <v>4.410215891047068E-2</v>
      </c>
      <c r="H1078" s="199">
        <v>3.9866686916391329E-2</v>
      </c>
      <c r="I1078" s="199">
        <v>4.0245129128794438E-2</v>
      </c>
      <c r="J1078" s="199">
        <v>6.4592449449927772E-2</v>
      </c>
      <c r="K1078" s="199">
        <v>3.6461978559307988E-2</v>
      </c>
      <c r="L1078" s="199">
        <v>4.0594951705389577E-2</v>
      </c>
      <c r="M1078" s="199">
        <v>3.6359352184409624E-2</v>
      </c>
      <c r="N1078" s="199">
        <v>4.0123784109165658E-2</v>
      </c>
    </row>
    <row r="1079" spans="1:14">
      <c r="C1079" s="29">
        <v>21</v>
      </c>
      <c r="D1079" s="34" t="s">
        <v>1524</v>
      </c>
      <c r="E1079" s="199">
        <v>5.7473013983319179E-2</v>
      </c>
      <c r="F1079" s="199">
        <v>3.6425998579070043E-2</v>
      </c>
      <c r="G1079" s="199">
        <v>4.1604120317371221E-2</v>
      </c>
      <c r="H1079" s="199">
        <v>3.8460058206069583E-2</v>
      </c>
      <c r="I1079" s="199">
        <v>4.1221475705029001E-2</v>
      </c>
      <c r="J1079" s="199">
        <v>5.9338548912776838E-2</v>
      </c>
      <c r="K1079" s="199">
        <v>3.7014473504497471E-2</v>
      </c>
      <c r="L1079" s="199">
        <v>3.7506335889135808E-2</v>
      </c>
      <c r="M1079" s="199">
        <v>3.5255767442319688E-2</v>
      </c>
      <c r="N1079" s="199">
        <v>4.5694244654672624E-2</v>
      </c>
    </row>
    <row r="1080" spans="1:14">
      <c r="C1080" s="29">
        <v>22</v>
      </c>
      <c r="D1080" s="34" t="s">
        <v>1525</v>
      </c>
      <c r="E1080" s="199">
        <v>5.4220847717147642E-2</v>
      </c>
      <c r="F1080" s="199">
        <v>4.1458686900184949E-2</v>
      </c>
      <c r="G1080" s="199">
        <v>4.0091902985522482E-2</v>
      </c>
      <c r="H1080" s="199">
        <v>4.0094952518349367E-2</v>
      </c>
      <c r="I1080" s="199">
        <v>4.3008126894594996E-2</v>
      </c>
      <c r="J1080" s="199">
        <v>5.1057869861208124E-2</v>
      </c>
      <c r="K1080" s="199">
        <v>4.0100517960099051E-2</v>
      </c>
      <c r="L1080" s="199">
        <v>3.5692015880442254E-2</v>
      </c>
      <c r="M1080" s="199">
        <v>3.5629179611695566E-2</v>
      </c>
      <c r="N1080" s="199">
        <v>4.6896452899373685E-2</v>
      </c>
    </row>
    <row r="1081" spans="1:14">
      <c r="C1081" s="29">
        <v>23</v>
      </c>
      <c r="D1081" s="34" t="s">
        <v>1526</v>
      </c>
      <c r="E1081" s="199">
        <v>4.6538414810243588E-2</v>
      </c>
      <c r="F1081" s="199">
        <v>3.8793928817774333E-2</v>
      </c>
      <c r="G1081" s="199">
        <v>3.6754047968817011E-2</v>
      </c>
      <c r="H1081" s="199">
        <v>3.8124005122372996E-2</v>
      </c>
      <c r="I1081" s="199">
        <v>4.2762912761382686E-2</v>
      </c>
      <c r="J1081" s="199">
        <v>4.2397641368316481E-2</v>
      </c>
      <c r="K1081" s="199">
        <v>3.6960882728267204E-2</v>
      </c>
      <c r="L1081" s="199">
        <v>3.2129783327156825E-2</v>
      </c>
      <c r="M1081" s="199">
        <v>3.4403580159170263E-2</v>
      </c>
      <c r="N1081" s="199">
        <v>4.5431208330089727E-2</v>
      </c>
    </row>
    <row r="1082" spans="1:14">
      <c r="C1082" s="29">
        <v>24</v>
      </c>
      <c r="D1082" s="34" t="s">
        <v>1527</v>
      </c>
      <c r="E1082" s="199">
        <v>3.7959179384904888E-2</v>
      </c>
      <c r="F1082" s="199">
        <v>3.640585112447469E-2</v>
      </c>
      <c r="G1082" s="199">
        <v>3.3195196993752035E-2</v>
      </c>
      <c r="H1082" s="199">
        <v>3.5119309834971087E-2</v>
      </c>
      <c r="I1082" s="199">
        <v>4.1421354148711453E-2</v>
      </c>
      <c r="J1082" s="199">
        <v>3.4836002013784027E-2</v>
      </c>
      <c r="K1082" s="199">
        <v>3.327184538889847E-2</v>
      </c>
      <c r="L1082" s="199">
        <v>2.8170291474964599E-2</v>
      </c>
      <c r="M1082" s="199">
        <v>3.3039387910552616E-2</v>
      </c>
      <c r="N1082" s="199">
        <v>4.1928103783430398E-2</v>
      </c>
    </row>
    <row r="1083" spans="1:14">
      <c r="A1083" s="16" t="s">
        <v>436</v>
      </c>
      <c r="B1083" s="16" t="s">
        <v>310</v>
      </c>
      <c r="C1083" s="29">
        <v>1</v>
      </c>
      <c r="D1083" s="34" t="s">
        <v>1528</v>
      </c>
      <c r="E1083" s="199">
        <v>3.280051311548645E-2</v>
      </c>
      <c r="F1083" s="199">
        <v>3.3752903634409019E-2</v>
      </c>
      <c r="G1083" s="199">
        <v>3.0514772051890297E-2</v>
      </c>
      <c r="H1083" s="199">
        <v>3.3044998080750204E-2</v>
      </c>
      <c r="I1083" s="199">
        <v>4.0010180632579523E-2</v>
      </c>
      <c r="J1083" s="199">
        <v>2.8642037933787976E-2</v>
      </c>
      <c r="K1083" s="199">
        <v>3.0616492071564413E-2</v>
      </c>
      <c r="L1083" s="199">
        <v>2.6547542449504833E-2</v>
      </c>
      <c r="M1083" s="199">
        <v>3.1153872652046062E-2</v>
      </c>
      <c r="N1083" s="199">
        <v>3.6345419190678255E-2</v>
      </c>
    </row>
    <row r="1084" spans="1:14">
      <c r="C1084" s="29">
        <v>2</v>
      </c>
      <c r="D1084" s="34" t="s">
        <v>1529</v>
      </c>
      <c r="E1084" s="199">
        <v>2.8284151613220281E-2</v>
      </c>
      <c r="F1084" s="199">
        <v>3.3371379650614805E-2</v>
      </c>
      <c r="G1084" s="199">
        <v>3.0323637240091142E-2</v>
      </c>
      <c r="H1084" s="199">
        <v>3.2210893558465424E-2</v>
      </c>
      <c r="I1084" s="199">
        <v>3.8927591569328152E-2</v>
      </c>
      <c r="J1084" s="199">
        <v>2.5148930351807524E-2</v>
      </c>
      <c r="K1084" s="199">
        <v>2.8833432914309117E-2</v>
      </c>
      <c r="L1084" s="199">
        <v>2.5261153311275254E-2</v>
      </c>
      <c r="M1084" s="199">
        <v>3.1538273944510725E-2</v>
      </c>
      <c r="N1084" s="199">
        <v>3.4840142274630177E-2</v>
      </c>
    </row>
    <row r="1085" spans="1:14">
      <c r="C1085" s="29">
        <v>3</v>
      </c>
      <c r="D1085" s="34" t="s">
        <v>1530</v>
      </c>
      <c r="E1085" s="199">
        <v>2.5714549184849795E-2</v>
      </c>
      <c r="F1085" s="199">
        <v>3.280515521516076E-2</v>
      </c>
      <c r="G1085" s="199">
        <v>3.0029888662500306E-2</v>
      </c>
      <c r="H1085" s="199">
        <v>3.154837310419522E-2</v>
      </c>
      <c r="I1085" s="199">
        <v>4.031758099883237E-2</v>
      </c>
      <c r="J1085" s="199">
        <v>2.2426898168896831E-2</v>
      </c>
      <c r="K1085" s="199">
        <v>2.8293638255026191E-2</v>
      </c>
      <c r="L1085" s="199">
        <v>2.3975029477348891E-2</v>
      </c>
      <c r="M1085" s="199">
        <v>3.0931115922573194E-2</v>
      </c>
      <c r="N1085" s="199">
        <v>3.9407598133049178E-2</v>
      </c>
    </row>
    <row r="1086" spans="1:14">
      <c r="C1086" s="29">
        <v>4</v>
      </c>
      <c r="D1086" s="34" t="s">
        <v>1531</v>
      </c>
      <c r="E1086" s="199">
        <v>2.4526233027156417E-2</v>
      </c>
      <c r="F1086" s="199">
        <v>3.1305722100945559E-2</v>
      </c>
      <c r="G1086" s="199">
        <v>2.9763741394121298E-2</v>
      </c>
      <c r="H1086" s="199">
        <v>3.0723294861605951E-2</v>
      </c>
      <c r="I1086" s="199">
        <v>4.075883202305481E-2</v>
      </c>
      <c r="J1086" s="199">
        <v>2.1095453235844146E-2</v>
      </c>
      <c r="K1086" s="199">
        <v>2.7865232121688149E-2</v>
      </c>
      <c r="L1086" s="199">
        <v>2.4303547632816232E-2</v>
      </c>
      <c r="M1086" s="199">
        <v>3.1477089711795594E-2</v>
      </c>
      <c r="N1086" s="199">
        <v>3.9228872895649455E-2</v>
      </c>
    </row>
    <row r="1087" spans="1:14">
      <c r="C1087" s="29">
        <v>5</v>
      </c>
      <c r="D1087" s="34" t="s">
        <v>1532</v>
      </c>
      <c r="E1087" s="199">
        <v>2.4746963084296383E-2</v>
      </c>
      <c r="F1087" s="199">
        <v>3.0149424873205658E-2</v>
      </c>
      <c r="G1087" s="199">
        <v>3.1340240234785814E-2</v>
      </c>
      <c r="H1087" s="199">
        <v>3.1637745986250736E-2</v>
      </c>
      <c r="I1087" s="199">
        <v>4.168260112739125E-2</v>
      </c>
      <c r="J1087" s="199">
        <v>2.1974984423505924E-2</v>
      </c>
      <c r="K1087" s="199">
        <v>2.7306384161914658E-2</v>
      </c>
      <c r="L1087" s="199">
        <v>2.7331302381273466E-2</v>
      </c>
      <c r="M1087" s="199">
        <v>3.2955456437258702E-2</v>
      </c>
      <c r="N1087" s="199">
        <v>4.137268137294968E-2</v>
      </c>
    </row>
    <row r="1088" spans="1:14">
      <c r="C1088" s="29">
        <v>6</v>
      </c>
      <c r="D1088" s="34" t="s">
        <v>1533</v>
      </c>
      <c r="E1088" s="199">
        <v>2.4977990553725609E-2</v>
      </c>
      <c r="F1088" s="199">
        <v>2.8415287329786702E-2</v>
      </c>
      <c r="G1088" s="199">
        <v>3.2193999644637171E-2</v>
      </c>
      <c r="H1088" s="199">
        <v>3.4669643672141461E-2</v>
      </c>
      <c r="I1088" s="199">
        <v>4.3950055981362771E-2</v>
      </c>
      <c r="J1088" s="199">
        <v>2.4673253116961509E-2</v>
      </c>
      <c r="K1088" s="199">
        <v>2.4230760091667625E-2</v>
      </c>
      <c r="L1088" s="199">
        <v>3.4587395482349348E-2</v>
      </c>
      <c r="M1088" s="199">
        <v>4.2475550088771179E-2</v>
      </c>
      <c r="N1088" s="199">
        <v>5.2546412290850594E-2</v>
      </c>
    </row>
    <row r="1089" spans="3:14">
      <c r="C1089" s="29">
        <v>7</v>
      </c>
      <c r="D1089" s="34" t="s">
        <v>1534</v>
      </c>
      <c r="E1089" s="199">
        <v>2.8227632001484038E-2</v>
      </c>
      <c r="F1089" s="199">
        <v>2.8977782351641116E-2</v>
      </c>
      <c r="G1089" s="199">
        <v>3.7261611054612731E-2</v>
      </c>
      <c r="H1089" s="199">
        <v>4.0904599342937699E-2</v>
      </c>
      <c r="I1089" s="199">
        <v>4.5773456407199827E-2</v>
      </c>
      <c r="J1089" s="199">
        <v>2.8112559055577878E-2</v>
      </c>
      <c r="K1089" s="199">
        <v>2.8182084844750131E-2</v>
      </c>
      <c r="L1089" s="199">
        <v>3.9995950231851478E-2</v>
      </c>
      <c r="M1089" s="199">
        <v>4.5216805499864364E-2</v>
      </c>
      <c r="N1089" s="199">
        <v>6.3703647023370169E-2</v>
      </c>
    </row>
    <row r="1090" spans="3:14">
      <c r="C1090" s="29">
        <v>8</v>
      </c>
      <c r="D1090" s="34" t="s">
        <v>1535</v>
      </c>
      <c r="E1090" s="199">
        <v>3.2376891408198882E-2</v>
      </c>
      <c r="F1090" s="199">
        <v>3.719583859897526E-2</v>
      </c>
      <c r="G1090" s="199">
        <v>4.1828613550086609E-2</v>
      </c>
      <c r="H1090" s="199">
        <v>4.6486993130958776E-2</v>
      </c>
      <c r="I1090" s="199">
        <v>4.6574018285368314E-2</v>
      </c>
      <c r="J1090" s="199">
        <v>3.0739468328311485E-2</v>
      </c>
      <c r="K1090" s="199">
        <v>3.6676632458847301E-2</v>
      </c>
      <c r="L1090" s="199">
        <v>4.4920977684724452E-2</v>
      </c>
      <c r="M1090" s="199">
        <v>5.0653770462126164E-2</v>
      </c>
      <c r="N1090" s="199">
        <v>5.8822366144262603E-2</v>
      </c>
    </row>
    <row r="1091" spans="3:14">
      <c r="C1091" s="29">
        <v>9</v>
      </c>
      <c r="D1091" s="34" t="s">
        <v>1536</v>
      </c>
      <c r="E1091" s="199">
        <v>3.4390966062709992E-2</v>
      </c>
      <c r="F1091" s="199">
        <v>4.5099122393397209E-2</v>
      </c>
      <c r="G1091" s="199">
        <v>4.5098050948797194E-2</v>
      </c>
      <c r="H1091" s="199">
        <v>4.9336966785240063E-2</v>
      </c>
      <c r="I1091" s="199">
        <v>4.6678171867998525E-2</v>
      </c>
      <c r="J1091" s="199">
        <v>3.3795261259319642E-2</v>
      </c>
      <c r="K1091" s="199">
        <v>4.551939745989092E-2</v>
      </c>
      <c r="L1091" s="199">
        <v>5.0545163608674032E-2</v>
      </c>
      <c r="M1091" s="199">
        <v>5.1395764407985968E-2</v>
      </c>
      <c r="N1091" s="199">
        <v>5.1983007935311083E-2</v>
      </c>
    </row>
    <row r="1092" spans="3:14">
      <c r="C1092" s="29">
        <v>10</v>
      </c>
      <c r="D1092" s="34" t="s">
        <v>1537</v>
      </c>
      <c r="E1092" s="199">
        <v>3.6522775769517013E-2</v>
      </c>
      <c r="F1092" s="199">
        <v>4.9769143828375918E-2</v>
      </c>
      <c r="G1092" s="199">
        <v>4.7261885963836459E-2</v>
      </c>
      <c r="H1092" s="199">
        <v>5.0342146852739682E-2</v>
      </c>
      <c r="I1092" s="199">
        <v>4.5764119646713133E-2</v>
      </c>
      <c r="J1092" s="199">
        <v>3.9158087212231969E-2</v>
      </c>
      <c r="K1092" s="199">
        <v>5.0328578747080237E-2</v>
      </c>
      <c r="L1092" s="199">
        <v>5.3501551499565238E-2</v>
      </c>
      <c r="M1092" s="199">
        <v>5.2817847404649891E-2</v>
      </c>
      <c r="N1092" s="199">
        <v>4.5751474532895846E-2</v>
      </c>
    </row>
    <row r="1093" spans="3:14">
      <c r="C1093" s="29">
        <v>11</v>
      </c>
      <c r="D1093" s="34" t="s">
        <v>1538</v>
      </c>
      <c r="E1093" s="199">
        <v>3.9013661071801972E-2</v>
      </c>
      <c r="F1093" s="199">
        <v>5.4052907410564607E-2</v>
      </c>
      <c r="G1093" s="199">
        <v>4.9441497097955305E-2</v>
      </c>
      <c r="H1093" s="199">
        <v>5.0861645269581084E-2</v>
      </c>
      <c r="I1093" s="199">
        <v>4.4737551146381942E-2</v>
      </c>
      <c r="J1093" s="199">
        <v>4.1072098069708241E-2</v>
      </c>
      <c r="K1093" s="199">
        <v>5.5729529898833015E-2</v>
      </c>
      <c r="L1093" s="199">
        <v>5.6346266686824353E-2</v>
      </c>
      <c r="M1093" s="199">
        <v>5.3500026376241662E-2</v>
      </c>
      <c r="N1093" s="199">
        <v>3.833181828458055E-2</v>
      </c>
    </row>
    <row r="1094" spans="3:14">
      <c r="C1094" s="29">
        <v>12</v>
      </c>
      <c r="D1094" s="34" t="s">
        <v>1539</v>
      </c>
      <c r="E1094" s="199">
        <v>4.2903297786874933E-2</v>
      </c>
      <c r="F1094" s="199">
        <v>5.5534817253412978E-2</v>
      </c>
      <c r="G1094" s="199">
        <v>5.0442356169731785E-2</v>
      </c>
      <c r="H1094" s="199">
        <v>5.2990999739721087E-2</v>
      </c>
      <c r="I1094" s="199">
        <v>4.2919805043689495E-2</v>
      </c>
      <c r="J1094" s="199">
        <v>4.5015395588163698E-2</v>
      </c>
      <c r="K1094" s="199">
        <v>5.7025960433366586E-2</v>
      </c>
      <c r="L1094" s="199">
        <v>5.74008921081684E-2</v>
      </c>
      <c r="M1094" s="199">
        <v>5.0845682843422266E-2</v>
      </c>
      <c r="N1094" s="199">
        <v>3.4598214784805514E-2</v>
      </c>
    </row>
    <row r="1095" spans="3:14">
      <c r="C1095" s="29">
        <v>13</v>
      </c>
      <c r="D1095" s="34" t="s">
        <v>1540</v>
      </c>
      <c r="E1095" s="199">
        <v>4.7529976028198445E-2</v>
      </c>
      <c r="F1095" s="199">
        <v>5.6180403610267278E-2</v>
      </c>
      <c r="G1095" s="199">
        <v>5.1051907695463486E-2</v>
      </c>
      <c r="H1095" s="199">
        <v>5.2744705197043683E-2</v>
      </c>
      <c r="I1095" s="199">
        <v>4.1584553263450806E-2</v>
      </c>
      <c r="J1095" s="199">
        <v>4.7536287478371762E-2</v>
      </c>
      <c r="K1095" s="199">
        <v>5.6869503523568989E-2</v>
      </c>
      <c r="L1095" s="199">
        <v>5.8030734728023094E-2</v>
      </c>
      <c r="M1095" s="199">
        <v>5.3986545522366335E-2</v>
      </c>
      <c r="N1095" s="199">
        <v>3.4267247643765861E-2</v>
      </c>
    </row>
    <row r="1096" spans="3:14">
      <c r="C1096" s="29">
        <v>14</v>
      </c>
      <c r="D1096" s="34" t="s">
        <v>1541</v>
      </c>
      <c r="E1096" s="199">
        <v>4.9757673045638204E-2</v>
      </c>
      <c r="F1096" s="199">
        <v>5.6674615555388094E-2</v>
      </c>
      <c r="G1096" s="199">
        <v>5.192764328518721E-2</v>
      </c>
      <c r="H1096" s="199">
        <v>5.5103572957469447E-2</v>
      </c>
      <c r="I1096" s="199">
        <v>3.8128241331833519E-2</v>
      </c>
      <c r="J1096" s="199">
        <v>5.1993054391505707E-2</v>
      </c>
      <c r="K1096" s="199">
        <v>5.8381822609045744E-2</v>
      </c>
      <c r="L1096" s="199">
        <v>5.9075125525669868E-2</v>
      </c>
      <c r="M1096" s="199">
        <v>5.3679399232811689E-2</v>
      </c>
      <c r="N1096" s="199">
        <v>3.0313032508167963E-2</v>
      </c>
    </row>
    <row r="1097" spans="3:14">
      <c r="C1097" s="29">
        <v>15</v>
      </c>
      <c r="D1097" s="34" t="s">
        <v>1542</v>
      </c>
      <c r="E1097" s="199">
        <v>5.2022174502438831E-2</v>
      </c>
      <c r="F1097" s="199">
        <v>5.7152696543552622E-2</v>
      </c>
      <c r="G1097" s="199">
        <v>5.2193303011693795E-2</v>
      </c>
      <c r="H1097" s="199">
        <v>5.1929712656649397E-2</v>
      </c>
      <c r="I1097" s="199">
        <v>3.6093112637656924E-2</v>
      </c>
      <c r="J1097" s="199">
        <v>5.3888654969760225E-2</v>
      </c>
      <c r="K1097" s="199">
        <v>6.1213179702907364E-2</v>
      </c>
      <c r="L1097" s="199">
        <v>5.8350640697647463E-2</v>
      </c>
      <c r="M1097" s="199">
        <v>5.3627655676758139E-2</v>
      </c>
      <c r="N1097" s="199">
        <v>3.1442275897209875E-2</v>
      </c>
    </row>
    <row r="1098" spans="3:14">
      <c r="C1098" s="29">
        <v>16</v>
      </c>
      <c r="D1098" s="34" t="s">
        <v>1543</v>
      </c>
      <c r="E1098" s="199">
        <v>5.506092651265946E-2</v>
      </c>
      <c r="F1098" s="199">
        <v>5.5759099214743618E-2</v>
      </c>
      <c r="G1098" s="199">
        <v>5.0437862505492502E-2</v>
      </c>
      <c r="H1098" s="199">
        <v>4.7194390722306634E-2</v>
      </c>
      <c r="I1098" s="199">
        <v>3.723100953402033E-2</v>
      </c>
      <c r="J1098" s="199">
        <v>5.6456948470957356E-2</v>
      </c>
      <c r="K1098" s="199">
        <v>5.9633038195876689E-2</v>
      </c>
      <c r="L1098" s="199">
        <v>5.5762331915438293E-2</v>
      </c>
      <c r="M1098" s="199">
        <v>4.7919361343268477E-2</v>
      </c>
      <c r="N1098" s="199">
        <v>3.2879878703350136E-2</v>
      </c>
    </row>
    <row r="1099" spans="3:14">
      <c r="C1099" s="29">
        <v>17</v>
      </c>
      <c r="D1099" s="34" t="s">
        <v>1544</v>
      </c>
      <c r="E1099" s="199">
        <v>5.7005083173360616E-2</v>
      </c>
      <c r="F1099" s="199">
        <v>5.2778889999414318E-2</v>
      </c>
      <c r="G1099" s="199">
        <v>5.0028207746908811E-2</v>
      </c>
      <c r="H1099" s="199">
        <v>4.5699842213850629E-2</v>
      </c>
      <c r="I1099" s="199">
        <v>3.8155158760921119E-2</v>
      </c>
      <c r="J1099" s="199">
        <v>6.2152739085667812E-2</v>
      </c>
      <c r="K1099" s="199">
        <v>5.5564389080927229E-2</v>
      </c>
      <c r="L1099" s="199">
        <v>4.9974402216343992E-2</v>
      </c>
      <c r="M1099" s="199">
        <v>3.9667128947536073E-2</v>
      </c>
      <c r="N1099" s="199">
        <v>3.6379454994853629E-2</v>
      </c>
    </row>
    <row r="1100" spans="3:14">
      <c r="C1100" s="29">
        <v>18</v>
      </c>
      <c r="D1100" s="34" t="s">
        <v>1545</v>
      </c>
      <c r="E1100" s="199">
        <v>6.0261487763132102E-2</v>
      </c>
      <c r="F1100" s="199">
        <v>4.1900697729526037E-2</v>
      </c>
      <c r="G1100" s="199">
        <v>4.8311917772953981E-2</v>
      </c>
      <c r="H1100" s="199">
        <v>4.1232554171874443E-2</v>
      </c>
      <c r="I1100" s="199">
        <v>3.9724518525475101E-2</v>
      </c>
      <c r="J1100" s="199">
        <v>6.4575931754919033E-2</v>
      </c>
      <c r="K1100" s="199">
        <v>4.7451603654928676E-2</v>
      </c>
      <c r="L1100" s="199">
        <v>4.4863855627438963E-2</v>
      </c>
      <c r="M1100" s="199">
        <v>3.8667714413621553E-2</v>
      </c>
      <c r="N1100" s="199">
        <v>4.0794370825800522E-2</v>
      </c>
    </row>
    <row r="1101" spans="3:14">
      <c r="C1101" s="29">
        <v>19</v>
      </c>
      <c r="D1101" s="34" t="s">
        <v>1546</v>
      </c>
      <c r="E1101" s="199">
        <v>6.1196174349238394E-2</v>
      </c>
      <c r="F1101" s="199">
        <v>3.6237150566501397E-2</v>
      </c>
      <c r="G1101" s="199">
        <v>4.6687874400824274E-2</v>
      </c>
      <c r="H1101" s="199">
        <v>3.9481667795446033E-2</v>
      </c>
      <c r="I1101" s="199">
        <v>3.9672655553102426E-2</v>
      </c>
      <c r="J1101" s="199">
        <v>6.4041557259387802E-2</v>
      </c>
      <c r="K1101" s="199">
        <v>3.9839407058357451E-2</v>
      </c>
      <c r="L1101" s="199">
        <v>4.1370910191309708E-2</v>
      </c>
      <c r="M1101" s="199">
        <v>3.6629537181996935E-2</v>
      </c>
      <c r="N1101" s="199">
        <v>4.1361153918104875E-2</v>
      </c>
    </row>
    <row r="1102" spans="3:14">
      <c r="C1102" s="29">
        <v>20</v>
      </c>
      <c r="D1102" s="34" t="s">
        <v>1547</v>
      </c>
      <c r="E1102" s="199">
        <v>5.9058496814085044E-2</v>
      </c>
      <c r="F1102" s="199">
        <v>3.4750516799760156E-2</v>
      </c>
      <c r="G1102" s="199">
        <v>4.4277081029592588E-2</v>
      </c>
      <c r="H1102" s="199">
        <v>3.8584167430792807E-2</v>
      </c>
      <c r="I1102" s="199">
        <v>4.1096167041249729E-2</v>
      </c>
      <c r="J1102" s="199">
        <v>6.0250494007592019E-2</v>
      </c>
      <c r="K1102" s="199">
        <v>3.6043110217535743E-2</v>
      </c>
      <c r="L1102" s="199">
        <v>3.9318587529685513E-2</v>
      </c>
      <c r="M1102" s="199">
        <v>3.5494421929351448E-2</v>
      </c>
      <c r="N1102" s="199">
        <v>4.1904335540360618E-2</v>
      </c>
    </row>
    <row r="1103" spans="3:14">
      <c r="C1103" s="29">
        <v>21</v>
      </c>
      <c r="D1103" s="34" t="s">
        <v>1548</v>
      </c>
      <c r="E1103" s="199">
        <v>5.3586193509420704E-2</v>
      </c>
      <c r="F1103" s="199">
        <v>3.5853219867797548E-2</v>
      </c>
      <c r="G1103" s="199">
        <v>4.1731141971213567E-2</v>
      </c>
      <c r="H1103" s="199">
        <v>3.6334335434012772E-2</v>
      </c>
      <c r="I1103" s="199">
        <v>4.1169958334052979E-2</v>
      </c>
      <c r="J1103" s="199">
        <v>5.6327217746145179E-2</v>
      </c>
      <c r="K1103" s="199">
        <v>3.7625157054615499E-2</v>
      </c>
      <c r="L1103" s="199">
        <v>3.5887060039751562E-2</v>
      </c>
      <c r="M1103" s="199">
        <v>3.4135685152424405E-2</v>
      </c>
      <c r="N1103" s="199">
        <v>4.7360101044104173E-2</v>
      </c>
    </row>
    <row r="1104" spans="3:14">
      <c r="C1104" s="29">
        <v>22</v>
      </c>
      <c r="D1104" s="34" t="s">
        <v>1549</v>
      </c>
      <c r="E1104" s="199">
        <v>5.041681445215216E-2</v>
      </c>
      <c r="F1104" s="199">
        <v>4.013538228841413E-2</v>
      </c>
      <c r="G1104" s="199">
        <v>3.9722837412931172E-2</v>
      </c>
      <c r="H1104" s="199">
        <v>3.7553773107805742E-2</v>
      </c>
      <c r="I1104" s="199">
        <v>4.2680446616454211E-2</v>
      </c>
      <c r="J1104" s="199">
        <v>4.8899594668586233E-2</v>
      </c>
      <c r="K1104" s="199">
        <v>3.8831817231068474E-2</v>
      </c>
      <c r="L1104" s="199">
        <v>3.465643582525639E-2</v>
      </c>
      <c r="M1104" s="199">
        <v>3.4846474418937151E-2</v>
      </c>
      <c r="N1104" s="199">
        <v>4.498022817901242E-2</v>
      </c>
    </row>
    <row r="1105" spans="1:14">
      <c r="C1105" s="29">
        <v>23</v>
      </c>
      <c r="D1105" s="34" t="s">
        <v>1550</v>
      </c>
      <c r="E1105" s="199">
        <v>4.4001696261795023E-2</v>
      </c>
      <c r="F1105" s="199">
        <v>3.7131036308267994E-2</v>
      </c>
      <c r="G1105" s="199">
        <v>3.5815364084564733E-2</v>
      </c>
      <c r="H1105" s="199">
        <v>3.6086642453636068E-2</v>
      </c>
      <c r="I1105" s="199">
        <v>4.3442354781360978E-2</v>
      </c>
      <c r="J1105" s="199">
        <v>3.949499469515045E-2</v>
      </c>
      <c r="K1105" s="199">
        <v>3.5609006414531776E-2</v>
      </c>
      <c r="L1105" s="199">
        <v>3.1011981223965486E-2</v>
      </c>
      <c r="M1105" s="199">
        <v>3.3784001930222012E-2</v>
      </c>
      <c r="N1105" s="199">
        <v>4.3145574115696375E-2</v>
      </c>
    </row>
    <row r="1106" spans="1:14">
      <c r="C1106" s="29">
        <v>24</v>
      </c>
      <c r="D1106" s="34" t="s">
        <v>1551</v>
      </c>
      <c r="E1106" s="199">
        <v>3.5617678908559283E-2</v>
      </c>
      <c r="F1106" s="199">
        <v>3.5016806875877077E-2</v>
      </c>
      <c r="G1106" s="199">
        <v>3.2314565070127865E-2</v>
      </c>
      <c r="H1106" s="199">
        <v>3.3296335474525082E-2</v>
      </c>
      <c r="I1106" s="199">
        <v>4.2927858890521531E-2</v>
      </c>
      <c r="J1106" s="199">
        <v>3.2528098727839676E-2</v>
      </c>
      <c r="K1106" s="199">
        <v>3.2329841797697947E-2</v>
      </c>
      <c r="L1106" s="199">
        <v>2.6981161925093741E-2</v>
      </c>
      <c r="M1106" s="199">
        <v>3.2600818499459935E-2</v>
      </c>
      <c r="N1106" s="199">
        <v>3.8240691766540214E-2</v>
      </c>
    </row>
    <row r="1107" spans="1:14">
      <c r="A1107" s="16" t="s">
        <v>436</v>
      </c>
      <c r="B1107" s="16" t="s">
        <v>311</v>
      </c>
      <c r="C1107" s="29">
        <v>1</v>
      </c>
      <c r="D1107" s="34" t="s">
        <v>1552</v>
      </c>
      <c r="E1107" s="199">
        <v>3.3665213396014533E-2</v>
      </c>
      <c r="F1107" s="199">
        <v>3.5875757900561446E-2</v>
      </c>
      <c r="G1107" s="199">
        <v>3.1347468342632176E-2</v>
      </c>
      <c r="H1107" s="199">
        <v>3.3743439948260186E-2</v>
      </c>
      <c r="I1107" s="199">
        <v>4.1665319807954911E-2</v>
      </c>
      <c r="J1107" s="199">
        <v>2.8894739443621611E-2</v>
      </c>
      <c r="K1107" s="199">
        <v>3.2045638773711659E-2</v>
      </c>
      <c r="L1107" s="199">
        <v>2.7707046087971834E-2</v>
      </c>
      <c r="M1107" s="199">
        <v>3.3279850082244745E-2</v>
      </c>
      <c r="N1107" s="199">
        <v>3.6636899495987037E-2</v>
      </c>
    </row>
    <row r="1108" spans="1:14">
      <c r="C1108" s="29">
        <v>2</v>
      </c>
      <c r="D1108" s="34" t="s">
        <v>1553</v>
      </c>
      <c r="E1108" s="199">
        <v>2.8729833899110133E-2</v>
      </c>
      <c r="F1108" s="199">
        <v>3.5606352759609612E-2</v>
      </c>
      <c r="G1108" s="199">
        <v>3.1549934267335336E-2</v>
      </c>
      <c r="H1108" s="199">
        <v>3.2794996565370847E-2</v>
      </c>
      <c r="I1108" s="199">
        <v>4.1234146431193497E-2</v>
      </c>
      <c r="J1108" s="199">
        <v>2.4549934708513556E-2</v>
      </c>
      <c r="K1108" s="199">
        <v>3.0059285666782398E-2</v>
      </c>
      <c r="L1108" s="199">
        <v>2.6662777623934462E-2</v>
      </c>
      <c r="M1108" s="199">
        <v>3.3692820809282868E-2</v>
      </c>
      <c r="N1108" s="199">
        <v>3.4956368480251916E-2</v>
      </c>
    </row>
    <row r="1109" spans="1:14">
      <c r="C1109" s="29">
        <v>3</v>
      </c>
      <c r="D1109" s="34" t="s">
        <v>1554</v>
      </c>
      <c r="E1109" s="199">
        <v>2.5941702406768106E-2</v>
      </c>
      <c r="F1109" s="199">
        <v>3.5202458671051075E-2</v>
      </c>
      <c r="G1109" s="199">
        <v>3.0944941609087815E-2</v>
      </c>
      <c r="H1109" s="199">
        <v>3.1422224314415936E-2</v>
      </c>
      <c r="I1109" s="199">
        <v>4.0429781573151212E-2</v>
      </c>
      <c r="J1109" s="199">
        <v>2.2198278165607151E-2</v>
      </c>
      <c r="K1109" s="199">
        <v>2.9542965036745E-2</v>
      </c>
      <c r="L1109" s="199">
        <v>2.5067851037862611E-2</v>
      </c>
      <c r="M1109" s="199">
        <v>3.2465204535862165E-2</v>
      </c>
      <c r="N1109" s="199">
        <v>3.6585874059679779E-2</v>
      </c>
    </row>
    <row r="1110" spans="1:14">
      <c r="C1110" s="29">
        <v>4</v>
      </c>
      <c r="D1110" s="34" t="s">
        <v>1555</v>
      </c>
      <c r="E1110" s="199">
        <v>2.5271315956075562E-2</v>
      </c>
      <c r="F1110" s="199">
        <v>3.3681864385046258E-2</v>
      </c>
      <c r="G1110" s="199">
        <v>3.0678270601500027E-2</v>
      </c>
      <c r="H1110" s="199">
        <v>3.1238724266891824E-2</v>
      </c>
      <c r="I1110" s="199">
        <v>3.9761471768621034E-2</v>
      </c>
      <c r="J1110" s="199">
        <v>2.1227540553841018E-2</v>
      </c>
      <c r="K1110" s="199">
        <v>2.9689290120143742E-2</v>
      </c>
      <c r="L1110" s="199">
        <v>2.5704352618781619E-2</v>
      </c>
      <c r="M1110" s="199">
        <v>3.2328887819287687E-2</v>
      </c>
      <c r="N1110" s="199">
        <v>3.981771830917992E-2</v>
      </c>
    </row>
    <row r="1111" spans="1:14">
      <c r="C1111" s="29">
        <v>5</v>
      </c>
      <c r="D1111" s="34" t="s">
        <v>1556</v>
      </c>
      <c r="E1111" s="199">
        <v>2.4654791765954608E-2</v>
      </c>
      <c r="F1111" s="199">
        <v>3.249242560062874E-2</v>
      </c>
      <c r="G1111" s="199">
        <v>3.2200230342247442E-2</v>
      </c>
      <c r="H1111" s="199">
        <v>3.2444067716314931E-2</v>
      </c>
      <c r="I1111" s="199">
        <v>4.0301584435659052E-2</v>
      </c>
      <c r="J1111" s="199">
        <v>2.1351468860852655E-2</v>
      </c>
      <c r="K1111" s="199">
        <v>2.9654292882673201E-2</v>
      </c>
      <c r="L1111" s="199">
        <v>2.8251892110257179E-2</v>
      </c>
      <c r="M1111" s="199">
        <v>3.4961312952069647E-2</v>
      </c>
      <c r="N1111" s="199">
        <v>3.6401940722567264E-2</v>
      </c>
    </row>
    <row r="1112" spans="1:14">
      <c r="C1112" s="29">
        <v>6</v>
      </c>
      <c r="D1112" s="34" t="s">
        <v>1557</v>
      </c>
      <c r="E1112" s="199">
        <v>2.5230090941309114E-2</v>
      </c>
      <c r="F1112" s="199">
        <v>3.0471032552013038E-2</v>
      </c>
      <c r="G1112" s="199">
        <v>3.2886136671659988E-2</v>
      </c>
      <c r="H1112" s="199">
        <v>3.5054026071998583E-2</v>
      </c>
      <c r="I1112" s="199">
        <v>4.4001769936053821E-2</v>
      </c>
      <c r="J1112" s="199">
        <v>2.3502715533673287E-2</v>
      </c>
      <c r="K1112" s="199">
        <v>2.5649757498102443E-2</v>
      </c>
      <c r="L1112" s="199">
        <v>3.4586007619342204E-2</v>
      </c>
      <c r="M1112" s="199">
        <v>4.3201869070665581E-2</v>
      </c>
      <c r="N1112" s="199">
        <v>4.7203554780545783E-2</v>
      </c>
    </row>
    <row r="1113" spans="1:14">
      <c r="C1113" s="29">
        <v>7</v>
      </c>
      <c r="D1113" s="34" t="s">
        <v>1558</v>
      </c>
      <c r="E1113" s="199">
        <v>2.8294277270889158E-2</v>
      </c>
      <c r="F1113" s="199">
        <v>3.0626576703667759E-2</v>
      </c>
      <c r="G1113" s="199">
        <v>3.7176415060670744E-2</v>
      </c>
      <c r="H1113" s="199">
        <v>4.2543226704414114E-2</v>
      </c>
      <c r="I1113" s="199">
        <v>4.6600835189319512E-2</v>
      </c>
      <c r="J1113" s="199">
        <v>2.7861116263073808E-2</v>
      </c>
      <c r="K1113" s="199">
        <v>2.8418301337550363E-2</v>
      </c>
      <c r="L1113" s="199">
        <v>4.0220873170840221E-2</v>
      </c>
      <c r="M1113" s="199">
        <v>4.6878974209049538E-2</v>
      </c>
      <c r="N1113" s="199">
        <v>5.8932597498188508E-2</v>
      </c>
    </row>
    <row r="1114" spans="1:14">
      <c r="C1114" s="29">
        <v>8</v>
      </c>
      <c r="D1114" s="34" t="s">
        <v>1559</v>
      </c>
      <c r="E1114" s="199">
        <v>3.1225099886366629E-2</v>
      </c>
      <c r="F1114" s="199">
        <v>3.7328460168440575E-2</v>
      </c>
      <c r="G1114" s="199">
        <v>4.1571573464297316E-2</v>
      </c>
      <c r="H1114" s="199">
        <v>4.5632683877092149E-2</v>
      </c>
      <c r="I1114" s="199">
        <v>4.6813088216358427E-2</v>
      </c>
      <c r="J1114" s="199">
        <v>3.1236829648375233E-2</v>
      </c>
      <c r="K1114" s="199">
        <v>3.6819593621681697E-2</v>
      </c>
      <c r="L1114" s="199">
        <v>4.5172587026646296E-2</v>
      </c>
      <c r="M1114" s="199">
        <v>5.0835988110961433E-2</v>
      </c>
      <c r="N1114" s="199">
        <v>6.0529146499053846E-2</v>
      </c>
    </row>
    <row r="1115" spans="1:14">
      <c r="C1115" s="29">
        <v>9</v>
      </c>
      <c r="D1115" s="34" t="s">
        <v>1560</v>
      </c>
      <c r="E1115" s="199">
        <v>3.4408591725214023E-2</v>
      </c>
      <c r="F1115" s="199">
        <v>4.4664643337660806E-2</v>
      </c>
      <c r="G1115" s="199">
        <v>4.4652381486053001E-2</v>
      </c>
      <c r="H1115" s="199">
        <v>4.7132646847262302E-2</v>
      </c>
      <c r="I1115" s="199">
        <v>4.513527432193179E-2</v>
      </c>
      <c r="J1115" s="199">
        <v>3.4062380305596184E-2</v>
      </c>
      <c r="K1115" s="199">
        <v>4.5020084924484553E-2</v>
      </c>
      <c r="L1115" s="199">
        <v>5.0630720144525874E-2</v>
      </c>
      <c r="M1115" s="199">
        <v>5.1590707909748769E-2</v>
      </c>
      <c r="N1115" s="199">
        <v>5.8325254836107517E-2</v>
      </c>
    </row>
    <row r="1116" spans="1:14">
      <c r="C1116" s="29">
        <v>10</v>
      </c>
      <c r="D1116" s="34" t="s">
        <v>1561</v>
      </c>
      <c r="E1116" s="199">
        <v>3.8134188035487813E-2</v>
      </c>
      <c r="F1116" s="199">
        <v>4.7595175263411699E-2</v>
      </c>
      <c r="G1116" s="199">
        <v>4.675405896470497E-2</v>
      </c>
      <c r="H1116" s="199">
        <v>4.9933901004123059E-2</v>
      </c>
      <c r="I1116" s="199">
        <v>4.2821951469391599E-2</v>
      </c>
      <c r="J1116" s="199">
        <v>3.6709381158253396E-2</v>
      </c>
      <c r="K1116" s="199">
        <v>4.9431172376022105E-2</v>
      </c>
      <c r="L1116" s="199">
        <v>5.3671396089775399E-2</v>
      </c>
      <c r="M1116" s="199">
        <v>5.1735544421109149E-2</v>
      </c>
      <c r="N1116" s="199">
        <v>5.1519975853898267E-2</v>
      </c>
    </row>
    <row r="1117" spans="1:14">
      <c r="C1117" s="29">
        <v>11</v>
      </c>
      <c r="D1117" s="34" t="s">
        <v>1562</v>
      </c>
      <c r="E1117" s="199">
        <v>4.2137614521642545E-2</v>
      </c>
      <c r="F1117" s="199">
        <v>5.0353420345132321E-2</v>
      </c>
      <c r="G1117" s="199">
        <v>4.8105394818458373E-2</v>
      </c>
      <c r="H1117" s="199">
        <v>4.7757686388224342E-2</v>
      </c>
      <c r="I1117" s="199">
        <v>4.218724616178008E-2</v>
      </c>
      <c r="J1117" s="199">
        <v>4.0389358153175826E-2</v>
      </c>
      <c r="K1117" s="199">
        <v>5.3700835347427658E-2</v>
      </c>
      <c r="L1117" s="199">
        <v>5.4819487889619059E-2</v>
      </c>
      <c r="M1117" s="199">
        <v>5.1021030395468778E-2</v>
      </c>
      <c r="N1117" s="199">
        <v>3.7869780923370809E-2</v>
      </c>
    </row>
    <row r="1118" spans="1:14">
      <c r="C1118" s="29">
        <v>12</v>
      </c>
      <c r="D1118" s="34" t="s">
        <v>1563</v>
      </c>
      <c r="E1118" s="199">
        <v>4.5279905429774836E-2</v>
      </c>
      <c r="F1118" s="199">
        <v>5.2073685256716233E-2</v>
      </c>
      <c r="G1118" s="199">
        <v>4.9207083280674725E-2</v>
      </c>
      <c r="H1118" s="199">
        <v>5.1319266395594323E-2</v>
      </c>
      <c r="I1118" s="199">
        <v>4.2492395233888196E-2</v>
      </c>
      <c r="J1118" s="199">
        <v>4.3753154567576336E-2</v>
      </c>
      <c r="K1118" s="199">
        <v>5.587487165926433E-2</v>
      </c>
      <c r="L1118" s="199">
        <v>5.5726175450482328E-2</v>
      </c>
      <c r="M1118" s="199">
        <v>4.9621199393735244E-2</v>
      </c>
      <c r="N1118" s="199">
        <v>3.1662746551631669E-2</v>
      </c>
    </row>
    <row r="1119" spans="1:14">
      <c r="C1119" s="29">
        <v>13</v>
      </c>
      <c r="D1119" s="34" t="s">
        <v>1564</v>
      </c>
      <c r="E1119" s="199">
        <v>4.7487649130768396E-2</v>
      </c>
      <c r="F1119" s="199">
        <v>5.1999224335361853E-2</v>
      </c>
      <c r="G1119" s="199">
        <v>5.0096285511800752E-2</v>
      </c>
      <c r="H1119" s="199">
        <v>5.0261022820869479E-2</v>
      </c>
      <c r="I1119" s="199">
        <v>4.1532181708116872E-2</v>
      </c>
      <c r="J1119" s="199">
        <v>4.7504445009670153E-2</v>
      </c>
      <c r="K1119" s="199">
        <v>5.4950018920536206E-2</v>
      </c>
      <c r="L1119" s="199">
        <v>5.6211353369587831E-2</v>
      </c>
      <c r="M1119" s="199">
        <v>5.1672651104543534E-2</v>
      </c>
      <c r="N1119" s="199">
        <v>3.4962476263151542E-2</v>
      </c>
    </row>
    <row r="1120" spans="1:14">
      <c r="C1120" s="29">
        <v>14</v>
      </c>
      <c r="D1120" s="34" t="s">
        <v>1565</v>
      </c>
      <c r="E1120" s="199">
        <v>4.9492866603318281E-2</v>
      </c>
      <c r="F1120" s="199">
        <v>5.3670142364154697E-2</v>
      </c>
      <c r="G1120" s="199">
        <v>5.1598780171277329E-2</v>
      </c>
      <c r="H1120" s="199">
        <v>5.2581458879348425E-2</v>
      </c>
      <c r="I1120" s="199">
        <v>4.0639385530016725E-2</v>
      </c>
      <c r="J1120" s="199">
        <v>4.9550683102476491E-2</v>
      </c>
      <c r="K1120" s="199">
        <v>5.7012108623405944E-2</v>
      </c>
      <c r="L1120" s="199">
        <v>5.7170210449302351E-2</v>
      </c>
      <c r="M1120" s="199">
        <v>5.2264537522085659E-2</v>
      </c>
      <c r="N1120" s="199">
        <v>3.8128025619095375E-2</v>
      </c>
    </row>
    <row r="1121" spans="1:14">
      <c r="C1121" s="29">
        <v>15</v>
      </c>
      <c r="D1121" s="34" t="s">
        <v>1566</v>
      </c>
      <c r="E1121" s="199">
        <v>5.132662283309683E-2</v>
      </c>
      <c r="F1121" s="199">
        <v>5.3709902920689265E-2</v>
      </c>
      <c r="G1121" s="199">
        <v>5.1683062216294394E-2</v>
      </c>
      <c r="H1121" s="199">
        <v>5.0430730381161387E-2</v>
      </c>
      <c r="I1121" s="199">
        <v>3.7945429987843442E-2</v>
      </c>
      <c r="J1121" s="199">
        <v>5.4419105615362687E-2</v>
      </c>
      <c r="K1121" s="199">
        <v>5.906511488486714E-2</v>
      </c>
      <c r="L1121" s="199">
        <v>5.6612653072170005E-2</v>
      </c>
      <c r="M1121" s="199">
        <v>5.1187022801746966E-2</v>
      </c>
      <c r="N1121" s="199">
        <v>3.6651214612158013E-2</v>
      </c>
    </row>
    <row r="1122" spans="1:14">
      <c r="C1122" s="29">
        <v>16</v>
      </c>
      <c r="D1122" s="34" t="s">
        <v>1567</v>
      </c>
      <c r="E1122" s="199">
        <v>5.4365273187080433E-2</v>
      </c>
      <c r="F1122" s="199">
        <v>5.3233964519484478E-2</v>
      </c>
      <c r="G1122" s="199">
        <v>5.1167567735953511E-2</v>
      </c>
      <c r="H1122" s="199">
        <v>4.7319025326904442E-2</v>
      </c>
      <c r="I1122" s="199">
        <v>3.8376514070104631E-2</v>
      </c>
      <c r="J1122" s="199">
        <v>5.5970023617306838E-2</v>
      </c>
      <c r="K1122" s="199">
        <v>5.7189124353525661E-2</v>
      </c>
      <c r="L1122" s="199">
        <v>5.47866084092637E-2</v>
      </c>
      <c r="M1122" s="199">
        <v>4.6066913319512126E-2</v>
      </c>
      <c r="N1122" s="199">
        <v>3.683661127225691E-2</v>
      </c>
    </row>
    <row r="1123" spans="1:14">
      <c r="C1123" s="29">
        <v>17</v>
      </c>
      <c r="D1123" s="34" t="s">
        <v>1568</v>
      </c>
      <c r="E1123" s="199">
        <v>5.7647808966846015E-2</v>
      </c>
      <c r="F1123" s="199">
        <v>4.9898376930823642E-2</v>
      </c>
      <c r="G1123" s="199">
        <v>4.9538831755741912E-2</v>
      </c>
      <c r="H1123" s="199">
        <v>4.5624408384752832E-2</v>
      </c>
      <c r="I1123" s="199">
        <v>3.8325824558809264E-2</v>
      </c>
      <c r="J1123" s="199">
        <v>6.2009331520588705E-2</v>
      </c>
      <c r="K1123" s="199">
        <v>5.3123380929163792E-2</v>
      </c>
      <c r="L1123" s="199">
        <v>4.9942174485757405E-2</v>
      </c>
      <c r="M1123" s="199">
        <v>3.9637627281187027E-2</v>
      </c>
      <c r="N1123" s="199">
        <v>3.3562394278890663E-2</v>
      </c>
    </row>
    <row r="1124" spans="1:14">
      <c r="C1124" s="29">
        <v>18</v>
      </c>
      <c r="D1124" s="34" t="s">
        <v>1569</v>
      </c>
      <c r="E1124" s="199">
        <v>6.062633176632632E-2</v>
      </c>
      <c r="F1124" s="199">
        <v>4.2460442518705496E-2</v>
      </c>
      <c r="G1124" s="199">
        <v>4.8506316122019291E-2</v>
      </c>
      <c r="H1124" s="199">
        <v>4.2008737840498286E-2</v>
      </c>
      <c r="I1124" s="199">
        <v>3.8786494885478903E-2</v>
      </c>
      <c r="J1124" s="199">
        <v>6.4652360049612279E-2</v>
      </c>
      <c r="K1124" s="199">
        <v>4.6580085547207675E-2</v>
      </c>
      <c r="L1124" s="199">
        <v>4.5000454096426445E-2</v>
      </c>
      <c r="M1124" s="199">
        <v>3.9001610241214547E-2</v>
      </c>
      <c r="N1124" s="199">
        <v>3.4363659048034602E-2</v>
      </c>
    </row>
    <row r="1125" spans="1:14">
      <c r="C1125" s="29">
        <v>19</v>
      </c>
      <c r="D1125" s="34" t="s">
        <v>1570</v>
      </c>
      <c r="E1125" s="199">
        <v>5.9807109318823409E-2</v>
      </c>
      <c r="F1125" s="199">
        <v>3.7506087584201465E-2</v>
      </c>
      <c r="G1125" s="199">
        <v>4.6848512771768019E-2</v>
      </c>
      <c r="H1125" s="199">
        <v>4.0738689635755408E-2</v>
      </c>
      <c r="I1125" s="199">
        <v>4.0344267206767419E-2</v>
      </c>
      <c r="J1125" s="199">
        <v>6.6923628228674953E-2</v>
      </c>
      <c r="K1125" s="199">
        <v>4.0332756901936627E-2</v>
      </c>
      <c r="L1125" s="199">
        <v>4.1254074950942812E-2</v>
      </c>
      <c r="M1125" s="199">
        <v>3.733891006552488E-2</v>
      </c>
      <c r="N1125" s="199">
        <v>3.8789129495240736E-2</v>
      </c>
    </row>
    <row r="1126" spans="1:14">
      <c r="C1126" s="29">
        <v>20</v>
      </c>
      <c r="D1126" s="34" t="s">
        <v>1571</v>
      </c>
      <c r="E1126" s="199">
        <v>5.7671452624121523E-2</v>
      </c>
      <c r="F1126" s="199">
        <v>3.4983922475833519E-2</v>
      </c>
      <c r="G1126" s="199">
        <v>4.4434963858711658E-2</v>
      </c>
      <c r="H1126" s="199">
        <v>3.961736042377717E-2</v>
      </c>
      <c r="I1126" s="199">
        <v>4.0984419478892774E-2</v>
      </c>
      <c r="J1126" s="199">
        <v>6.1380844398882389E-2</v>
      </c>
      <c r="K1126" s="199">
        <v>3.6702127646409302E-2</v>
      </c>
      <c r="L1126" s="199">
        <v>3.9184646868805829E-2</v>
      </c>
      <c r="M1126" s="199">
        <v>3.6134172791585428E-2</v>
      </c>
      <c r="N1126" s="199">
        <v>4.2981549851183236E-2</v>
      </c>
    </row>
    <row r="1127" spans="1:14">
      <c r="C1127" s="29">
        <v>21</v>
      </c>
      <c r="D1127" s="34" t="s">
        <v>1572</v>
      </c>
      <c r="E1127" s="199">
        <v>5.3011821752945013E-2</v>
      </c>
      <c r="F1127" s="199">
        <v>3.6787153169252823E-2</v>
      </c>
      <c r="G1127" s="199">
        <v>4.178493207998242E-2</v>
      </c>
      <c r="H1127" s="199">
        <v>3.8261978700202003E-2</v>
      </c>
      <c r="I1127" s="199">
        <v>3.9605384982224733E-2</v>
      </c>
      <c r="J1127" s="199">
        <v>5.6978993820252025E-2</v>
      </c>
      <c r="K1127" s="199">
        <v>3.6883771724058718E-2</v>
      </c>
      <c r="L1127" s="199">
        <v>3.6781880231273066E-2</v>
      </c>
      <c r="M1127" s="199">
        <v>3.4341473949387254E-2</v>
      </c>
      <c r="N1127" s="199">
        <v>4.2376815721382285E-2</v>
      </c>
    </row>
    <row r="1128" spans="1:14">
      <c r="C1128" s="29">
        <v>22</v>
      </c>
      <c r="D1128" s="34" t="s">
        <v>1573</v>
      </c>
      <c r="E1128" s="199">
        <v>4.7983405565646738E-2</v>
      </c>
      <c r="F1128" s="199">
        <v>4.2385060348727591E-2</v>
      </c>
      <c r="G1128" s="199">
        <v>3.9539759451943282E-2</v>
      </c>
      <c r="H1128" s="199">
        <v>3.9557572989992358E-2</v>
      </c>
      <c r="I1128" s="199">
        <v>4.2101196028394933E-2</v>
      </c>
      <c r="J1128" s="199">
        <v>5.0714131647801336E-2</v>
      </c>
      <c r="K1128" s="199">
        <v>4.1171502576195167E-2</v>
      </c>
      <c r="L1128" s="199">
        <v>3.568390908058492E-2</v>
      </c>
      <c r="M1128" s="199">
        <v>3.4197307534245991E-2</v>
      </c>
      <c r="N1128" s="199">
        <v>4.4892013443993635E-2</v>
      </c>
    </row>
    <row r="1129" spans="1:14">
      <c r="C1129" s="29">
        <v>23</v>
      </c>
      <c r="D1129" s="34" t="s">
        <v>1574</v>
      </c>
      <c r="E1129" s="199">
        <v>4.1453930234021906E-2</v>
      </c>
      <c r="F1129" s="199">
        <v>3.9954419288393397E-2</v>
      </c>
      <c r="G1129" s="199">
        <v>3.5368379813328236E-2</v>
      </c>
      <c r="H1129" s="199">
        <v>3.766092609355684E-2</v>
      </c>
      <c r="I1129" s="199">
        <v>4.328919982424461E-2</v>
      </c>
      <c r="J1129" s="199">
        <v>4.168003571978935E-2</v>
      </c>
      <c r="K1129" s="199">
        <v>3.6939732653281404E-2</v>
      </c>
      <c r="L1129" s="199">
        <v>3.147341216640568E-2</v>
      </c>
      <c r="M1129" s="199">
        <v>3.3595561129479735E-2</v>
      </c>
      <c r="N1129" s="199">
        <v>4.4227028580797481E-2</v>
      </c>
    </row>
    <row r="1130" spans="1:14">
      <c r="C1130" s="29">
        <v>24</v>
      </c>
      <c r="D1130" s="34" t="s">
        <v>1575</v>
      </c>
      <c r="E1130" s="199">
        <v>3.6153102782398111E-2</v>
      </c>
      <c r="F1130" s="199">
        <v>3.7439450600432481E-2</v>
      </c>
      <c r="G1130" s="199">
        <v>3.2358719601857246E-2</v>
      </c>
      <c r="H1130" s="199">
        <v>3.4921198423218877E-2</v>
      </c>
      <c r="I1130" s="199">
        <v>4.4624837193802461E-2</v>
      </c>
      <c r="J1130" s="199">
        <v>3.2479519907422746E-2</v>
      </c>
      <c r="K1130" s="199">
        <v>3.4144185994823335E-2</v>
      </c>
      <c r="L1130" s="199">
        <v>2.7677455949440922E-2</v>
      </c>
      <c r="M1130" s="199">
        <v>3.2948822550001387E-2</v>
      </c>
      <c r="N1130" s="199">
        <v>4.1787223803353327E-2</v>
      </c>
    </row>
    <row r="1131" spans="1:14">
      <c r="A1131" s="16" t="s">
        <v>436</v>
      </c>
      <c r="B1131" s="16" t="s">
        <v>420</v>
      </c>
      <c r="C1131" s="29">
        <v>1</v>
      </c>
      <c r="D1131" s="34" t="s">
        <v>1576</v>
      </c>
      <c r="E1131" s="199">
        <v>3.2740237776296324E-2</v>
      </c>
      <c r="F1131" s="199">
        <v>3.5694913217128373E-2</v>
      </c>
      <c r="G1131" s="199">
        <v>3.082966401271842E-2</v>
      </c>
      <c r="H1131" s="199">
        <v>3.279378496396191E-2</v>
      </c>
      <c r="I1131" s="199">
        <v>4.2746741091432935E-2</v>
      </c>
      <c r="J1131" s="199">
        <v>2.902035652037371E-2</v>
      </c>
      <c r="K1131" s="199">
        <v>3.151536167445293E-2</v>
      </c>
      <c r="L1131" s="199">
        <v>2.6539471847106456E-2</v>
      </c>
      <c r="M1131" s="199">
        <v>3.3290784438692406E-2</v>
      </c>
      <c r="N1131" s="199">
        <v>3.6204488779614803E-2</v>
      </c>
    </row>
    <row r="1132" spans="1:14">
      <c r="C1132" s="29">
        <v>2</v>
      </c>
      <c r="D1132" s="34" t="s">
        <v>1577</v>
      </c>
      <c r="E1132" s="199">
        <v>2.8323100572551649E-2</v>
      </c>
      <c r="F1132" s="199">
        <v>3.5107456459245352E-2</v>
      </c>
      <c r="G1132" s="199">
        <v>3.042088497474078E-2</v>
      </c>
      <c r="H1132" s="199">
        <v>3.2252702126042705E-2</v>
      </c>
      <c r="I1132" s="199">
        <v>4.1138721970496776E-2</v>
      </c>
      <c r="J1132" s="199">
        <v>2.4291031376151368E-2</v>
      </c>
      <c r="K1132" s="199">
        <v>2.983209610410836E-2</v>
      </c>
      <c r="L1132" s="199">
        <v>2.5499677631888228E-2</v>
      </c>
      <c r="M1132" s="199">
        <v>3.2852832214678988E-2</v>
      </c>
      <c r="N1132" s="199">
        <v>3.3401026691283572E-2</v>
      </c>
    </row>
    <row r="1133" spans="1:14">
      <c r="C1133" s="29">
        <v>3</v>
      </c>
      <c r="D1133" s="34" t="s">
        <v>1578</v>
      </c>
      <c r="E1133" s="199">
        <v>2.6539488951724553E-2</v>
      </c>
      <c r="F1133" s="199">
        <v>3.4196733934622255E-2</v>
      </c>
      <c r="G1133" s="199">
        <v>2.9865851503703897E-2</v>
      </c>
      <c r="H1133" s="199">
        <v>3.0931049751854508E-2</v>
      </c>
      <c r="I1133" s="199">
        <v>4.1128915556386099E-2</v>
      </c>
      <c r="J1133" s="199">
        <v>2.1879234850516228E-2</v>
      </c>
      <c r="K1133" s="199">
        <v>2.9062722311227581E-2</v>
      </c>
      <c r="L1133" s="199">
        <v>2.3789199630635461E-2</v>
      </c>
      <c r="M1133" s="199">
        <v>3.2101727610757601E-2</v>
      </c>
      <c r="N1133" s="199">
        <v>3.8080344394780405E-2</v>
      </c>
    </row>
    <row r="1134" spans="1:14">
      <c r="C1134" s="29">
        <v>4</v>
      </c>
      <c r="D1134" s="34" t="s">
        <v>1579</v>
      </c>
      <c r="E1134" s="199">
        <v>2.5458118889445023E-2</v>
      </c>
      <c r="F1134" s="199">
        <v>3.3869361219854954E-2</v>
      </c>
      <c r="G1134" s="199">
        <v>3.0189933815416851E-2</v>
      </c>
      <c r="H1134" s="199">
        <v>3.05139422299384E-2</v>
      </c>
      <c r="I1134" s="199">
        <v>4.1416968058705088E-2</v>
      </c>
      <c r="J1134" s="199">
        <v>2.0932484350954482E-2</v>
      </c>
      <c r="K1134" s="199">
        <v>2.9637230242298279E-2</v>
      </c>
      <c r="L1134" s="199">
        <v>2.4417319814436813E-2</v>
      </c>
      <c r="M1134" s="199">
        <v>3.3017928875917278E-2</v>
      </c>
      <c r="N1134" s="199">
        <v>3.7251572517851994E-2</v>
      </c>
    </row>
    <row r="1135" spans="1:14">
      <c r="C1135" s="29">
        <v>5</v>
      </c>
      <c r="D1135" s="34" t="s">
        <v>1580</v>
      </c>
      <c r="E1135" s="199">
        <v>2.4423656791885521E-2</v>
      </c>
      <c r="F1135" s="199">
        <v>3.301371531612695E-2</v>
      </c>
      <c r="G1135" s="199">
        <v>3.1888512221956503E-2</v>
      </c>
      <c r="H1135" s="199">
        <v>3.2406088089211561E-2</v>
      </c>
      <c r="I1135" s="199">
        <v>4.3074950423047834E-2</v>
      </c>
      <c r="J1135" s="199">
        <v>2.1721742598037757E-2</v>
      </c>
      <c r="K1135" s="199">
        <v>3.0076130206939312E-2</v>
      </c>
      <c r="L1135" s="199">
        <v>2.8107068847297186E-2</v>
      </c>
      <c r="M1135" s="199">
        <v>3.5445160542719935E-2</v>
      </c>
      <c r="N1135" s="199">
        <v>4.5012903231860017E-2</v>
      </c>
    </row>
    <row r="1136" spans="1:14">
      <c r="C1136" s="29">
        <v>6</v>
      </c>
      <c r="D1136" s="34" t="s">
        <v>1581</v>
      </c>
      <c r="E1136" s="199">
        <v>2.5329328304877132E-2</v>
      </c>
      <c r="F1136" s="199">
        <v>3.0569469277465313E-2</v>
      </c>
      <c r="G1136" s="199">
        <v>3.2827812952996784E-2</v>
      </c>
      <c r="H1136" s="199">
        <v>3.494435481199594E-2</v>
      </c>
      <c r="I1136" s="199">
        <v>4.4650844080547258E-2</v>
      </c>
      <c r="J1136" s="199">
        <v>2.3665168519661727E-2</v>
      </c>
      <c r="K1136" s="199">
        <v>2.4194564477308712E-2</v>
      </c>
      <c r="L1136" s="199">
        <v>3.3560983901076265E-2</v>
      </c>
      <c r="M1136" s="199">
        <v>4.2086817788418447E-2</v>
      </c>
      <c r="N1136" s="199">
        <v>5.6138175769822989E-2</v>
      </c>
    </row>
    <row r="1137" spans="3:14">
      <c r="C1137" s="29">
        <v>7</v>
      </c>
      <c r="D1137" s="34" t="s">
        <v>1582</v>
      </c>
      <c r="E1137" s="199">
        <v>2.9414937609993738E-2</v>
      </c>
      <c r="F1137" s="199">
        <v>3.0129169091114592E-2</v>
      </c>
      <c r="G1137" s="199">
        <v>3.6967304386164385E-2</v>
      </c>
      <c r="H1137" s="199">
        <v>4.0282113260341333E-2</v>
      </c>
      <c r="I1137" s="199">
        <v>4.5090532262185797E-2</v>
      </c>
      <c r="J1137" s="199">
        <v>2.7113339071183587E-2</v>
      </c>
      <c r="K1137" s="199">
        <v>2.6655963266831294E-2</v>
      </c>
      <c r="L1137" s="199">
        <v>3.8961860330115679E-2</v>
      </c>
      <c r="M1137" s="199">
        <v>4.389847046513954E-2</v>
      </c>
      <c r="N1137" s="199">
        <v>6.2935931724060062E-2</v>
      </c>
    </row>
    <row r="1138" spans="3:14">
      <c r="C1138" s="29">
        <v>8</v>
      </c>
      <c r="D1138" s="34" t="s">
        <v>1583</v>
      </c>
      <c r="E1138" s="199">
        <v>3.2905064082111989E-2</v>
      </c>
      <c r="F1138" s="199">
        <v>3.6084950887225208E-2</v>
      </c>
      <c r="G1138" s="199">
        <v>4.1059268693824924E-2</v>
      </c>
      <c r="H1138" s="199">
        <v>4.5093159290500714E-2</v>
      </c>
      <c r="I1138" s="199">
        <v>4.6267418352072549E-2</v>
      </c>
      <c r="J1138" s="199">
        <v>3.1033317936560157E-2</v>
      </c>
      <c r="K1138" s="199">
        <v>3.449828516033715E-2</v>
      </c>
      <c r="L1138" s="199">
        <v>4.4615139626261929E-2</v>
      </c>
      <c r="M1138" s="199">
        <v>4.7777389957110956E-2</v>
      </c>
      <c r="N1138" s="199">
        <v>5.2474727587144117E-2</v>
      </c>
    </row>
    <row r="1139" spans="3:14">
      <c r="C1139" s="29">
        <v>9</v>
      </c>
      <c r="D1139" s="34" t="s">
        <v>1584</v>
      </c>
      <c r="E1139" s="199">
        <v>3.4339183365418857E-2</v>
      </c>
      <c r="F1139" s="199">
        <v>4.3869208501224666E-2</v>
      </c>
      <c r="G1139" s="199">
        <v>4.5112560786689564E-2</v>
      </c>
      <c r="H1139" s="199">
        <v>4.8037207695919973E-2</v>
      </c>
      <c r="I1139" s="199">
        <v>4.6885949919836203E-2</v>
      </c>
      <c r="J1139" s="199">
        <v>3.3694843247723254E-2</v>
      </c>
      <c r="K1139" s="199">
        <v>4.2060380708259591E-2</v>
      </c>
      <c r="L1139" s="199">
        <v>5.0587398886739458E-2</v>
      </c>
      <c r="M1139" s="199">
        <v>4.9651292194626807E-2</v>
      </c>
      <c r="N1139" s="199">
        <v>4.941948749257568E-2</v>
      </c>
    </row>
    <row r="1140" spans="3:14">
      <c r="C1140" s="29">
        <v>10</v>
      </c>
      <c r="D1140" s="34" t="s">
        <v>1585</v>
      </c>
      <c r="E1140" s="199">
        <v>3.7063253257239963E-2</v>
      </c>
      <c r="F1140" s="199">
        <v>4.7956206552450621E-2</v>
      </c>
      <c r="G1140" s="199">
        <v>4.7747985036313945E-2</v>
      </c>
      <c r="H1140" s="199">
        <v>5.0350906164569068E-2</v>
      </c>
      <c r="I1140" s="199">
        <v>4.5238355952637407E-2</v>
      </c>
      <c r="J1140" s="199">
        <v>3.7252968427725554E-2</v>
      </c>
      <c r="K1140" s="199">
        <v>4.7328435216086255E-2</v>
      </c>
      <c r="L1140" s="199">
        <v>5.3414497346445274E-2</v>
      </c>
      <c r="M1140" s="199">
        <v>5.0301454274038801E-2</v>
      </c>
      <c r="N1140" s="199">
        <v>5.0283351906522486E-2</v>
      </c>
    </row>
    <row r="1141" spans="3:14">
      <c r="C1141" s="29">
        <v>11</v>
      </c>
      <c r="D1141" s="34" t="s">
        <v>1586</v>
      </c>
      <c r="E1141" s="199">
        <v>4.0404049410002842E-2</v>
      </c>
      <c r="F1141" s="199">
        <v>5.088832265891758E-2</v>
      </c>
      <c r="G1141" s="199">
        <v>4.9175517841454741E-2</v>
      </c>
      <c r="H1141" s="199">
        <v>4.9836372068190797E-2</v>
      </c>
      <c r="I1141" s="199">
        <v>4.2676670334226743E-2</v>
      </c>
      <c r="J1141" s="199">
        <v>4.260650702219948E-2</v>
      </c>
      <c r="K1141" s="199">
        <v>5.2873453245947208E-2</v>
      </c>
      <c r="L1141" s="199">
        <v>5.5197255826448924E-2</v>
      </c>
      <c r="M1141" s="199">
        <v>5.0231185446152925E-2</v>
      </c>
      <c r="N1141" s="199">
        <v>3.929701078516893E-2</v>
      </c>
    </row>
    <row r="1142" spans="3:14">
      <c r="C1142" s="29">
        <v>12</v>
      </c>
      <c r="D1142" s="34" t="s">
        <v>1587</v>
      </c>
      <c r="E1142" s="199">
        <v>4.3746827693225937E-2</v>
      </c>
      <c r="F1142" s="199">
        <v>5.2440109852428252E-2</v>
      </c>
      <c r="G1142" s="199">
        <v>4.9702218071654591E-2</v>
      </c>
      <c r="H1142" s="199">
        <v>5.2561576030724436E-2</v>
      </c>
      <c r="I1142" s="199">
        <v>4.2575754476257027E-2</v>
      </c>
      <c r="J1142" s="199">
        <v>4.4027861145135183E-2</v>
      </c>
      <c r="K1142" s="199">
        <v>5.5227731028488158E-2</v>
      </c>
      <c r="L1142" s="199">
        <v>5.720236148229757E-2</v>
      </c>
      <c r="M1142" s="199">
        <v>4.8897481088062175E-2</v>
      </c>
      <c r="N1142" s="199">
        <v>3.8788137721631116E-2</v>
      </c>
    </row>
    <row r="1143" spans="3:14">
      <c r="C1143" s="29">
        <v>13</v>
      </c>
      <c r="D1143" s="34" t="s">
        <v>1588</v>
      </c>
      <c r="E1143" s="199">
        <v>4.7523084644770223E-2</v>
      </c>
      <c r="F1143" s="199">
        <v>5.2719205529127011E-2</v>
      </c>
      <c r="G1143" s="199">
        <v>5.000193082812121E-2</v>
      </c>
      <c r="H1143" s="199">
        <v>5.1546025775174538E-2</v>
      </c>
      <c r="I1143" s="199">
        <v>4.0543731616429067E-2</v>
      </c>
      <c r="J1143" s="199">
        <v>4.8123250023386847E-2</v>
      </c>
      <c r="K1143" s="199">
        <v>5.5210237274536375E-2</v>
      </c>
      <c r="L1143" s="199">
        <v>5.6942391752571493E-2</v>
      </c>
      <c r="M1143" s="199">
        <v>5.0350071080778679E-2</v>
      </c>
      <c r="N1143" s="199">
        <v>3.8987183092027838E-2</v>
      </c>
    </row>
    <row r="1144" spans="3:14">
      <c r="C1144" s="29">
        <v>14</v>
      </c>
      <c r="D1144" s="34" t="s">
        <v>1589</v>
      </c>
      <c r="E1144" s="199">
        <v>4.937041549665553E-2</v>
      </c>
      <c r="F1144" s="199">
        <v>5.4711102520669262E-2</v>
      </c>
      <c r="G1144" s="199">
        <v>5.1136361141844437E-2</v>
      </c>
      <c r="H1144" s="199">
        <v>5.3750667372035058E-2</v>
      </c>
      <c r="I1144" s="199">
        <v>3.9464909667648984E-2</v>
      </c>
      <c r="J1144" s="199">
        <v>5.1350703976999715E-2</v>
      </c>
      <c r="K1144" s="199">
        <v>5.6424534706302709E-2</v>
      </c>
      <c r="L1144" s="199">
        <v>5.7719590423796534E-2</v>
      </c>
      <c r="M1144" s="199">
        <v>5.2467257833671177E-2</v>
      </c>
      <c r="N1144" s="199">
        <v>3.6232637873479828E-2</v>
      </c>
    </row>
    <row r="1145" spans="3:14">
      <c r="C1145" s="29">
        <v>15</v>
      </c>
      <c r="D1145" s="34" t="s">
        <v>1590</v>
      </c>
      <c r="E1145" s="199">
        <v>5.1622893077756062E-2</v>
      </c>
      <c r="F1145" s="199">
        <v>5.5682028551638674E-2</v>
      </c>
      <c r="G1145" s="199">
        <v>5.1151956173138856E-2</v>
      </c>
      <c r="H1145" s="199">
        <v>5.0821415627612242E-2</v>
      </c>
      <c r="I1145" s="199">
        <v>3.7470890299893818E-2</v>
      </c>
      <c r="J1145" s="199">
        <v>5.3768221337955294E-2</v>
      </c>
      <c r="K1145" s="199">
        <v>5.8381450777847087E-2</v>
      </c>
      <c r="L1145" s="199">
        <v>5.7341713163108099E-2</v>
      </c>
      <c r="M1145" s="199">
        <v>5.2298552502241878E-2</v>
      </c>
      <c r="N1145" s="199">
        <v>3.2553050876985019E-2</v>
      </c>
    </row>
    <row r="1146" spans="3:14">
      <c r="C1146" s="29">
        <v>16</v>
      </c>
      <c r="D1146" s="34" t="s">
        <v>1591</v>
      </c>
      <c r="E1146" s="199">
        <v>5.5490022237109006E-2</v>
      </c>
      <c r="F1146" s="199">
        <v>5.2929122250148411E-2</v>
      </c>
      <c r="G1146" s="199">
        <v>4.9233173698627251E-2</v>
      </c>
      <c r="H1146" s="199">
        <v>4.6751420479455651E-2</v>
      </c>
      <c r="I1146" s="199">
        <v>3.6946465388610586E-2</v>
      </c>
      <c r="J1146" s="199">
        <v>5.8602370589149161E-2</v>
      </c>
      <c r="K1146" s="199">
        <v>5.5770966050772738E-2</v>
      </c>
      <c r="L1146" s="199">
        <v>5.3667973126908568E-2</v>
      </c>
      <c r="M1146" s="199">
        <v>4.5110983649315838E-2</v>
      </c>
      <c r="N1146" s="199">
        <v>3.3105210991533067E-2</v>
      </c>
    </row>
    <row r="1147" spans="3:14">
      <c r="C1147" s="29">
        <v>17</v>
      </c>
      <c r="D1147" s="34" t="s">
        <v>1592</v>
      </c>
      <c r="E1147" s="199">
        <v>5.6496215027937682E-2</v>
      </c>
      <c r="F1147" s="199">
        <v>5.0533819608672315E-2</v>
      </c>
      <c r="G1147" s="199">
        <v>4.9812681846057187E-2</v>
      </c>
      <c r="H1147" s="199">
        <v>4.5983090156603464E-2</v>
      </c>
      <c r="I1147" s="199">
        <v>3.8035559337927953E-2</v>
      </c>
      <c r="J1147" s="199">
        <v>6.4180376010452317E-2</v>
      </c>
      <c r="K1147" s="199">
        <v>5.4530842115683043E-2</v>
      </c>
      <c r="L1147" s="199">
        <v>5.0365856395911811E-2</v>
      </c>
      <c r="M1147" s="199">
        <v>4.1361475080027271E-2</v>
      </c>
      <c r="N1147" s="199">
        <v>3.2697862326535113E-2</v>
      </c>
    </row>
    <row r="1148" spans="3:14">
      <c r="C1148" s="29">
        <v>18</v>
      </c>
      <c r="D1148" s="34" t="s">
        <v>1593</v>
      </c>
      <c r="E1148" s="199">
        <v>5.9335985337923093E-2</v>
      </c>
      <c r="F1148" s="199">
        <v>4.2626380752186992E-2</v>
      </c>
      <c r="G1148" s="199">
        <v>4.9366795043290591E-2</v>
      </c>
      <c r="H1148" s="199">
        <v>4.3295638991673921E-2</v>
      </c>
      <c r="I1148" s="199">
        <v>4.029251864011632E-2</v>
      </c>
      <c r="J1148" s="199">
        <v>6.3668634703465579E-2</v>
      </c>
      <c r="K1148" s="199">
        <v>5.0142971908193577E-2</v>
      </c>
      <c r="L1148" s="199">
        <v>4.749739430285832E-2</v>
      </c>
      <c r="M1148" s="199">
        <v>4.1522963071074559E-2</v>
      </c>
      <c r="N1148" s="199">
        <v>3.731337541727122E-2</v>
      </c>
    </row>
    <row r="1149" spans="3:14">
      <c r="C1149" s="29">
        <v>19</v>
      </c>
      <c r="D1149" s="34" t="s">
        <v>1594</v>
      </c>
      <c r="E1149" s="199">
        <v>5.9638337602509542E-2</v>
      </c>
      <c r="F1149" s="199">
        <v>3.7589875355895259E-2</v>
      </c>
      <c r="G1149" s="199">
        <v>4.8174906747494528E-2</v>
      </c>
      <c r="H1149" s="199">
        <v>4.1904631074790477E-2</v>
      </c>
      <c r="I1149" s="199">
        <v>4.0305933349033297E-2</v>
      </c>
      <c r="J1149" s="199">
        <v>6.147674743479134E-2</v>
      </c>
      <c r="K1149" s="199">
        <v>4.3489321732272164E-2</v>
      </c>
      <c r="L1149" s="199">
        <v>4.3977617333310556E-2</v>
      </c>
      <c r="M1149" s="199">
        <v>4.050211037037587E-2</v>
      </c>
      <c r="N1149" s="199">
        <v>3.8625435959091237E-2</v>
      </c>
    </row>
    <row r="1150" spans="3:14">
      <c r="C1150" s="29">
        <v>20</v>
      </c>
      <c r="D1150" s="34" t="s">
        <v>1595</v>
      </c>
      <c r="E1150" s="199">
        <v>5.6851093749719653E-2</v>
      </c>
      <c r="F1150" s="199">
        <v>3.5331897089184265E-2</v>
      </c>
      <c r="G1150" s="199">
        <v>4.5064569891417584E-2</v>
      </c>
      <c r="H1150" s="199">
        <v>3.9629233428226815E-2</v>
      </c>
      <c r="I1150" s="199">
        <v>3.9727587709717217E-2</v>
      </c>
      <c r="J1150" s="199">
        <v>5.9907728048121826E-2</v>
      </c>
      <c r="K1150" s="199">
        <v>3.9700154547402194E-2</v>
      </c>
      <c r="L1150" s="199">
        <v>4.1651936460376959E-2</v>
      </c>
      <c r="M1150" s="199">
        <v>3.7835503580903478E-2</v>
      </c>
      <c r="N1150" s="199">
        <v>3.7229366010469583E-2</v>
      </c>
    </row>
    <row r="1151" spans="3:14">
      <c r="C1151" s="29">
        <v>21</v>
      </c>
      <c r="D1151" s="34" t="s">
        <v>1596</v>
      </c>
      <c r="E1151" s="199">
        <v>5.2042474727311633E-2</v>
      </c>
      <c r="F1151" s="199">
        <v>3.6533002597998208E-2</v>
      </c>
      <c r="G1151" s="199">
        <v>4.258523199386835E-2</v>
      </c>
      <c r="H1151" s="199">
        <v>3.7780929527461628E-2</v>
      </c>
      <c r="I1151" s="199">
        <v>3.9020361927682608E-2</v>
      </c>
      <c r="J1151" s="199">
        <v>5.6844633085589048E-2</v>
      </c>
      <c r="K1151" s="199">
        <v>4.0133306922868248E-2</v>
      </c>
      <c r="L1151" s="199">
        <v>3.7043138316742941E-2</v>
      </c>
      <c r="M1151" s="199">
        <v>3.6059035438544648E-2</v>
      </c>
      <c r="N1151" s="199">
        <v>4.2788874602354955E-2</v>
      </c>
    </row>
    <row r="1152" spans="3:14">
      <c r="C1152" s="29">
        <v>22</v>
      </c>
      <c r="D1152" s="34" t="s">
        <v>1597</v>
      </c>
      <c r="E1152" s="199">
        <v>4.9741648636862916E-2</v>
      </c>
      <c r="F1152" s="199">
        <v>4.1402673430057581E-2</v>
      </c>
      <c r="G1152" s="199">
        <v>4.004509697193899E-2</v>
      </c>
      <c r="H1152" s="199">
        <v>3.8607228662118791E-2</v>
      </c>
      <c r="I1152" s="199">
        <v>4.174392612679844E-2</v>
      </c>
      <c r="J1152" s="199">
        <v>4.9999484343523477E-2</v>
      </c>
      <c r="K1152" s="199">
        <v>4.1275370460985762E-2</v>
      </c>
      <c r="L1152" s="199">
        <v>3.4334822659421865E-2</v>
      </c>
      <c r="M1152" s="199">
        <v>3.5524451046083316E-2</v>
      </c>
      <c r="N1152" s="199">
        <v>4.3386761356048187E-2</v>
      </c>
    </row>
    <row r="1153" spans="1:14">
      <c r="C1153" s="29">
        <v>23</v>
      </c>
      <c r="D1153" s="34" t="s">
        <v>1598</v>
      </c>
      <c r="E1153" s="199">
        <v>4.4350699580235242E-2</v>
      </c>
      <c r="F1153" s="199">
        <v>3.8243736839662423E-2</v>
      </c>
      <c r="G1153" s="199">
        <v>3.5437649478792355E-2</v>
      </c>
      <c r="H1153" s="199">
        <v>3.6035836904017286E-2</v>
      </c>
      <c r="I1153" s="199">
        <v>4.1826596816675027E-2</v>
      </c>
      <c r="J1153" s="199">
        <v>4.1489216598707662E-2</v>
      </c>
      <c r="K1153" s="199">
        <v>3.6997708393528242E-2</v>
      </c>
      <c r="L1153" s="199">
        <v>3.0261605922594668E-2</v>
      </c>
      <c r="M1153" s="199">
        <v>3.3606041876211787E-2</v>
      </c>
      <c r="N1153" s="199">
        <v>4.3644982377103403E-2</v>
      </c>
    </row>
    <row r="1154" spans="1:14">
      <c r="C1154" s="29">
        <v>24</v>
      </c>
      <c r="D1154" s="34" t="s">
        <v>1599</v>
      </c>
      <c r="E1154" s="199">
        <v>3.6849883176435991E-2</v>
      </c>
      <c r="F1154" s="199">
        <v>3.7877538506955487E-2</v>
      </c>
      <c r="G1154" s="199">
        <v>3.220213188777328E-2</v>
      </c>
      <c r="H1154" s="199">
        <v>3.3890625517578675E-2</v>
      </c>
      <c r="I1154" s="199">
        <v>4.1729696641634895E-2</v>
      </c>
      <c r="J1154" s="199">
        <v>3.3349778781635357E-2</v>
      </c>
      <c r="K1154" s="199">
        <v>3.498078146732287E-2</v>
      </c>
      <c r="L1154" s="199">
        <v>2.7303724971648971E-2</v>
      </c>
      <c r="M1154" s="199">
        <v>3.3809029574455585E-2</v>
      </c>
      <c r="N1154" s="199">
        <v>4.4148100514784371E-2</v>
      </c>
    </row>
    <row r="1155" spans="1:14">
      <c r="A1155" s="16" t="s">
        <v>436</v>
      </c>
      <c r="B1155" s="16" t="s">
        <v>424</v>
      </c>
      <c r="C1155" s="29">
        <v>1</v>
      </c>
      <c r="D1155" s="34" t="s">
        <v>1600</v>
      </c>
      <c r="E1155" s="199">
        <v>3.2160529509960581E-2</v>
      </c>
      <c r="F1155" s="199">
        <v>4.2440177727521324E-2</v>
      </c>
      <c r="G1155" s="199">
        <v>3.3943937177529068E-2</v>
      </c>
      <c r="H1155" s="199">
        <v>3.934019216987434E-2</v>
      </c>
      <c r="I1155" s="199">
        <v>3.9302195879382544E-2</v>
      </c>
      <c r="J1155" s="199">
        <v>2.7290792041655118E-2</v>
      </c>
      <c r="K1155" s="199">
        <v>3.890876683374702E-2</v>
      </c>
      <c r="L1155" s="199">
        <v>3.1755170054603037E-2</v>
      </c>
      <c r="M1155" s="199">
        <v>3.6710684279021681E-2</v>
      </c>
      <c r="N1155" s="199">
        <v>4.2542769421781222E-2</v>
      </c>
    </row>
    <row r="1156" spans="1:14">
      <c r="C1156" s="29">
        <v>2</v>
      </c>
      <c r="D1156" s="34" t="s">
        <v>1601</v>
      </c>
      <c r="E1156" s="199">
        <v>2.7981525885389217E-2</v>
      </c>
      <c r="F1156" s="199">
        <v>4.1964429080770603E-2</v>
      </c>
      <c r="G1156" s="199">
        <v>3.2851654332710076E-2</v>
      </c>
      <c r="H1156" s="199">
        <v>3.779864157673176E-2</v>
      </c>
      <c r="I1156" s="199">
        <v>3.8524507979247252E-2</v>
      </c>
      <c r="J1156" s="199">
        <v>2.4544950538272943E-2</v>
      </c>
      <c r="K1156" s="199">
        <v>3.6471658387056592E-2</v>
      </c>
      <c r="L1156" s="199">
        <v>3.0980074081179958E-2</v>
      </c>
      <c r="M1156" s="199">
        <v>3.7082500498926252E-2</v>
      </c>
      <c r="N1156" s="199">
        <v>3.816505088294548E-2</v>
      </c>
    </row>
    <row r="1157" spans="1:14">
      <c r="C1157" s="29">
        <v>3</v>
      </c>
      <c r="D1157" s="34" t="s">
        <v>1602</v>
      </c>
      <c r="E1157" s="199">
        <v>2.5281120094705387E-2</v>
      </c>
      <c r="F1157" s="199">
        <v>4.0948351702490053E-2</v>
      </c>
      <c r="G1157" s="199">
        <v>3.2013732433319335E-2</v>
      </c>
      <c r="H1157" s="199">
        <v>3.6592026386661612E-2</v>
      </c>
      <c r="I1157" s="199">
        <v>3.7914819041773656E-2</v>
      </c>
      <c r="J1157" s="199">
        <v>2.2022211694329247E-2</v>
      </c>
      <c r="K1157" s="199">
        <v>3.5896922154863641E-2</v>
      </c>
      <c r="L1157" s="199">
        <v>3.0267060168093791E-2</v>
      </c>
      <c r="M1157" s="199">
        <v>3.5904658400347275E-2</v>
      </c>
      <c r="N1157" s="199">
        <v>3.6799748845925871E-2</v>
      </c>
    </row>
    <row r="1158" spans="1:14">
      <c r="C1158" s="29">
        <v>4</v>
      </c>
      <c r="D1158" s="34" t="s">
        <v>1603</v>
      </c>
      <c r="E1158" s="199">
        <v>2.3959209883286432E-2</v>
      </c>
      <c r="F1158" s="199">
        <v>3.9484742808346136E-2</v>
      </c>
      <c r="G1158" s="199">
        <v>3.2408913675211197E-2</v>
      </c>
      <c r="H1158" s="199">
        <v>3.6712986184208977E-2</v>
      </c>
      <c r="I1158" s="199">
        <v>4.0429405463414697E-2</v>
      </c>
      <c r="J1158" s="199">
        <v>2.1140465805483923E-2</v>
      </c>
      <c r="K1158" s="199">
        <v>3.5413094817196927E-2</v>
      </c>
      <c r="L1158" s="199">
        <v>3.0892197001543959E-2</v>
      </c>
      <c r="M1158" s="199">
        <v>3.7306187614858134E-2</v>
      </c>
      <c r="N1158" s="199">
        <v>3.9782072064477432E-2</v>
      </c>
    </row>
    <row r="1159" spans="1:14">
      <c r="C1159" s="29">
        <v>5</v>
      </c>
      <c r="D1159" s="34" t="s">
        <v>1604</v>
      </c>
      <c r="E1159" s="199">
        <v>2.3851643651594607E-2</v>
      </c>
      <c r="F1159" s="199">
        <v>3.7829609323722056E-2</v>
      </c>
      <c r="G1159" s="199">
        <v>3.2377239392364948E-2</v>
      </c>
      <c r="H1159" s="199">
        <v>3.7169195362239664E-2</v>
      </c>
      <c r="I1159" s="199">
        <v>4.2254107920627074E-2</v>
      </c>
      <c r="J1159" s="199">
        <v>2.0610868688595855E-2</v>
      </c>
      <c r="K1159" s="199">
        <v>3.6420383370308958E-2</v>
      </c>
      <c r="L1159" s="199">
        <v>3.2956225050420132E-2</v>
      </c>
      <c r="M1159" s="199">
        <v>3.9013599557139331E-2</v>
      </c>
      <c r="N1159" s="199">
        <v>4.0985212042333241E-2</v>
      </c>
    </row>
    <row r="1160" spans="1:14">
      <c r="C1160" s="29">
        <v>6</v>
      </c>
      <c r="D1160" s="34" t="s">
        <v>1605</v>
      </c>
      <c r="E1160" s="199">
        <v>2.4019864478770657E-2</v>
      </c>
      <c r="F1160" s="199">
        <v>3.4368139587865679E-2</v>
      </c>
      <c r="G1160" s="199">
        <v>3.3459498903521345E-2</v>
      </c>
      <c r="H1160" s="199">
        <v>3.5882594426743963E-2</v>
      </c>
      <c r="I1160" s="199">
        <v>4.4153033129246136E-2</v>
      </c>
      <c r="J1160" s="199">
        <v>2.0742494839790116E-2</v>
      </c>
      <c r="K1160" s="199">
        <v>2.7324453424523065E-2</v>
      </c>
      <c r="L1160" s="199">
        <v>3.5283799037214549E-2</v>
      </c>
      <c r="M1160" s="199">
        <v>4.4049657212216889E-2</v>
      </c>
      <c r="N1160" s="199">
        <v>4.8570099248042446E-2</v>
      </c>
    </row>
    <row r="1161" spans="1:14">
      <c r="C1161" s="29">
        <v>7</v>
      </c>
      <c r="D1161" s="34" t="s">
        <v>1606</v>
      </c>
      <c r="E1161" s="199">
        <v>2.4966522590917185E-2</v>
      </c>
      <c r="F1161" s="199">
        <v>3.0069767996534189E-2</v>
      </c>
      <c r="G1161" s="199">
        <v>3.6196328339071368E-2</v>
      </c>
      <c r="H1161" s="199">
        <v>3.6482369775906472E-2</v>
      </c>
      <c r="I1161" s="199">
        <v>4.4382420193458082E-2</v>
      </c>
      <c r="J1161" s="199">
        <v>2.5353085803126899E-2</v>
      </c>
      <c r="K1161" s="199">
        <v>2.7750045064409104E-2</v>
      </c>
      <c r="L1161" s="199">
        <v>4.0211159529279797E-2</v>
      </c>
      <c r="M1161" s="199">
        <v>4.5778530727441119E-2</v>
      </c>
      <c r="N1161" s="199">
        <v>5.195224261651768E-2</v>
      </c>
    </row>
    <row r="1162" spans="1:14">
      <c r="C1162" s="29">
        <v>8</v>
      </c>
      <c r="D1162" s="34" t="s">
        <v>1607</v>
      </c>
      <c r="E1162" s="199">
        <v>2.8782466893535301E-2</v>
      </c>
      <c r="F1162" s="199">
        <v>3.1543184461575446E-2</v>
      </c>
      <c r="G1162" s="199">
        <v>4.0140873498289341E-2</v>
      </c>
      <c r="H1162" s="199">
        <v>3.9109261784160944E-2</v>
      </c>
      <c r="I1162" s="199">
        <v>4.5413211982819598E-2</v>
      </c>
      <c r="J1162" s="199">
        <v>3.0563200000056554E-2</v>
      </c>
      <c r="K1162" s="199">
        <v>2.9504226693539699E-2</v>
      </c>
      <c r="L1162" s="199">
        <v>4.3893671497392511E-2</v>
      </c>
      <c r="M1162" s="199">
        <v>4.5671886622713945E-2</v>
      </c>
      <c r="N1162" s="199">
        <v>5.690942112284348E-2</v>
      </c>
    </row>
    <row r="1163" spans="1:14">
      <c r="C1163" s="29">
        <v>9</v>
      </c>
      <c r="D1163" s="34" t="s">
        <v>1608</v>
      </c>
      <c r="E1163" s="199">
        <v>3.486720310365507E-2</v>
      </c>
      <c r="F1163" s="199">
        <v>3.5756187827820508E-2</v>
      </c>
      <c r="G1163" s="199">
        <v>4.1899845149778771E-2</v>
      </c>
      <c r="H1163" s="199">
        <v>4.0756073304306126E-2</v>
      </c>
      <c r="I1163" s="199">
        <v>4.4567187468236388E-2</v>
      </c>
      <c r="J1163" s="199">
        <v>3.5559948532823016E-2</v>
      </c>
      <c r="K1163" s="199">
        <v>3.5372470842547243E-2</v>
      </c>
      <c r="L1163" s="199">
        <v>4.6851125052666968E-2</v>
      </c>
      <c r="M1163" s="199">
        <v>4.5943917591099941E-2</v>
      </c>
      <c r="N1163" s="199">
        <v>5.3360056344087921E-2</v>
      </c>
    </row>
    <row r="1164" spans="1:14">
      <c r="C1164" s="29">
        <v>10</v>
      </c>
      <c r="D1164" s="34" t="s">
        <v>1609</v>
      </c>
      <c r="E1164" s="199">
        <v>3.9091884926386142E-2</v>
      </c>
      <c r="F1164" s="199">
        <v>3.9610237357552369E-2</v>
      </c>
      <c r="G1164" s="199">
        <v>4.5154507974432635E-2</v>
      </c>
      <c r="H1164" s="199">
        <v>4.1628930506594705E-2</v>
      </c>
      <c r="I1164" s="199">
        <v>4.4893911138741818E-2</v>
      </c>
      <c r="J1164" s="199">
        <v>3.9665982891622174E-2</v>
      </c>
      <c r="K1164" s="199">
        <v>4.0836635456413063E-2</v>
      </c>
      <c r="L1164" s="199">
        <v>4.9140996001993793E-2</v>
      </c>
      <c r="M1164" s="199">
        <v>4.5786495847296257E-2</v>
      </c>
      <c r="N1164" s="199">
        <v>4.5144721424571356E-2</v>
      </c>
    </row>
    <row r="1165" spans="1:14">
      <c r="C1165" s="29">
        <v>11</v>
      </c>
      <c r="D1165" s="34" t="s">
        <v>1610</v>
      </c>
      <c r="E1165" s="199">
        <v>4.2499024633710455E-2</v>
      </c>
      <c r="F1165" s="199">
        <v>4.228319142657995E-2</v>
      </c>
      <c r="G1165" s="199">
        <v>4.7678063905484604E-2</v>
      </c>
      <c r="H1165" s="199">
        <v>4.3429590958078523E-2</v>
      </c>
      <c r="I1165" s="199">
        <v>4.4257031119805113E-2</v>
      </c>
      <c r="J1165" s="199">
        <v>4.3501572648437452E-2</v>
      </c>
      <c r="K1165" s="199">
        <v>4.6381117928578144E-2</v>
      </c>
      <c r="L1165" s="199">
        <v>4.9568353960619628E-2</v>
      </c>
      <c r="M1165" s="199">
        <v>4.6394610622903336E-2</v>
      </c>
      <c r="N1165" s="199">
        <v>4.0969902577266314E-2</v>
      </c>
    </row>
    <row r="1166" spans="1:14">
      <c r="C1166" s="29">
        <v>12</v>
      </c>
      <c r="D1166" s="34" t="s">
        <v>1611</v>
      </c>
      <c r="E1166" s="199">
        <v>4.6818513498175861E-2</v>
      </c>
      <c r="F1166" s="199">
        <v>4.2272683314904233E-2</v>
      </c>
      <c r="G1166" s="199">
        <v>4.6948245922093776E-2</v>
      </c>
      <c r="H1166" s="199">
        <v>4.3435242551474636E-2</v>
      </c>
      <c r="I1166" s="199">
        <v>4.3405034329673513E-2</v>
      </c>
      <c r="J1166" s="199">
        <v>4.7215184891844876E-2</v>
      </c>
      <c r="K1166" s="199">
        <v>4.6684177579934434E-2</v>
      </c>
      <c r="L1166" s="199">
        <v>5.0906965332500616E-2</v>
      </c>
      <c r="M1166" s="199">
        <v>4.6515304314041654E-2</v>
      </c>
      <c r="N1166" s="199">
        <v>3.9981423639640697E-2</v>
      </c>
    </row>
    <row r="1167" spans="1:14">
      <c r="C1167" s="29">
        <v>13</v>
      </c>
      <c r="D1167" s="34" t="s">
        <v>1612</v>
      </c>
      <c r="E1167" s="199">
        <v>4.9398884526327409E-2</v>
      </c>
      <c r="F1167" s="199">
        <v>4.3307773044077125E-2</v>
      </c>
      <c r="G1167" s="199">
        <v>4.7802889374701403E-2</v>
      </c>
      <c r="H1167" s="199">
        <v>4.5005522077714119E-2</v>
      </c>
      <c r="I1167" s="199">
        <v>4.1251368598625063E-2</v>
      </c>
      <c r="J1167" s="199">
        <v>5.0144650928631039E-2</v>
      </c>
      <c r="K1167" s="199">
        <v>4.9281771728545934E-2</v>
      </c>
      <c r="L1167" s="199">
        <v>5.148748974831379E-2</v>
      </c>
      <c r="M1167" s="199">
        <v>4.7101404383382457E-2</v>
      </c>
      <c r="N1167" s="199">
        <v>3.4830281438561449E-2</v>
      </c>
    </row>
    <row r="1168" spans="1:14">
      <c r="C1168" s="29">
        <v>14</v>
      </c>
      <c r="D1168" s="34" t="s">
        <v>1613</v>
      </c>
      <c r="E1168" s="199">
        <v>5.1316172674976922E-2</v>
      </c>
      <c r="F1168" s="199">
        <v>4.3988470597619303E-2</v>
      </c>
      <c r="G1168" s="199">
        <v>4.8346891754632963E-2</v>
      </c>
      <c r="H1168" s="199">
        <v>4.5297678058552074E-2</v>
      </c>
      <c r="I1168" s="199">
        <v>3.958697005673318E-2</v>
      </c>
      <c r="J1168" s="199">
        <v>5.2913995524057025E-2</v>
      </c>
      <c r="K1168" s="199">
        <v>4.9595752448419565E-2</v>
      </c>
      <c r="L1168" s="199">
        <v>5.2467018073761369E-2</v>
      </c>
      <c r="M1168" s="199">
        <v>4.7562053815004772E-2</v>
      </c>
      <c r="N1168" s="199">
        <v>3.3966577926524168E-2</v>
      </c>
    </row>
    <row r="1169" spans="1:14">
      <c r="C1169" s="29">
        <v>15</v>
      </c>
      <c r="D1169" s="34" t="s">
        <v>1614</v>
      </c>
      <c r="E1169" s="199">
        <v>5.3140613867732528E-2</v>
      </c>
      <c r="F1169" s="199">
        <v>4.4660989744865015E-2</v>
      </c>
      <c r="G1169" s="199">
        <v>4.8916871160041689E-2</v>
      </c>
      <c r="H1169" s="199">
        <v>4.5747136722248519E-2</v>
      </c>
      <c r="I1169" s="199">
        <v>4.0129729310056317E-2</v>
      </c>
      <c r="J1169" s="199">
        <v>5.5568475383930525E-2</v>
      </c>
      <c r="K1169" s="199">
        <v>5.1984916204201433E-2</v>
      </c>
      <c r="L1169" s="199">
        <v>5.2224473239518517E-2</v>
      </c>
      <c r="M1169" s="199">
        <v>4.6935353759735683E-2</v>
      </c>
      <c r="N1169" s="199">
        <v>3.2367297326829421E-2</v>
      </c>
    </row>
    <row r="1170" spans="1:14">
      <c r="C1170" s="29">
        <v>16</v>
      </c>
      <c r="D1170" s="34" t="s">
        <v>1615</v>
      </c>
      <c r="E1170" s="199">
        <v>5.5610206508309272E-2</v>
      </c>
      <c r="F1170" s="199">
        <v>4.6259118760104093E-2</v>
      </c>
      <c r="G1170" s="199">
        <v>4.8687746802309757E-2</v>
      </c>
      <c r="H1170" s="199">
        <v>4.5957894059311902E-2</v>
      </c>
      <c r="I1170" s="199">
        <v>4.0432764868410673E-2</v>
      </c>
      <c r="J1170" s="199">
        <v>5.9260775801018524E-2</v>
      </c>
      <c r="K1170" s="199">
        <v>5.0521433017006394E-2</v>
      </c>
      <c r="L1170" s="199">
        <v>5.0474574615479779E-2</v>
      </c>
      <c r="M1170" s="199">
        <v>4.3367201317961825E-2</v>
      </c>
      <c r="N1170" s="199">
        <v>3.3584695476013657E-2</v>
      </c>
    </row>
    <row r="1171" spans="1:14">
      <c r="C1171" s="29">
        <v>17</v>
      </c>
      <c r="D1171" s="34" t="s">
        <v>1616</v>
      </c>
      <c r="E1171" s="199">
        <v>5.8092096265375412E-2</v>
      </c>
      <c r="F1171" s="199">
        <v>4.5934605463253619E-2</v>
      </c>
      <c r="G1171" s="199">
        <v>4.855016249318455E-2</v>
      </c>
      <c r="H1171" s="199">
        <v>4.6017392778676537E-2</v>
      </c>
      <c r="I1171" s="199">
        <v>4.0836726140960171E-2</v>
      </c>
      <c r="J1171" s="199">
        <v>6.156210844931035E-2</v>
      </c>
      <c r="K1171" s="199">
        <v>5.0791459436391267E-2</v>
      </c>
      <c r="L1171" s="199">
        <v>4.8374720150910419E-2</v>
      </c>
      <c r="M1171" s="199">
        <v>4.0778979871699608E-2</v>
      </c>
      <c r="N1171" s="199">
        <v>3.4726400476025807E-2</v>
      </c>
    </row>
    <row r="1172" spans="1:14">
      <c r="C1172" s="29">
        <v>18</v>
      </c>
      <c r="D1172" s="34" t="s">
        <v>1617</v>
      </c>
      <c r="E1172" s="199">
        <v>6.0227866910052191E-2</v>
      </c>
      <c r="F1172" s="199">
        <v>4.4772457186857635E-2</v>
      </c>
      <c r="G1172" s="199">
        <v>4.8441894035455575E-2</v>
      </c>
      <c r="H1172" s="199">
        <v>4.5835364374710058E-2</v>
      </c>
      <c r="I1172" s="199">
        <v>4.1104272600382748E-2</v>
      </c>
      <c r="J1172" s="199">
        <v>6.2289882578022003E-2</v>
      </c>
      <c r="K1172" s="199">
        <v>4.6490148596138654E-2</v>
      </c>
      <c r="L1172" s="199">
        <v>4.6440059583082546E-2</v>
      </c>
      <c r="M1172" s="199">
        <v>4.0381940772253766E-2</v>
      </c>
      <c r="N1172" s="199">
        <v>3.8094219967313971E-2</v>
      </c>
    </row>
    <row r="1173" spans="1:14">
      <c r="C1173" s="29">
        <v>19</v>
      </c>
      <c r="D1173" s="34" t="s">
        <v>1618</v>
      </c>
      <c r="E1173" s="199">
        <v>6.1013440248985459E-2</v>
      </c>
      <c r="F1173" s="199">
        <v>4.2683102461159424E-2</v>
      </c>
      <c r="G1173" s="199">
        <v>4.7408729662710862E-2</v>
      </c>
      <c r="H1173" s="199">
        <v>4.538072508373385E-2</v>
      </c>
      <c r="I1173" s="199">
        <v>3.9695820521175221E-2</v>
      </c>
      <c r="J1173" s="199">
        <v>6.3696675173077755E-2</v>
      </c>
      <c r="K1173" s="199">
        <v>4.3722077768088841E-2</v>
      </c>
      <c r="L1173" s="199">
        <v>4.3332527466449541E-2</v>
      </c>
      <c r="M1173" s="199">
        <v>3.9530668587735567E-2</v>
      </c>
      <c r="N1173" s="199">
        <v>4.297386556042531E-2</v>
      </c>
    </row>
    <row r="1174" spans="1:14">
      <c r="C1174" s="29">
        <v>20</v>
      </c>
      <c r="D1174" s="34" t="s">
        <v>1619</v>
      </c>
      <c r="E1174" s="199">
        <v>5.5670410209522229E-2</v>
      </c>
      <c r="F1174" s="199">
        <v>4.2485370753549898E-2</v>
      </c>
      <c r="G1174" s="199">
        <v>4.6064142644076995E-2</v>
      </c>
      <c r="H1174" s="199">
        <v>4.5110390532953105E-2</v>
      </c>
      <c r="I1174" s="199">
        <v>4.1692369464719874E-2</v>
      </c>
      <c r="J1174" s="199">
        <v>6.3031502325242184E-2</v>
      </c>
      <c r="K1174" s="199">
        <v>4.3770352491287759E-2</v>
      </c>
      <c r="L1174" s="199">
        <v>4.2386727152347412E-2</v>
      </c>
      <c r="M1174" s="199">
        <v>3.9002758144003162E-2</v>
      </c>
      <c r="N1174" s="199">
        <v>4.2591851698197493E-2</v>
      </c>
    </row>
    <row r="1175" spans="1:14">
      <c r="C1175" s="29">
        <v>21</v>
      </c>
      <c r="D1175" s="34" t="s">
        <v>1620</v>
      </c>
      <c r="E1175" s="199">
        <v>5.1182324151588209E-2</v>
      </c>
      <c r="F1175" s="199">
        <v>4.5491195733830488E-2</v>
      </c>
      <c r="G1175" s="199">
        <v>4.4684405398570257E-2</v>
      </c>
      <c r="H1175" s="199">
        <v>4.4341852325434444E-2</v>
      </c>
      <c r="I1175" s="199">
        <v>4.1802598146596169E-2</v>
      </c>
      <c r="J1175" s="199">
        <v>5.478662647202031E-2</v>
      </c>
      <c r="K1175" s="199">
        <v>4.6092099651029866E-2</v>
      </c>
      <c r="L1175" s="199">
        <v>3.9283494205597597E-2</v>
      </c>
      <c r="M1175" s="199">
        <v>3.8062652747767219E-2</v>
      </c>
      <c r="N1175" s="199">
        <v>4.5186050409666174E-2</v>
      </c>
    </row>
    <row r="1176" spans="1:14">
      <c r="C1176" s="29">
        <v>22</v>
      </c>
      <c r="D1176" s="34" t="s">
        <v>1621</v>
      </c>
      <c r="E1176" s="199">
        <v>4.7787190901636287E-2</v>
      </c>
      <c r="F1176" s="199">
        <v>5.1246480352796261E-2</v>
      </c>
      <c r="G1176" s="199">
        <v>4.2378195379810857E-2</v>
      </c>
      <c r="H1176" s="199">
        <v>4.3261456054544158E-2</v>
      </c>
      <c r="I1176" s="199">
        <v>4.1675744716919309E-2</v>
      </c>
      <c r="J1176" s="199">
        <v>4.8571808104710845E-2</v>
      </c>
      <c r="K1176" s="199">
        <v>4.8545709712238254E-2</v>
      </c>
      <c r="L1176" s="199">
        <v>3.7461976870568389E-2</v>
      </c>
      <c r="M1176" s="199">
        <v>3.7581869263177733E-2</v>
      </c>
      <c r="N1176" s="199">
        <v>4.5093010913808837E-2</v>
      </c>
    </row>
    <row r="1177" spans="1:14">
      <c r="C1177" s="29">
        <v>23</v>
      </c>
      <c r="D1177" s="34" t="s">
        <v>1622</v>
      </c>
      <c r="E1177" s="199">
        <v>4.4963881021239306E-2</v>
      </c>
      <c r="F1177" s="199">
        <v>4.6135872458047074E-2</v>
      </c>
      <c r="G1177" s="199">
        <v>3.8506336529410164E-2</v>
      </c>
      <c r="H1177" s="199">
        <v>4.0863218095774104E-2</v>
      </c>
      <c r="I1177" s="199">
        <v>4.1351978471324866E-2</v>
      </c>
      <c r="J1177" s="199">
        <v>3.8225870687507324E-2</v>
      </c>
      <c r="K1177" s="199">
        <v>4.3198766567320954E-2</v>
      </c>
      <c r="L1177" s="199">
        <v>3.3035333188310277E-2</v>
      </c>
      <c r="M1177" s="199">
        <v>3.7337052454296797E-2</v>
      </c>
      <c r="N1177" s="199">
        <v>4.1170305446168079E-2</v>
      </c>
    </row>
    <row r="1178" spans="1:14">
      <c r="C1178" s="29">
        <v>24</v>
      </c>
      <c r="D1178" s="34" t="s">
        <v>1623</v>
      </c>
      <c r="E1178" s="199">
        <v>3.7317403564167927E-2</v>
      </c>
      <c r="F1178" s="199">
        <v>4.4463860828157821E-2</v>
      </c>
      <c r="G1178" s="199">
        <v>3.5138894061288617E-2</v>
      </c>
      <c r="H1178" s="199">
        <v>3.8844264849365408E-2</v>
      </c>
      <c r="I1178" s="199">
        <v>4.0942791457670519E-2</v>
      </c>
      <c r="J1178" s="199">
        <v>3.1736870196434071E-2</v>
      </c>
      <c r="K1178" s="199">
        <v>3.9041559826213407E-2</v>
      </c>
      <c r="L1178" s="199">
        <v>3.0324808938151614E-2</v>
      </c>
      <c r="M1178" s="199">
        <v>3.6200031594975417E-2</v>
      </c>
      <c r="N1178" s="199">
        <v>4.0252723130032621E-2</v>
      </c>
    </row>
    <row r="1179" spans="1:14">
      <c r="A1179" s="16" t="s">
        <v>437</v>
      </c>
      <c r="B1179" s="16" t="s">
        <v>423</v>
      </c>
      <c r="C1179" s="29">
        <v>1</v>
      </c>
      <c r="D1179" s="34" t="s">
        <v>1624</v>
      </c>
      <c r="E1179" s="199">
        <v>2.9862224806152311E-2</v>
      </c>
      <c r="F1179" s="199">
        <v>4.4460452967305976E-2</v>
      </c>
      <c r="G1179" s="199">
        <v>3.5426072456252997E-2</v>
      </c>
      <c r="H1179" s="199">
        <v>4.202488775549193E-2</v>
      </c>
      <c r="I1179" s="199">
        <v>4.258641621656465E-2</v>
      </c>
      <c r="J1179" s="199">
        <v>2.6220676705945363E-2</v>
      </c>
      <c r="K1179" s="199">
        <v>4.0264387404558247E-2</v>
      </c>
      <c r="L1179" s="199">
        <v>3.4956994925432354E-2</v>
      </c>
      <c r="M1179" s="199">
        <v>4.1172798669473425E-2</v>
      </c>
      <c r="N1179" s="199">
        <v>3.4477007030763868E-2</v>
      </c>
    </row>
    <row r="1180" spans="1:14">
      <c r="C1180" s="29">
        <v>2</v>
      </c>
      <c r="D1180" s="34" t="s">
        <v>1625</v>
      </c>
      <c r="E1180" s="199">
        <v>2.6653890101212385E-2</v>
      </c>
      <c r="F1180" s="199">
        <v>4.2702887178168565E-2</v>
      </c>
      <c r="G1180" s="199">
        <v>3.4639760308384018E-2</v>
      </c>
      <c r="H1180" s="199">
        <v>4.1473613676669414E-2</v>
      </c>
      <c r="I1180" s="199">
        <v>3.9614127466007294E-2</v>
      </c>
      <c r="J1180" s="199">
        <v>2.3936741932293757E-2</v>
      </c>
      <c r="K1180" s="199">
        <v>3.8294853191683575E-2</v>
      </c>
      <c r="L1180" s="199">
        <v>3.4865622499385858E-2</v>
      </c>
      <c r="M1180" s="199">
        <v>4.2285183225558777E-2</v>
      </c>
      <c r="N1180" s="199">
        <v>3.831513899762392E-2</v>
      </c>
    </row>
    <row r="1181" spans="1:14">
      <c r="C1181" s="29">
        <v>3</v>
      </c>
      <c r="D1181" s="34" t="s">
        <v>1626</v>
      </c>
      <c r="E1181" s="199">
        <v>2.5053138690203525E-2</v>
      </c>
      <c r="F1181" s="199">
        <v>4.1335777977893284E-2</v>
      </c>
      <c r="G1181" s="199">
        <v>3.3809110512444972E-2</v>
      </c>
      <c r="H1181" s="199">
        <v>4.0848508248004588E-2</v>
      </c>
      <c r="I1181" s="199">
        <v>4.0003939683322859E-2</v>
      </c>
      <c r="J1181" s="199">
        <v>2.1376728675500042E-2</v>
      </c>
      <c r="K1181" s="199">
        <v>3.7363162966883259E-2</v>
      </c>
      <c r="L1181" s="199">
        <v>3.4039972876509825E-2</v>
      </c>
      <c r="M1181" s="199">
        <v>4.1359079131506771E-2</v>
      </c>
      <c r="N1181" s="199">
        <v>3.936275386532416E-2</v>
      </c>
    </row>
    <row r="1182" spans="1:14">
      <c r="C1182" s="29">
        <v>4</v>
      </c>
      <c r="D1182" s="34" t="s">
        <v>1627</v>
      </c>
      <c r="E1182" s="199">
        <v>2.3282372017413743E-2</v>
      </c>
      <c r="F1182" s="199">
        <v>4.1398370118590953E-2</v>
      </c>
      <c r="G1182" s="199">
        <v>3.3845466957060123E-2</v>
      </c>
      <c r="H1182" s="199">
        <v>4.0485107841323163E-2</v>
      </c>
      <c r="I1182" s="199">
        <v>4.0001351913624326E-2</v>
      </c>
      <c r="J1182" s="199">
        <v>2.0548989264553345E-2</v>
      </c>
      <c r="K1182" s="199">
        <v>3.6388793005835612E-2</v>
      </c>
      <c r="L1182" s="199">
        <v>3.4020878499142586E-2</v>
      </c>
      <c r="M1182" s="199">
        <v>4.1855546064256267E-2</v>
      </c>
      <c r="N1182" s="199">
        <v>4.3719749231636344E-2</v>
      </c>
    </row>
    <row r="1183" spans="1:14">
      <c r="C1183" s="29">
        <v>5</v>
      </c>
      <c r="D1183" s="34" t="s">
        <v>1628</v>
      </c>
      <c r="E1183" s="199">
        <v>2.2818481787561126E-2</v>
      </c>
      <c r="F1183" s="199">
        <v>4.09667713031499E-2</v>
      </c>
      <c r="G1183" s="199">
        <v>3.4621983991598028E-2</v>
      </c>
      <c r="H1183" s="199">
        <v>4.0492449263680362E-2</v>
      </c>
      <c r="I1183" s="199">
        <v>4.2228441408267411E-2</v>
      </c>
      <c r="J1183" s="199">
        <v>2.0292785389828122E-2</v>
      </c>
      <c r="K1183" s="199">
        <v>3.7735464946624449E-2</v>
      </c>
      <c r="L1183" s="199">
        <v>3.3932093288350042E-2</v>
      </c>
      <c r="M1183" s="199">
        <v>4.078651054910952E-2</v>
      </c>
      <c r="N1183" s="199">
        <v>4.8213876499408545E-2</v>
      </c>
    </row>
    <row r="1184" spans="1:14">
      <c r="C1184" s="29">
        <v>6</v>
      </c>
      <c r="D1184" s="34" t="s">
        <v>1629</v>
      </c>
      <c r="E1184" s="199">
        <v>2.2540476153836253E-2</v>
      </c>
      <c r="F1184" s="199">
        <v>4.0420964249324121E-2</v>
      </c>
      <c r="G1184" s="199">
        <v>3.7668406504999502E-2</v>
      </c>
      <c r="H1184" s="199">
        <v>4.0937773269847821E-2</v>
      </c>
      <c r="I1184" s="199">
        <v>4.7057964629736423E-2</v>
      </c>
      <c r="J1184" s="199">
        <v>2.0787716050179844E-2</v>
      </c>
      <c r="K1184" s="199">
        <v>3.4411683061837416E-2</v>
      </c>
      <c r="L1184" s="199">
        <v>3.4071310976769048E-2</v>
      </c>
      <c r="M1184" s="199">
        <v>4.2034962928141004E-2</v>
      </c>
      <c r="N1184" s="199">
        <v>5.7042187185305709E-2</v>
      </c>
    </row>
    <row r="1185" spans="3:14">
      <c r="C1185" s="29">
        <v>7</v>
      </c>
      <c r="D1185" s="34" t="s">
        <v>1630</v>
      </c>
      <c r="E1185" s="199">
        <v>2.4202040288578301E-2</v>
      </c>
      <c r="F1185" s="199">
        <v>3.5111554528900975E-2</v>
      </c>
      <c r="G1185" s="199">
        <v>3.6756749628004425E-2</v>
      </c>
      <c r="H1185" s="199">
        <v>3.8650836780325791E-2</v>
      </c>
      <c r="I1185" s="199">
        <v>4.7658170365269183E-2</v>
      </c>
      <c r="J1185" s="199">
        <v>2.4749848208091577E-2</v>
      </c>
      <c r="K1185" s="199">
        <v>3.1179121709015101E-2</v>
      </c>
      <c r="L1185" s="199">
        <v>3.4480072767068798E-2</v>
      </c>
      <c r="M1185" s="199">
        <v>4.0196000280323788E-2</v>
      </c>
      <c r="N1185" s="199">
        <v>5.8648564677424311E-2</v>
      </c>
    </row>
    <row r="1186" spans="3:14">
      <c r="C1186" s="29">
        <v>8</v>
      </c>
      <c r="D1186" s="34" t="s">
        <v>1631</v>
      </c>
      <c r="E1186" s="199">
        <v>2.7204676143770975E-2</v>
      </c>
      <c r="F1186" s="199">
        <v>3.1183834928634833E-2</v>
      </c>
      <c r="G1186" s="199">
        <v>4.1094818240646411E-2</v>
      </c>
      <c r="H1186" s="199">
        <v>3.7910521075805358E-2</v>
      </c>
      <c r="I1186" s="199">
        <v>4.7368575410824121E-2</v>
      </c>
      <c r="J1186" s="199">
        <v>2.9061406405665659E-2</v>
      </c>
      <c r="K1186" s="199">
        <v>3.2659070401051093E-2</v>
      </c>
      <c r="L1186" s="199">
        <v>3.7761645579678052E-2</v>
      </c>
      <c r="M1186" s="199">
        <v>4.151754395893785E-2</v>
      </c>
      <c r="N1186" s="199">
        <v>5.2343012596185332E-2</v>
      </c>
    </row>
    <row r="1187" spans="3:14">
      <c r="C1187" s="29">
        <v>9</v>
      </c>
      <c r="D1187" s="34" t="s">
        <v>1632</v>
      </c>
      <c r="E1187" s="199">
        <v>3.3174436408121871E-2</v>
      </c>
      <c r="F1187" s="199">
        <v>3.2303516858690928E-2</v>
      </c>
      <c r="G1187" s="199">
        <v>4.3165549301739665E-2</v>
      </c>
      <c r="H1187" s="199">
        <v>3.8674696402986687E-2</v>
      </c>
      <c r="I1187" s="199">
        <v>4.71809228990486E-2</v>
      </c>
      <c r="J1187" s="199">
        <v>3.6088320577235343E-2</v>
      </c>
      <c r="K1187" s="199">
        <v>3.3861460516162303E-2</v>
      </c>
      <c r="L1187" s="199">
        <v>4.0565275923682753E-2</v>
      </c>
      <c r="M1187" s="199">
        <v>4.0924625410099988E-2</v>
      </c>
      <c r="N1187" s="199">
        <v>5.6155296804262907E-2</v>
      </c>
    </row>
    <row r="1188" spans="3:14">
      <c r="C1188" s="29">
        <v>10</v>
      </c>
      <c r="D1188" s="34" t="s">
        <v>1633</v>
      </c>
      <c r="E1188" s="199">
        <v>3.7663804748472786E-2</v>
      </c>
      <c r="F1188" s="199">
        <v>3.631789698155051E-2</v>
      </c>
      <c r="G1188" s="199">
        <v>4.5809561244152384E-2</v>
      </c>
      <c r="H1188" s="199">
        <v>3.9908639335774806E-2</v>
      </c>
      <c r="I1188" s="199">
        <v>4.549024669600623E-2</v>
      </c>
      <c r="J1188" s="199">
        <v>4.0637348929620877E-2</v>
      </c>
      <c r="K1188" s="199">
        <v>4.1254095882942404E-2</v>
      </c>
      <c r="L1188" s="199">
        <v>4.289870722501906E-2</v>
      </c>
      <c r="M1188" s="199">
        <v>4.1993299683238915E-2</v>
      </c>
      <c r="N1188" s="199">
        <v>4.621778766430458E-2</v>
      </c>
    </row>
    <row r="1189" spans="3:14">
      <c r="C1189" s="29">
        <v>11</v>
      </c>
      <c r="D1189" s="34" t="s">
        <v>1634</v>
      </c>
      <c r="E1189" s="199">
        <v>4.1795530293854556E-2</v>
      </c>
      <c r="F1189" s="199">
        <v>3.7328195110427516E-2</v>
      </c>
      <c r="G1189" s="199">
        <v>4.8780994589263327E-2</v>
      </c>
      <c r="H1189" s="199">
        <v>4.0694004677487142E-2</v>
      </c>
      <c r="I1189" s="199">
        <v>4.518081217387241E-2</v>
      </c>
      <c r="J1189" s="199">
        <v>4.2022453710887836E-2</v>
      </c>
      <c r="K1189" s="199">
        <v>4.7478291633350073E-2</v>
      </c>
      <c r="L1189" s="199">
        <v>4.6259682038168819E-2</v>
      </c>
      <c r="M1189" s="199">
        <v>4.2206673295858886E-2</v>
      </c>
      <c r="N1189" s="199">
        <v>4.0895578003591976E-2</v>
      </c>
    </row>
    <row r="1190" spans="3:14">
      <c r="C1190" s="29">
        <v>12</v>
      </c>
      <c r="D1190" s="34" t="s">
        <v>1635</v>
      </c>
      <c r="E1190" s="199">
        <v>4.5528116079809049E-2</v>
      </c>
      <c r="F1190" s="199">
        <v>3.9819326440772886E-2</v>
      </c>
      <c r="G1190" s="199">
        <v>4.8644780627624624E-2</v>
      </c>
      <c r="H1190" s="199">
        <v>4.1029457624058775E-2</v>
      </c>
      <c r="I1190" s="199">
        <v>4.1933474871266307E-2</v>
      </c>
      <c r="J1190" s="199">
        <v>4.6455144505185827E-2</v>
      </c>
      <c r="K1190" s="199">
        <v>4.8660604502191521E-2</v>
      </c>
      <c r="L1190" s="199">
        <v>4.7935013234061512E-2</v>
      </c>
      <c r="M1190" s="199">
        <v>4.2014131305689956E-2</v>
      </c>
      <c r="N1190" s="199">
        <v>3.51893816713022E-2</v>
      </c>
    </row>
    <row r="1191" spans="3:14">
      <c r="C1191" s="29">
        <v>13</v>
      </c>
      <c r="D1191" s="34" t="s">
        <v>1636</v>
      </c>
      <c r="E1191" s="199">
        <v>4.9057280310323699E-2</v>
      </c>
      <c r="F1191" s="199">
        <v>4.0918688343490751E-2</v>
      </c>
      <c r="G1191" s="199">
        <v>4.9938005895463169E-2</v>
      </c>
      <c r="H1191" s="199">
        <v>4.2592596609364083E-2</v>
      </c>
      <c r="I1191" s="199">
        <v>3.856004260880435E-2</v>
      </c>
      <c r="J1191" s="199">
        <v>4.9120326186967572E-2</v>
      </c>
      <c r="K1191" s="199">
        <v>4.8229255465874414E-2</v>
      </c>
      <c r="L1191" s="199">
        <v>5.0349978255548967E-2</v>
      </c>
      <c r="M1191" s="199">
        <v>4.167685168438718E-2</v>
      </c>
      <c r="N1191" s="199">
        <v>3.0014712405519072E-2</v>
      </c>
    </row>
    <row r="1192" spans="3:14">
      <c r="C1192" s="29">
        <v>14</v>
      </c>
      <c r="D1192" s="34" t="s">
        <v>1637</v>
      </c>
      <c r="E1192" s="199">
        <v>5.2896579748893904E-2</v>
      </c>
      <c r="F1192" s="199">
        <v>4.1321035645614353E-2</v>
      </c>
      <c r="G1192" s="199">
        <v>4.7429012868182532E-2</v>
      </c>
      <c r="H1192" s="199">
        <v>4.32493202093173E-2</v>
      </c>
      <c r="I1192" s="199">
        <v>4.0040246876365933E-2</v>
      </c>
      <c r="J1192" s="199">
        <v>5.4399283429426182E-2</v>
      </c>
      <c r="K1192" s="199">
        <v>4.5480262695179505E-2</v>
      </c>
      <c r="L1192" s="199">
        <v>5.1165880271658339E-2</v>
      </c>
      <c r="M1192" s="199">
        <v>4.2825360441254692E-2</v>
      </c>
      <c r="N1192" s="199">
        <v>2.90472429375336E-2</v>
      </c>
    </row>
    <row r="1193" spans="3:14">
      <c r="C1193" s="29">
        <v>15</v>
      </c>
      <c r="D1193" s="34" t="s">
        <v>1638</v>
      </c>
      <c r="E1193" s="199">
        <v>5.566646536699961E-2</v>
      </c>
      <c r="F1193" s="199">
        <v>4.1736421482490731E-2</v>
      </c>
      <c r="G1193" s="199">
        <v>4.6752531184969776E-2</v>
      </c>
      <c r="H1193" s="199">
        <v>4.4130541167943543E-2</v>
      </c>
      <c r="I1193" s="199">
        <v>4.0243308380437277E-2</v>
      </c>
      <c r="J1193" s="199">
        <v>5.9236559742320567E-2</v>
      </c>
      <c r="K1193" s="199">
        <v>4.525601481875359E-2</v>
      </c>
      <c r="L1193" s="199">
        <v>5.1613924006236503E-2</v>
      </c>
      <c r="M1193" s="199">
        <v>4.228614653757963E-2</v>
      </c>
      <c r="N1193" s="199">
        <v>3.2576155910905388E-2</v>
      </c>
    </row>
    <row r="1194" spans="3:14">
      <c r="C1194" s="29">
        <v>16</v>
      </c>
      <c r="D1194" s="34" t="s">
        <v>1639</v>
      </c>
      <c r="E1194" s="199">
        <v>5.7395591623721341E-2</v>
      </c>
      <c r="F1194" s="199">
        <v>4.3908332895278027E-2</v>
      </c>
      <c r="G1194" s="199">
        <v>4.6829163542206904E-2</v>
      </c>
      <c r="H1194" s="199">
        <v>4.4135713533695206E-2</v>
      </c>
      <c r="I1194" s="199">
        <v>4.0966080298964244E-2</v>
      </c>
      <c r="J1194" s="199">
        <v>6.0567406181224782E-2</v>
      </c>
      <c r="K1194" s="199">
        <v>4.626957282104513E-2</v>
      </c>
      <c r="L1194" s="199">
        <v>5.185305921897037E-2</v>
      </c>
      <c r="M1194" s="199">
        <v>4.3343381480470893E-2</v>
      </c>
      <c r="N1194" s="199">
        <v>3.5523841261453901E-2</v>
      </c>
    </row>
    <row r="1195" spans="3:14">
      <c r="C1195" s="29">
        <v>17</v>
      </c>
      <c r="D1195" s="34" t="s">
        <v>1640</v>
      </c>
      <c r="E1195" s="199">
        <v>6.1207212074158461E-2</v>
      </c>
      <c r="F1195" s="199">
        <v>4.4961136288754873E-2</v>
      </c>
      <c r="G1195" s="199">
        <v>4.7365817670772838E-2</v>
      </c>
      <c r="H1195" s="199">
        <v>4.4522890137783482E-2</v>
      </c>
      <c r="I1195" s="199">
        <v>4.046946376863645E-2</v>
      </c>
      <c r="J1195" s="199">
        <v>6.3377712187528204E-2</v>
      </c>
      <c r="K1195" s="199">
        <v>4.687385428757699E-2</v>
      </c>
      <c r="L1195" s="199">
        <v>5.1776645269849923E-2</v>
      </c>
      <c r="M1195" s="199">
        <v>4.3232721012074857E-2</v>
      </c>
      <c r="N1195" s="199">
        <v>3.6821953871985599E-2</v>
      </c>
    </row>
    <row r="1196" spans="3:14">
      <c r="C1196" s="29">
        <v>18</v>
      </c>
      <c r="D1196" s="34" t="s">
        <v>1641</v>
      </c>
      <c r="E1196" s="199">
        <v>6.193227747760268E-2</v>
      </c>
      <c r="F1196" s="199">
        <v>4.398616954015707E-2</v>
      </c>
      <c r="G1196" s="199">
        <v>4.5905250325146904E-2</v>
      </c>
      <c r="H1196" s="199">
        <v>4.4035269527808056E-2</v>
      </c>
      <c r="I1196" s="199">
        <v>3.8340160601692527E-2</v>
      </c>
      <c r="J1196" s="199">
        <v>6.8186491089768264E-2</v>
      </c>
      <c r="K1196" s="199">
        <v>4.3203365794457875E-2</v>
      </c>
      <c r="L1196" s="199">
        <v>5.0382773941866771E-2</v>
      </c>
      <c r="M1196" s="199">
        <v>4.2819821397134764E-2</v>
      </c>
      <c r="N1196" s="199">
        <v>3.4514911294481788E-2</v>
      </c>
    </row>
    <row r="1197" spans="3:14">
      <c r="C1197" s="29">
        <v>19</v>
      </c>
      <c r="D1197" s="34" t="s">
        <v>1642</v>
      </c>
      <c r="E1197" s="199">
        <v>6.2514041895322392E-2</v>
      </c>
      <c r="F1197" s="199">
        <v>4.288650274735558E-2</v>
      </c>
      <c r="G1197" s="199">
        <v>4.432021319515863E-2</v>
      </c>
      <c r="H1197" s="199">
        <v>4.3360359222469953E-2</v>
      </c>
      <c r="I1197" s="199">
        <v>3.6553736919804396E-2</v>
      </c>
      <c r="J1197" s="199">
        <v>6.5903680670003795E-2</v>
      </c>
      <c r="K1197" s="199">
        <v>4.1450534902733843E-2</v>
      </c>
      <c r="L1197" s="199">
        <v>4.4107683761472817E-2</v>
      </c>
      <c r="M1197" s="199">
        <v>4.1744885595860245E-2</v>
      </c>
      <c r="N1197" s="199">
        <v>3.863927683175173E-2</v>
      </c>
    </row>
    <row r="1198" spans="3:14">
      <c r="C1198" s="29">
        <v>20</v>
      </c>
      <c r="D1198" s="34" t="s">
        <v>1643</v>
      </c>
      <c r="E1198" s="199">
        <v>6.039321025885723E-2</v>
      </c>
      <c r="F1198" s="199">
        <v>4.3204018867387506E-2</v>
      </c>
      <c r="G1198" s="199">
        <v>4.1012900647966311E-2</v>
      </c>
      <c r="H1198" s="199">
        <v>4.1955561369368809E-2</v>
      </c>
      <c r="I1198" s="199">
        <v>3.7980617448123456E-2</v>
      </c>
      <c r="J1198" s="199">
        <v>5.83803725245675E-2</v>
      </c>
      <c r="K1198" s="199">
        <v>4.2360713792245132E-2</v>
      </c>
      <c r="L1198" s="199">
        <v>4.1831736010321308E-2</v>
      </c>
      <c r="M1198" s="199">
        <v>4.1258413025327151E-2</v>
      </c>
      <c r="N1198" s="199">
        <v>4.2111203303378274E-2</v>
      </c>
    </row>
    <row r="1199" spans="3:14">
      <c r="C1199" s="29">
        <v>21</v>
      </c>
      <c r="D1199" s="34" t="s">
        <v>1644</v>
      </c>
      <c r="E1199" s="199">
        <v>5.602517329017237E-2</v>
      </c>
      <c r="F1199" s="199">
        <v>5.0216383182557119E-2</v>
      </c>
      <c r="G1199" s="199">
        <v>4.0786979951238263E-2</v>
      </c>
      <c r="H1199" s="199">
        <v>4.2523520499003153E-2</v>
      </c>
      <c r="I1199" s="199">
        <v>3.9132057338075794E-2</v>
      </c>
      <c r="J1199" s="199">
        <v>5.2608336498747778E-2</v>
      </c>
      <c r="K1199" s="199">
        <v>4.7996496582877621E-2</v>
      </c>
      <c r="L1199" s="199">
        <v>4.1785257234878713E-2</v>
      </c>
      <c r="M1199" s="199">
        <v>4.0979172953281046E-2</v>
      </c>
      <c r="N1199" s="199">
        <v>4.9049938737342202E-2</v>
      </c>
    </row>
    <row r="1200" spans="3:14">
      <c r="C1200" s="29">
        <v>22</v>
      </c>
      <c r="D1200" s="34" t="s">
        <v>1645</v>
      </c>
      <c r="E1200" s="199">
        <v>4.8363885436058442E-2</v>
      </c>
      <c r="F1200" s="199">
        <v>5.0896628828551865E-2</v>
      </c>
      <c r="G1200" s="199">
        <v>4.0594292928789605E-2</v>
      </c>
      <c r="H1200" s="199">
        <v>4.2677440092742193E-2</v>
      </c>
      <c r="I1200" s="199">
        <v>4.0613006569641508E-2</v>
      </c>
      <c r="J1200" s="199">
        <v>4.5643559414058843E-2</v>
      </c>
      <c r="K1200" s="199">
        <v>4.8017010291022802E-2</v>
      </c>
      <c r="L1200" s="199">
        <v>3.890652476920628E-2</v>
      </c>
      <c r="M1200" s="199">
        <v>4.2015215031713432E-2</v>
      </c>
      <c r="N1200" s="199">
        <v>3.8060217645067951E-2</v>
      </c>
    </row>
    <row r="1201" spans="1:14">
      <c r="C1201" s="29">
        <v>23</v>
      </c>
      <c r="D1201" s="34" t="s">
        <v>1646</v>
      </c>
      <c r="E1201" s="199">
        <v>4.1308877879798679E-2</v>
      </c>
      <c r="F1201" s="199">
        <v>4.7230397311773385E-2</v>
      </c>
      <c r="G1201" s="199">
        <v>3.8266946970515484E-2</v>
      </c>
      <c r="H1201" s="199">
        <v>4.1991684504376403E-2</v>
      </c>
      <c r="I1201" s="199">
        <v>4.0872685338026245E-2</v>
      </c>
      <c r="J1201" s="199">
        <v>3.7547682318901841E-2</v>
      </c>
      <c r="K1201" s="199">
        <v>4.4376855898246005E-2</v>
      </c>
      <c r="L1201" s="199">
        <v>3.6207512664555318E-2</v>
      </c>
      <c r="M1201" s="199">
        <v>3.991760310629594E-2</v>
      </c>
      <c r="N1201" s="199">
        <v>4.1968173255618905E-2</v>
      </c>
    </row>
    <row r="1202" spans="1:14">
      <c r="C1202" s="29">
        <v>24</v>
      </c>
      <c r="D1202" s="34" t="s">
        <v>1647</v>
      </c>
      <c r="E1202" s="199">
        <v>3.346021711910413E-2</v>
      </c>
      <c r="F1202" s="199">
        <v>4.5384736223178401E-2</v>
      </c>
      <c r="G1202" s="199">
        <v>3.6535630457419054E-2</v>
      </c>
      <c r="H1202" s="199">
        <v>4.1694607174671952E-2</v>
      </c>
      <c r="I1202" s="199">
        <v>3.9924150117618053E-2</v>
      </c>
      <c r="J1202" s="199">
        <v>3.2850429401497003E-2</v>
      </c>
      <c r="K1202" s="199">
        <v>4.093507342785184E-2</v>
      </c>
      <c r="L1202" s="199">
        <v>3.4231754762165952E-2</v>
      </c>
      <c r="M1202" s="199">
        <v>3.955407323242479E-2</v>
      </c>
      <c r="N1202" s="199">
        <v>4.1092038317827859E-2</v>
      </c>
    </row>
    <row r="1203" spans="1:14">
      <c r="A1203" s="16" t="s">
        <v>437</v>
      </c>
      <c r="B1203" s="16" t="s">
        <v>308</v>
      </c>
      <c r="C1203" s="29">
        <v>1</v>
      </c>
      <c r="D1203" s="34" t="s">
        <v>1648</v>
      </c>
      <c r="E1203" s="199">
        <v>2.9799398439990674E-2</v>
      </c>
      <c r="F1203" s="199">
        <v>3.2516106329341231E-2</v>
      </c>
      <c r="G1203" s="199">
        <v>2.8959336148547361E-2</v>
      </c>
      <c r="H1203" s="199">
        <v>2.8384160372572718E-2</v>
      </c>
      <c r="I1203" s="199">
        <v>3.644174669090499E-2</v>
      </c>
      <c r="J1203" s="199">
        <v>2.7380921116542299E-2</v>
      </c>
      <c r="K1203" s="199">
        <v>2.941178349361143E-2</v>
      </c>
      <c r="L1203" s="199">
        <v>2.3019789107815367E-2</v>
      </c>
      <c r="M1203" s="199">
        <v>3.1071293889861684E-2</v>
      </c>
      <c r="N1203" s="199">
        <v>4.1695797408693128E-2</v>
      </c>
    </row>
    <row r="1204" spans="1:14">
      <c r="C1204" s="29">
        <v>2</v>
      </c>
      <c r="D1204" s="34" t="s">
        <v>1649</v>
      </c>
      <c r="E1204" s="199">
        <v>2.7010200202022855E-2</v>
      </c>
      <c r="F1204" s="199">
        <v>3.089324232618916E-2</v>
      </c>
      <c r="G1204" s="199">
        <v>2.8588378099178951E-2</v>
      </c>
      <c r="H1204" s="199">
        <v>2.7640352870023949E-2</v>
      </c>
      <c r="I1204" s="199">
        <v>3.6707543852928612E-2</v>
      </c>
      <c r="J1204" s="199">
        <v>2.4505128359486521E-2</v>
      </c>
      <c r="K1204" s="199">
        <v>2.7356369749149293E-2</v>
      </c>
      <c r="L1204" s="199">
        <v>2.2454259709503578E-2</v>
      </c>
      <c r="M1204" s="199">
        <v>3.1260037015568766E-2</v>
      </c>
      <c r="N1204" s="199">
        <v>3.7454990161374345E-2</v>
      </c>
    </row>
    <row r="1205" spans="1:14">
      <c r="C1205" s="29">
        <v>3</v>
      </c>
      <c r="D1205" s="34" t="s">
        <v>1650</v>
      </c>
      <c r="E1205" s="199">
        <v>2.4846149327746658E-2</v>
      </c>
      <c r="F1205" s="199">
        <v>3.0154311416419905E-2</v>
      </c>
      <c r="G1205" s="199">
        <v>2.8654949898468868E-2</v>
      </c>
      <c r="H1205" s="199">
        <v>2.7029991308622953E-2</v>
      </c>
      <c r="I1205" s="199">
        <v>3.6240464507848569E-2</v>
      </c>
      <c r="J1205" s="199">
        <v>2.3089155167266003E-2</v>
      </c>
      <c r="K1205" s="199">
        <v>2.6725276012719731E-2</v>
      </c>
      <c r="L1205" s="199">
        <v>2.1819103828360019E-2</v>
      </c>
      <c r="M1205" s="199">
        <v>3.1218094098744969E-2</v>
      </c>
      <c r="N1205" s="199">
        <v>3.830520641239564E-2</v>
      </c>
    </row>
    <row r="1206" spans="1:14">
      <c r="C1206" s="29">
        <v>4</v>
      </c>
      <c r="D1206" s="34" t="s">
        <v>1651</v>
      </c>
      <c r="E1206" s="199">
        <v>2.3844612300961084E-2</v>
      </c>
      <c r="F1206" s="199">
        <v>3.051383402008925E-2</v>
      </c>
      <c r="G1206" s="199">
        <v>2.9373963627137067E-2</v>
      </c>
      <c r="H1206" s="199">
        <v>2.6824721075085028E-2</v>
      </c>
      <c r="I1206" s="199">
        <v>3.7457222321044904E-2</v>
      </c>
      <c r="J1206" s="199">
        <v>2.231833998108056E-2</v>
      </c>
      <c r="K1206" s="199">
        <v>2.6635775446462447E-2</v>
      </c>
      <c r="L1206" s="199">
        <v>2.2600606458530067E-2</v>
      </c>
      <c r="M1206" s="199">
        <v>3.1752488424132828E-2</v>
      </c>
      <c r="N1206" s="199">
        <v>4.0146106496322491E-2</v>
      </c>
    </row>
    <row r="1207" spans="1:14">
      <c r="C1207" s="29">
        <v>5</v>
      </c>
      <c r="D1207" s="34" t="s">
        <v>1652</v>
      </c>
      <c r="E1207" s="199">
        <v>2.3864490191041997E-2</v>
      </c>
      <c r="F1207" s="199">
        <v>3.0000428768433229E-2</v>
      </c>
      <c r="G1207" s="199">
        <v>3.0572116754948041E-2</v>
      </c>
      <c r="H1207" s="199">
        <v>2.8251583974916339E-2</v>
      </c>
      <c r="I1207" s="199">
        <v>3.9369194457856103E-2</v>
      </c>
      <c r="J1207" s="199">
        <v>2.2576564958761512E-2</v>
      </c>
      <c r="K1207" s="199">
        <v>2.6570856188252036E-2</v>
      </c>
      <c r="L1207" s="199">
        <v>2.6666917946457626E-2</v>
      </c>
      <c r="M1207" s="199">
        <v>3.4067283995867684E-2</v>
      </c>
      <c r="N1207" s="199">
        <v>4.4097641475192566E-2</v>
      </c>
    </row>
    <row r="1208" spans="1:14">
      <c r="C1208" s="29">
        <v>6</v>
      </c>
      <c r="D1208" s="34" t="s">
        <v>1653</v>
      </c>
      <c r="E1208" s="199">
        <v>2.5493901697547266E-2</v>
      </c>
      <c r="F1208" s="199">
        <v>3.0686335678502347E-2</v>
      </c>
      <c r="G1208" s="199">
        <v>3.1965354905327335E-2</v>
      </c>
      <c r="H1208" s="199">
        <v>3.1769119275918391E-2</v>
      </c>
      <c r="I1208" s="199">
        <v>4.4502440077114555E-2</v>
      </c>
      <c r="J1208" s="199">
        <v>2.48206077142413E-2</v>
      </c>
      <c r="K1208" s="199">
        <v>2.6802687023238847E-2</v>
      </c>
      <c r="L1208" s="199">
        <v>3.4516439018665995E-2</v>
      </c>
      <c r="M1208" s="199">
        <v>4.2071485089104139E-2</v>
      </c>
      <c r="N1208" s="199">
        <v>5.947488367212575E-2</v>
      </c>
    </row>
    <row r="1209" spans="1:14">
      <c r="C1209" s="29">
        <v>7</v>
      </c>
      <c r="D1209" s="34" t="s">
        <v>1654</v>
      </c>
      <c r="E1209" s="199">
        <v>2.8209104920382609E-2</v>
      </c>
      <c r="F1209" s="199">
        <v>3.0115180167732909E-2</v>
      </c>
      <c r="G1209" s="199">
        <v>3.6301428658780693E-2</v>
      </c>
      <c r="H1209" s="199">
        <v>3.7266431198153843E-2</v>
      </c>
      <c r="I1209" s="199">
        <v>4.8158630234351338E-2</v>
      </c>
      <c r="J1209" s="199">
        <v>2.9198123347117265E-2</v>
      </c>
      <c r="K1209" s="199">
        <v>2.7183590834167284E-2</v>
      </c>
      <c r="L1209" s="199">
        <v>3.9880038628148227E-2</v>
      </c>
      <c r="M1209" s="199">
        <v>4.6553992625603925E-2</v>
      </c>
      <c r="N1209" s="199">
        <v>6.0334026520077348E-2</v>
      </c>
    </row>
    <row r="1210" spans="1:14">
      <c r="C1210" s="29">
        <v>8</v>
      </c>
      <c r="D1210" s="34" t="s">
        <v>1655</v>
      </c>
      <c r="E1210" s="199">
        <v>3.1003669418921777E-2</v>
      </c>
      <c r="F1210" s="199">
        <v>3.6540264243393149E-2</v>
      </c>
      <c r="G1210" s="199">
        <v>4.3016546303793632E-2</v>
      </c>
      <c r="H1210" s="199">
        <v>4.4549031847378191E-2</v>
      </c>
      <c r="I1210" s="199">
        <v>4.9593889396066231E-2</v>
      </c>
      <c r="J1210" s="199">
        <v>3.0122651413275327E-2</v>
      </c>
      <c r="K1210" s="199">
        <v>3.5346075598902051E-2</v>
      </c>
      <c r="L1210" s="199">
        <v>4.6332683852505857E-2</v>
      </c>
      <c r="M1210" s="199">
        <v>5.3606165079763346E-2</v>
      </c>
      <c r="N1210" s="199">
        <v>5.2621109919588203E-2</v>
      </c>
    </row>
    <row r="1211" spans="1:14">
      <c r="C1211" s="29">
        <v>9</v>
      </c>
      <c r="D1211" s="34" t="s">
        <v>1656</v>
      </c>
      <c r="E1211" s="199">
        <v>3.3805469572083802E-2</v>
      </c>
      <c r="F1211" s="199">
        <v>4.5003864364036715E-2</v>
      </c>
      <c r="G1211" s="199">
        <v>4.6752023244808955E-2</v>
      </c>
      <c r="H1211" s="199">
        <v>4.7637882207117038E-2</v>
      </c>
      <c r="I1211" s="199">
        <v>4.7448813755003143E-2</v>
      </c>
      <c r="J1211" s="199">
        <v>3.1725096977019009E-2</v>
      </c>
      <c r="K1211" s="199">
        <v>4.2955658372245659E-2</v>
      </c>
      <c r="L1211" s="199">
        <v>5.1639220968704075E-2</v>
      </c>
      <c r="M1211" s="199">
        <v>5.3485154096764957E-2</v>
      </c>
      <c r="N1211" s="199">
        <v>4.9119862806626488E-2</v>
      </c>
    </row>
    <row r="1212" spans="1:14">
      <c r="C1212" s="29">
        <v>10</v>
      </c>
      <c r="D1212" s="34" t="s">
        <v>1657</v>
      </c>
      <c r="E1212" s="199">
        <v>3.7277693079768984E-2</v>
      </c>
      <c r="F1212" s="199">
        <v>4.8489187843940941E-2</v>
      </c>
      <c r="G1212" s="199">
        <v>4.8118163835466826E-2</v>
      </c>
      <c r="H1212" s="199">
        <v>5.0057415956737558E-2</v>
      </c>
      <c r="I1212" s="199">
        <v>4.401541077381186E-2</v>
      </c>
      <c r="J1212" s="199">
        <v>3.673095126345121E-2</v>
      </c>
      <c r="K1212" s="199">
        <v>4.6631238195974256E-2</v>
      </c>
      <c r="L1212" s="199">
        <v>5.3556965353412533E-2</v>
      </c>
      <c r="M1212" s="199">
        <v>5.2576107500829423E-2</v>
      </c>
      <c r="N1212" s="199">
        <v>4.2505843973528086E-2</v>
      </c>
    </row>
    <row r="1213" spans="1:14">
      <c r="C1213" s="29">
        <v>11</v>
      </c>
      <c r="D1213" s="34" t="s">
        <v>1658</v>
      </c>
      <c r="E1213" s="199">
        <v>4.0749264132275392E-2</v>
      </c>
      <c r="F1213" s="199">
        <v>5.2297708469718387E-2</v>
      </c>
      <c r="G1213" s="199">
        <v>5.0102384096687061E-2</v>
      </c>
      <c r="H1213" s="199">
        <v>4.9862754153794764E-2</v>
      </c>
      <c r="I1213" s="199">
        <v>4.2320119457012209E-2</v>
      </c>
      <c r="J1213" s="199">
        <v>3.9612142390826915E-2</v>
      </c>
      <c r="K1213" s="199">
        <v>5.3780376871908606E-2</v>
      </c>
      <c r="L1213" s="199">
        <v>5.5463931683469199E-2</v>
      </c>
      <c r="M1213" s="199">
        <v>5.2906927533975662E-2</v>
      </c>
      <c r="N1213" s="199">
        <v>4.0376766392474166E-2</v>
      </c>
    </row>
    <row r="1214" spans="1:14">
      <c r="C1214" s="29">
        <v>12</v>
      </c>
      <c r="D1214" s="34" t="s">
        <v>1659</v>
      </c>
      <c r="E1214" s="199">
        <v>4.3179989566215361E-2</v>
      </c>
      <c r="F1214" s="199">
        <v>5.418866170639159E-2</v>
      </c>
      <c r="G1214" s="199">
        <v>5.134825678148925E-2</v>
      </c>
      <c r="H1214" s="199">
        <v>5.3012298649233756E-2</v>
      </c>
      <c r="I1214" s="199">
        <v>4.3435534516651587E-2</v>
      </c>
      <c r="J1214" s="199">
        <v>4.2153025176829825E-2</v>
      </c>
      <c r="K1214" s="199">
        <v>5.5556122048110806E-2</v>
      </c>
      <c r="L1214" s="199">
        <v>5.830853881201209E-2</v>
      </c>
      <c r="M1214" s="199">
        <v>5.132717213297492E-2</v>
      </c>
      <c r="N1214" s="199">
        <v>3.3282227162354419E-2</v>
      </c>
    </row>
    <row r="1215" spans="1:14">
      <c r="C1215" s="29">
        <v>13</v>
      </c>
      <c r="D1215" s="34" t="s">
        <v>1660</v>
      </c>
      <c r="E1215" s="199">
        <v>4.6279686825179682E-2</v>
      </c>
      <c r="F1215" s="199">
        <v>5.5250571836527984E-2</v>
      </c>
      <c r="G1215" s="199">
        <v>5.1832241247520131E-2</v>
      </c>
      <c r="H1215" s="199">
        <v>5.4474291106117873E-2</v>
      </c>
      <c r="I1215" s="199">
        <v>4.1903559778001725E-2</v>
      </c>
      <c r="J1215" s="199">
        <v>4.7677676918421022E-2</v>
      </c>
      <c r="K1215" s="199">
        <v>5.6524824317580664E-2</v>
      </c>
      <c r="L1215" s="199">
        <v>5.869076634691188E-2</v>
      </c>
      <c r="M1215" s="199">
        <v>5.3500552059472795E-2</v>
      </c>
      <c r="N1215" s="199">
        <v>2.9028956364604661E-2</v>
      </c>
    </row>
    <row r="1216" spans="1:14">
      <c r="C1216" s="29">
        <v>14</v>
      </c>
      <c r="D1216" s="34" t="s">
        <v>1661</v>
      </c>
      <c r="E1216" s="199">
        <v>4.9164242487166492E-2</v>
      </c>
      <c r="F1216" s="199">
        <v>5.6130105558756638E-2</v>
      </c>
      <c r="G1216" s="199">
        <v>5.2269486774888026E-2</v>
      </c>
      <c r="H1216" s="199">
        <v>5.7082689702071802E-2</v>
      </c>
      <c r="I1216" s="199">
        <v>4.020504460863758E-2</v>
      </c>
      <c r="J1216" s="199">
        <v>5.0056379999340421E-2</v>
      </c>
      <c r="K1216" s="199">
        <v>5.744448226406576E-2</v>
      </c>
      <c r="L1216" s="199">
        <v>5.8481799475030065E-2</v>
      </c>
      <c r="M1216" s="199">
        <v>5.4415266617141286E-2</v>
      </c>
      <c r="N1216" s="199">
        <v>2.6731536639553952E-2</v>
      </c>
    </row>
    <row r="1217" spans="1:14">
      <c r="C1217" s="29">
        <v>15</v>
      </c>
      <c r="D1217" s="34" t="s">
        <v>1662</v>
      </c>
      <c r="E1217" s="199">
        <v>5.0076972300070383E-2</v>
      </c>
      <c r="F1217" s="199">
        <v>5.6864133144638902E-2</v>
      </c>
      <c r="G1217" s="199">
        <v>5.3911041856376178E-2</v>
      </c>
      <c r="H1217" s="199">
        <v>5.5915936245303097E-2</v>
      </c>
      <c r="I1217" s="199">
        <v>3.9459120980567003E-2</v>
      </c>
      <c r="J1217" s="199">
        <v>5.4647702748567943E-2</v>
      </c>
      <c r="K1217" s="199">
        <v>6.0087883736043693E-2</v>
      </c>
      <c r="L1217" s="199">
        <v>5.8860804833684E-2</v>
      </c>
      <c r="M1217" s="199">
        <v>5.6531872460280824E-2</v>
      </c>
      <c r="N1217" s="199">
        <v>3.0673639742422203E-2</v>
      </c>
    </row>
    <row r="1218" spans="1:14">
      <c r="C1218" s="29">
        <v>16</v>
      </c>
      <c r="D1218" s="34" t="s">
        <v>1663</v>
      </c>
      <c r="E1218" s="199">
        <v>5.3874019518856481E-2</v>
      </c>
      <c r="F1218" s="199">
        <v>5.6045999933750652E-2</v>
      </c>
      <c r="G1218" s="199">
        <v>5.1525075611765711E-2</v>
      </c>
      <c r="H1218" s="199">
        <v>5.1326543667227796E-2</v>
      </c>
      <c r="I1218" s="199">
        <v>4.1727992560106848E-2</v>
      </c>
      <c r="J1218" s="199">
        <v>5.8550645360664733E-2</v>
      </c>
      <c r="K1218" s="199">
        <v>6.0259763623397432E-2</v>
      </c>
      <c r="L1218" s="199">
        <v>5.5717996533737657E-2</v>
      </c>
      <c r="M1218" s="199">
        <v>4.8978085392755749E-2</v>
      </c>
      <c r="N1218" s="199">
        <v>3.2263416127800572E-2</v>
      </c>
    </row>
    <row r="1219" spans="1:14">
      <c r="C1219" s="29">
        <v>17</v>
      </c>
      <c r="D1219" s="34" t="s">
        <v>1664</v>
      </c>
      <c r="E1219" s="199">
        <v>5.8666346792573425E-2</v>
      </c>
      <c r="F1219" s="199">
        <v>5.2235109368094494E-2</v>
      </c>
      <c r="G1219" s="199">
        <v>5.0834105246295294E-2</v>
      </c>
      <c r="H1219" s="199">
        <v>4.8705739584129812E-2</v>
      </c>
      <c r="I1219" s="199">
        <v>4.2063121516105806E-2</v>
      </c>
      <c r="J1219" s="199">
        <v>6.034611343581487E-2</v>
      </c>
      <c r="K1219" s="199">
        <v>5.8052130306294698E-2</v>
      </c>
      <c r="L1219" s="199">
        <v>5.0752785296605318E-2</v>
      </c>
      <c r="M1219" s="199">
        <v>3.8134802267486993E-2</v>
      </c>
      <c r="N1219" s="199">
        <v>3.1941553359238428E-2</v>
      </c>
    </row>
    <row r="1220" spans="1:14">
      <c r="C1220" s="29">
        <v>18</v>
      </c>
      <c r="D1220" s="34" t="s">
        <v>1665</v>
      </c>
      <c r="E1220" s="199">
        <v>6.2212176774666644E-2</v>
      </c>
      <c r="F1220" s="199">
        <v>4.1948657731430361E-2</v>
      </c>
      <c r="G1220" s="199">
        <v>4.8035246463214325E-2</v>
      </c>
      <c r="H1220" s="199">
        <v>4.3376017677471367E-2</v>
      </c>
      <c r="I1220" s="199">
        <v>4.0614473884328928E-2</v>
      </c>
      <c r="J1220" s="199">
        <v>6.5239973518443864E-2</v>
      </c>
      <c r="K1220" s="199">
        <v>4.9296098037921891E-2</v>
      </c>
      <c r="L1220" s="199">
        <v>4.5281917191868915E-2</v>
      </c>
      <c r="M1220" s="199">
        <v>3.5684070080190325E-2</v>
      </c>
      <c r="N1220" s="199">
        <v>4.00537246394118E-2</v>
      </c>
    </row>
    <row r="1221" spans="1:14">
      <c r="C1221" s="29">
        <v>19</v>
      </c>
      <c r="D1221" s="34" t="s">
        <v>1666</v>
      </c>
      <c r="E1221" s="199">
        <v>6.2011601789376668E-2</v>
      </c>
      <c r="F1221" s="199">
        <v>3.6975298034922131E-2</v>
      </c>
      <c r="G1221" s="199">
        <v>4.6373742471592906E-2</v>
      </c>
      <c r="H1221" s="199">
        <v>4.2180801163750635E-2</v>
      </c>
      <c r="I1221" s="199">
        <v>3.9571045556070952E-2</v>
      </c>
      <c r="J1221" s="199">
        <v>6.5348213480998521E-2</v>
      </c>
      <c r="K1221" s="199">
        <v>4.3012462723179781E-2</v>
      </c>
      <c r="L1221" s="199">
        <v>4.2462525465808046E-2</v>
      </c>
      <c r="M1221" s="199">
        <v>3.4730718916708932E-2</v>
      </c>
      <c r="N1221" s="199">
        <v>3.9550466684171774E-2</v>
      </c>
    </row>
    <row r="1222" spans="1:14">
      <c r="C1222" s="29">
        <v>20</v>
      </c>
      <c r="D1222" s="34" t="s">
        <v>1667</v>
      </c>
      <c r="E1222" s="199">
        <v>6.0910151148756406E-2</v>
      </c>
      <c r="F1222" s="199">
        <v>3.562462298887447E-2</v>
      </c>
      <c r="G1222" s="199">
        <v>4.2367081044251985E-2</v>
      </c>
      <c r="H1222" s="199">
        <v>3.8306753031272095E-2</v>
      </c>
      <c r="I1222" s="199">
        <v>3.916051637773995E-2</v>
      </c>
      <c r="J1222" s="199">
        <v>6.0821337074515341E-2</v>
      </c>
      <c r="K1222" s="199">
        <v>3.7593904914437537E-2</v>
      </c>
      <c r="L1222" s="199">
        <v>3.9734840872201652E-2</v>
      </c>
      <c r="M1222" s="199">
        <v>3.3829418535141743E-2</v>
      </c>
      <c r="N1222" s="199">
        <v>4.1481138016473108E-2</v>
      </c>
    </row>
    <row r="1223" spans="1:14">
      <c r="C1223" s="29">
        <v>21</v>
      </c>
      <c r="D1223" s="34" t="s">
        <v>1668</v>
      </c>
      <c r="E1223" s="199">
        <v>5.8240403525200685E-2</v>
      </c>
      <c r="F1223" s="199">
        <v>4.000534789191941E-2</v>
      </c>
      <c r="G1223" s="199">
        <v>4.1197748811331023E-2</v>
      </c>
      <c r="H1223" s="199">
        <v>3.692539624082436E-2</v>
      </c>
      <c r="I1223" s="199">
        <v>3.9039830508796003E-2</v>
      </c>
      <c r="J1223" s="199">
        <v>5.7156124975578759E-2</v>
      </c>
      <c r="K1223" s="199">
        <v>4.0938027446793007E-2</v>
      </c>
      <c r="L1223" s="199">
        <v>3.7624402854558411E-2</v>
      </c>
      <c r="M1223" s="199">
        <v>3.2653033077468946E-2</v>
      </c>
      <c r="N1223" s="199">
        <v>4.5400671987479851E-2</v>
      </c>
    </row>
    <row r="1224" spans="1:14">
      <c r="C1224" s="29">
        <v>22</v>
      </c>
      <c r="D1224" s="34" t="s">
        <v>1669</v>
      </c>
      <c r="E1224" s="199">
        <v>5.0729746375460294E-2</v>
      </c>
      <c r="F1224" s="199">
        <v>4.2484958781569777E-2</v>
      </c>
      <c r="G1224" s="199">
        <v>3.9303495929871098E-2</v>
      </c>
      <c r="H1224" s="199">
        <v>4.2313551470105307E-2</v>
      </c>
      <c r="I1224" s="199">
        <v>4.3422108118912381E-2</v>
      </c>
      <c r="J1224" s="199">
        <v>5.0655528767779165E-2</v>
      </c>
      <c r="K1224" s="199">
        <v>4.0463009638356917E-2</v>
      </c>
      <c r="L1224" s="199">
        <v>3.6165668716220539E-2</v>
      </c>
      <c r="M1224" s="199">
        <v>3.4554634238872096E-2</v>
      </c>
      <c r="N1224" s="199">
        <v>5.0878907680966118E-2</v>
      </c>
    </row>
    <row r="1225" spans="1:14">
      <c r="C1225" s="29">
        <v>23</v>
      </c>
      <c r="D1225" s="34" t="s">
        <v>1670</v>
      </c>
      <c r="E1225" s="199">
        <v>4.3294172887976476E-2</v>
      </c>
      <c r="F1225" s="199">
        <v>3.8184471325797761E-2</v>
      </c>
      <c r="G1225" s="199">
        <v>3.5727865578835609E-2</v>
      </c>
      <c r="H1225" s="199">
        <v>3.9448347696356106E-2</v>
      </c>
      <c r="I1225" s="199">
        <v>4.3688322485385525E-2</v>
      </c>
      <c r="J1225" s="199">
        <v>4.1082143246917009E-2</v>
      </c>
      <c r="K1225" s="199">
        <v>3.7527495163053932E-2</v>
      </c>
      <c r="L1225" s="199">
        <v>3.1861253390591149E-2</v>
      </c>
      <c r="M1225" s="199">
        <v>3.3024095638919101E-2</v>
      </c>
      <c r="N1225" s="199">
        <v>4.6368112983095212E-2</v>
      </c>
    </row>
    <row r="1226" spans="1:14">
      <c r="C1226" s="29">
        <v>24</v>
      </c>
      <c r="D1226" s="34" t="s">
        <v>1671</v>
      </c>
      <c r="E1226" s="199">
        <v>3.5456536725758159E-2</v>
      </c>
      <c r="F1226" s="199">
        <v>3.6851598069528702E-2</v>
      </c>
      <c r="G1226" s="199">
        <v>3.2869966609423706E-2</v>
      </c>
      <c r="H1226" s="199">
        <v>3.765818952581533E-2</v>
      </c>
      <c r="I1226" s="199">
        <v>4.3453853584753378E-2</v>
      </c>
      <c r="J1226" s="199">
        <v>3.418545260706074E-2</v>
      </c>
      <c r="K1226" s="199">
        <v>3.3844107994132379E-2</v>
      </c>
      <c r="L1226" s="199">
        <v>2.8106743655197768E-2</v>
      </c>
      <c r="M1226" s="199">
        <v>3.2067249232369054E-2</v>
      </c>
      <c r="N1226" s="199">
        <v>4.6213413374029629E-2</v>
      </c>
    </row>
    <row r="1227" spans="1:14">
      <c r="A1227" s="16" t="s">
        <v>437</v>
      </c>
      <c r="B1227" s="16" t="s">
        <v>309</v>
      </c>
      <c r="C1227" s="29">
        <v>1</v>
      </c>
      <c r="D1227" s="34" t="s">
        <v>1672</v>
      </c>
      <c r="E1227" s="199">
        <v>3.0711202310471968E-2</v>
      </c>
      <c r="F1227" s="199">
        <v>3.3653861058818665E-2</v>
      </c>
      <c r="G1227" s="199">
        <v>3.1396032530741788E-2</v>
      </c>
      <c r="H1227" s="199">
        <v>3.3648067389960901E-2</v>
      </c>
      <c r="I1227" s="199">
        <v>4.0249181502669637E-2</v>
      </c>
      <c r="J1227" s="199">
        <v>2.7714616143678646E-2</v>
      </c>
      <c r="K1227" s="199">
        <v>3.1651242931317491E-2</v>
      </c>
      <c r="L1227" s="199">
        <v>2.6830805636483025E-2</v>
      </c>
      <c r="M1227" s="199">
        <v>3.2040872341583863E-2</v>
      </c>
      <c r="N1227" s="199">
        <v>3.7310191122994961E-2</v>
      </c>
    </row>
    <row r="1228" spans="1:14">
      <c r="C1228" s="29">
        <v>2</v>
      </c>
      <c r="D1228" s="34" t="s">
        <v>1673</v>
      </c>
      <c r="E1228" s="199">
        <v>2.7267330754521393E-2</v>
      </c>
      <c r="F1228" s="199">
        <v>3.1690647594482708E-2</v>
      </c>
      <c r="G1228" s="199">
        <v>3.0973383917472723E-2</v>
      </c>
      <c r="H1228" s="199">
        <v>3.2622501742250398E-2</v>
      </c>
      <c r="I1228" s="199">
        <v>3.8326380805966856E-2</v>
      </c>
      <c r="J1228" s="199">
        <v>2.450987654458725E-2</v>
      </c>
      <c r="K1228" s="199">
        <v>2.9234997729168894E-2</v>
      </c>
      <c r="L1228" s="199">
        <v>2.5392154877201048E-2</v>
      </c>
      <c r="M1228" s="199">
        <v>3.1937272413933987E-2</v>
      </c>
      <c r="N1228" s="199">
        <v>3.4151043179600042E-2</v>
      </c>
    </row>
    <row r="1229" spans="1:14">
      <c r="C1229" s="29">
        <v>3</v>
      </c>
      <c r="D1229" s="34" t="s">
        <v>1674</v>
      </c>
      <c r="E1229" s="199">
        <v>2.5737560153880127E-2</v>
      </c>
      <c r="F1229" s="199">
        <v>3.0535684996038898E-2</v>
      </c>
      <c r="G1229" s="199">
        <v>2.9781385420408712E-2</v>
      </c>
      <c r="H1229" s="199">
        <v>3.1043296155825024E-2</v>
      </c>
      <c r="I1229" s="199">
        <v>3.8673592962644505E-2</v>
      </c>
      <c r="J1229" s="199">
        <v>2.2228568007175108E-2</v>
      </c>
      <c r="K1229" s="199">
        <v>2.7887145087323779E-2</v>
      </c>
      <c r="L1229" s="199">
        <v>2.3504324415659347E-2</v>
      </c>
      <c r="M1229" s="199">
        <v>3.0757006935817011E-2</v>
      </c>
      <c r="N1229" s="199">
        <v>3.3430901202212863E-2</v>
      </c>
    </row>
    <row r="1230" spans="1:14">
      <c r="C1230" s="29">
        <v>4</v>
      </c>
      <c r="D1230" s="34" t="s">
        <v>1675</v>
      </c>
      <c r="E1230" s="199">
        <v>2.5317116709157917E-2</v>
      </c>
      <c r="F1230" s="199">
        <v>3.0567914240079219E-2</v>
      </c>
      <c r="G1230" s="199">
        <v>3.0148059724095948E-2</v>
      </c>
      <c r="H1230" s="199">
        <v>3.0664648527971031E-2</v>
      </c>
      <c r="I1230" s="199">
        <v>3.9632979698175037E-2</v>
      </c>
      <c r="J1230" s="199">
        <v>2.096033353667117E-2</v>
      </c>
      <c r="K1230" s="199">
        <v>2.7686215590213371E-2</v>
      </c>
      <c r="L1230" s="199">
        <v>2.367736457944291E-2</v>
      </c>
      <c r="M1230" s="199">
        <v>3.1082997600689832E-2</v>
      </c>
      <c r="N1230" s="199">
        <v>3.4196672010123198E-2</v>
      </c>
    </row>
    <row r="1231" spans="1:14">
      <c r="C1231" s="29">
        <v>5</v>
      </c>
      <c r="D1231" s="34" t="s">
        <v>1676</v>
      </c>
      <c r="E1231" s="199">
        <v>2.5326578331360209E-2</v>
      </c>
      <c r="F1231" s="199">
        <v>3.0177574955320682E-2</v>
      </c>
      <c r="G1231" s="199">
        <v>3.1041748690491949E-2</v>
      </c>
      <c r="H1231" s="199">
        <v>3.0926725956889514E-2</v>
      </c>
      <c r="I1231" s="199">
        <v>4.1123016904297774E-2</v>
      </c>
      <c r="J1231" s="199">
        <v>2.1747211447403981E-2</v>
      </c>
      <c r="K1231" s="199">
        <v>2.7655272959106816E-2</v>
      </c>
      <c r="L1231" s="199">
        <v>2.6447533586966731E-2</v>
      </c>
      <c r="M1231" s="199">
        <v>3.2231654722010158E-2</v>
      </c>
      <c r="N1231" s="199">
        <v>3.705099189676226E-2</v>
      </c>
    </row>
    <row r="1232" spans="1:14">
      <c r="C1232" s="29">
        <v>6</v>
      </c>
      <c r="D1232" s="34" t="s">
        <v>1677</v>
      </c>
      <c r="E1232" s="199">
        <v>2.6213823473649724E-2</v>
      </c>
      <c r="F1232" s="199">
        <v>3.0813149367981626E-2</v>
      </c>
      <c r="G1232" s="199">
        <v>3.2940611831005343E-2</v>
      </c>
      <c r="H1232" s="199">
        <v>3.4806754341486328E-2</v>
      </c>
      <c r="I1232" s="199">
        <v>4.4530194922437628E-2</v>
      </c>
      <c r="J1232" s="199">
        <v>2.5494271768722737E-2</v>
      </c>
      <c r="K1232" s="199">
        <v>2.6395947394086468E-2</v>
      </c>
      <c r="L1232" s="199">
        <v>3.4839038397046461E-2</v>
      </c>
      <c r="M1232" s="199">
        <v>4.2266222941949226E-2</v>
      </c>
      <c r="N1232" s="199">
        <v>5.0931617872431403E-2</v>
      </c>
    </row>
    <row r="1233" spans="3:14">
      <c r="C1233" s="29">
        <v>7</v>
      </c>
      <c r="D1233" s="34" t="s">
        <v>1678</v>
      </c>
      <c r="E1233" s="199">
        <v>2.8884466130794637E-2</v>
      </c>
      <c r="F1233" s="199">
        <v>3.0186374343685353E-2</v>
      </c>
      <c r="G1233" s="199">
        <v>3.6866726252109912E-2</v>
      </c>
      <c r="H1233" s="199">
        <v>4.0668804937885113E-2</v>
      </c>
      <c r="I1233" s="199">
        <v>4.6906947395979573E-2</v>
      </c>
      <c r="J1233" s="199">
        <v>2.9431567260617089E-2</v>
      </c>
      <c r="K1233" s="199">
        <v>2.7702047244445947E-2</v>
      </c>
      <c r="L1233" s="199">
        <v>3.9089790372216049E-2</v>
      </c>
      <c r="M1233" s="199">
        <v>4.6523821425804857E-2</v>
      </c>
      <c r="N1233" s="199">
        <v>4.8946534837497654E-2</v>
      </c>
    </row>
    <row r="1234" spans="3:14">
      <c r="C1234" s="29">
        <v>8</v>
      </c>
      <c r="D1234" s="34" t="s">
        <v>1679</v>
      </c>
      <c r="E1234" s="199">
        <v>3.1652097807405438E-2</v>
      </c>
      <c r="F1234" s="199">
        <v>3.5631493910684736E-2</v>
      </c>
      <c r="G1234" s="199">
        <v>4.3226272082945459E-2</v>
      </c>
      <c r="H1234" s="199">
        <v>4.5489506051456602E-2</v>
      </c>
      <c r="I1234" s="199">
        <v>4.8892006824224558E-2</v>
      </c>
      <c r="J1234" s="199">
        <v>3.1169404808585714E-2</v>
      </c>
      <c r="K1234" s="199">
        <v>3.6960426536846794E-2</v>
      </c>
      <c r="L1234" s="199">
        <v>4.5124330300811914E-2</v>
      </c>
      <c r="M1234" s="199">
        <v>5.3266025460484222E-2</v>
      </c>
      <c r="N1234" s="199">
        <v>4.6166914992802018E-2</v>
      </c>
    </row>
    <row r="1235" spans="3:14">
      <c r="C1235" s="29">
        <v>9</v>
      </c>
      <c r="D1235" s="34" t="s">
        <v>1680</v>
      </c>
      <c r="E1235" s="199">
        <v>3.2822899636016201E-2</v>
      </c>
      <c r="F1235" s="199">
        <v>4.4276530185602597E-2</v>
      </c>
      <c r="G1235" s="199">
        <v>4.50508561619078E-2</v>
      </c>
      <c r="H1235" s="199">
        <v>4.8479501511411817E-2</v>
      </c>
      <c r="I1235" s="199">
        <v>4.5874707785777291E-2</v>
      </c>
      <c r="J1235" s="199">
        <v>3.3803231328933897E-2</v>
      </c>
      <c r="K1235" s="199">
        <v>4.4526818124840294E-2</v>
      </c>
      <c r="L1235" s="199">
        <v>5.0321665581566845E-2</v>
      </c>
      <c r="M1235" s="199">
        <v>5.3827710678425726E-2</v>
      </c>
      <c r="N1235" s="199">
        <v>4.3586902206047135E-2</v>
      </c>
    </row>
    <row r="1236" spans="3:14">
      <c r="C1236" s="29">
        <v>10</v>
      </c>
      <c r="D1236" s="34" t="s">
        <v>1681</v>
      </c>
      <c r="E1236" s="199">
        <v>3.4274456623749262E-2</v>
      </c>
      <c r="F1236" s="199">
        <v>4.943948885553507E-2</v>
      </c>
      <c r="G1236" s="199">
        <v>4.8905529916545162E-2</v>
      </c>
      <c r="H1236" s="199">
        <v>5.1783419914245531E-2</v>
      </c>
      <c r="I1236" s="199">
        <v>4.2191574107899685E-2</v>
      </c>
      <c r="J1236" s="199">
        <v>3.6666393456581257E-2</v>
      </c>
      <c r="K1236" s="199">
        <v>4.9300980158403951E-2</v>
      </c>
      <c r="L1236" s="199">
        <v>5.3834105412136402E-2</v>
      </c>
      <c r="M1236" s="199">
        <v>5.2865873098769132E-2</v>
      </c>
      <c r="N1236" s="199">
        <v>4.5688041179485432E-2</v>
      </c>
    </row>
    <row r="1237" spans="3:14">
      <c r="C1237" s="29">
        <v>11</v>
      </c>
      <c r="D1237" s="34" t="s">
        <v>1682</v>
      </c>
      <c r="E1237" s="199">
        <v>3.7369449340721006E-2</v>
      </c>
      <c r="F1237" s="199">
        <v>5.3338646915016899E-2</v>
      </c>
      <c r="G1237" s="199">
        <v>5.0442659877874406E-2</v>
      </c>
      <c r="H1237" s="199">
        <v>5.0701350329016216E-2</v>
      </c>
      <c r="I1237" s="199">
        <v>4.066039389386969E-2</v>
      </c>
      <c r="J1237" s="199">
        <v>4.0316347008704581E-2</v>
      </c>
      <c r="K1237" s="199">
        <v>5.3503714789564075E-2</v>
      </c>
      <c r="L1237" s="199">
        <v>5.5258187241966142E-2</v>
      </c>
      <c r="M1237" s="199">
        <v>5.1463311236733096E-2</v>
      </c>
      <c r="N1237" s="199">
        <v>4.1129507363524206E-2</v>
      </c>
    </row>
    <row r="1238" spans="3:14">
      <c r="C1238" s="29">
        <v>12</v>
      </c>
      <c r="D1238" s="34" t="s">
        <v>1683</v>
      </c>
      <c r="E1238" s="199">
        <v>4.1209031069605606E-2</v>
      </c>
      <c r="F1238" s="199">
        <v>5.3623090112214375E-2</v>
      </c>
      <c r="G1238" s="199">
        <v>5.0489968393485983E-2</v>
      </c>
      <c r="H1238" s="199">
        <v>5.2701896625087209E-2</v>
      </c>
      <c r="I1238" s="199">
        <v>3.9778685447518558E-2</v>
      </c>
      <c r="J1238" s="199">
        <v>4.3631339288033193E-2</v>
      </c>
      <c r="K1238" s="199">
        <v>5.481634723146446E-2</v>
      </c>
      <c r="L1238" s="199">
        <v>5.564096290547043E-2</v>
      </c>
      <c r="M1238" s="199">
        <v>4.9566715475630754E-2</v>
      </c>
      <c r="N1238" s="199">
        <v>4.2866455019091247E-2</v>
      </c>
    </row>
    <row r="1239" spans="3:14">
      <c r="C1239" s="29">
        <v>13</v>
      </c>
      <c r="D1239" s="34" t="s">
        <v>1684</v>
      </c>
      <c r="E1239" s="199">
        <v>4.5170497711375886E-2</v>
      </c>
      <c r="F1239" s="199">
        <v>5.5394313323370289E-2</v>
      </c>
      <c r="G1239" s="199">
        <v>5.2577509502715038E-2</v>
      </c>
      <c r="H1239" s="199">
        <v>5.3655941769924713E-2</v>
      </c>
      <c r="I1239" s="199">
        <v>3.973115692868389E-2</v>
      </c>
      <c r="J1239" s="199">
        <v>4.5406651331096573E-2</v>
      </c>
      <c r="K1239" s="199">
        <v>5.6496153163745705E-2</v>
      </c>
      <c r="L1239" s="199">
        <v>5.8028542394244466E-2</v>
      </c>
      <c r="M1239" s="199">
        <v>5.3712505294399762E-2</v>
      </c>
      <c r="N1239" s="199">
        <v>3.5427200688796956E-2</v>
      </c>
    </row>
    <row r="1240" spans="3:14">
      <c r="C1240" s="29">
        <v>14</v>
      </c>
      <c r="D1240" s="34" t="s">
        <v>1685</v>
      </c>
      <c r="E1240" s="199">
        <v>4.7438692485713814E-2</v>
      </c>
      <c r="F1240" s="199">
        <v>5.6506070529168971E-2</v>
      </c>
      <c r="G1240" s="199">
        <v>5.2269503087617755E-2</v>
      </c>
      <c r="H1240" s="199">
        <v>5.4826302182838613E-2</v>
      </c>
      <c r="I1240" s="199">
        <v>3.8592975887186021E-2</v>
      </c>
      <c r="J1240" s="199">
        <v>4.9015714180979421E-2</v>
      </c>
      <c r="K1240" s="199">
        <v>5.8093406666981595E-2</v>
      </c>
      <c r="L1240" s="199">
        <v>5.7579362691984742E-2</v>
      </c>
      <c r="M1240" s="199">
        <v>5.3893569284527383E-2</v>
      </c>
      <c r="N1240" s="199">
        <v>3.296263342140919E-2</v>
      </c>
    </row>
    <row r="1241" spans="3:14">
      <c r="C1241" s="29">
        <v>15</v>
      </c>
      <c r="D1241" s="34" t="s">
        <v>1686</v>
      </c>
      <c r="E1241" s="199">
        <v>5.0869546919243891E-2</v>
      </c>
      <c r="F1241" s="199">
        <v>5.6885486435267911E-2</v>
      </c>
      <c r="G1241" s="199">
        <v>5.2629996641193867E-2</v>
      </c>
      <c r="H1241" s="199">
        <v>5.1537290735392975E-2</v>
      </c>
      <c r="I1241" s="199">
        <v>4.0004210083454644E-2</v>
      </c>
      <c r="J1241" s="199">
        <v>5.2332453482696474E-2</v>
      </c>
      <c r="K1241" s="199">
        <v>6.0945475689832371E-2</v>
      </c>
      <c r="L1241" s="199">
        <v>5.7464759571463998E-2</v>
      </c>
      <c r="M1241" s="199">
        <v>5.4789831317993934E-2</v>
      </c>
      <c r="N1241" s="199">
        <v>3.0867674941737405E-2</v>
      </c>
    </row>
    <row r="1242" spans="3:14">
      <c r="C1242" s="29">
        <v>16</v>
      </c>
      <c r="D1242" s="34" t="s">
        <v>1687</v>
      </c>
      <c r="E1242" s="199">
        <v>5.4151706046350993E-2</v>
      </c>
      <c r="F1242" s="199">
        <v>5.632448914768267E-2</v>
      </c>
      <c r="G1242" s="199">
        <v>5.1096492874400296E-2</v>
      </c>
      <c r="H1242" s="199">
        <v>4.7050132748629916E-2</v>
      </c>
      <c r="I1242" s="199">
        <v>4.0539178030185252E-2</v>
      </c>
      <c r="J1242" s="199">
        <v>5.7103917570571296E-2</v>
      </c>
      <c r="K1242" s="199">
        <v>5.9933226220529878E-2</v>
      </c>
      <c r="L1242" s="199">
        <v>5.5392087368703422E-2</v>
      </c>
      <c r="M1242" s="199">
        <v>4.8932095153797289E-2</v>
      </c>
      <c r="N1242" s="199">
        <v>3.3754118135483908E-2</v>
      </c>
    </row>
    <row r="1243" spans="3:14">
      <c r="C1243" s="29">
        <v>17</v>
      </c>
      <c r="D1243" s="34" t="s">
        <v>1688</v>
      </c>
      <c r="E1243" s="199">
        <v>5.7790775303470356E-2</v>
      </c>
      <c r="F1243" s="199">
        <v>5.1565339291024984E-2</v>
      </c>
      <c r="G1243" s="199">
        <v>4.9537443551852224E-2</v>
      </c>
      <c r="H1243" s="199">
        <v>4.4864729244750053E-2</v>
      </c>
      <c r="I1243" s="199">
        <v>3.83503990345688E-2</v>
      </c>
      <c r="J1243" s="199">
        <v>6.4477632046416961E-2</v>
      </c>
      <c r="K1243" s="199">
        <v>5.5335141939033113E-2</v>
      </c>
      <c r="L1243" s="199">
        <v>4.9639010718562436E-2</v>
      </c>
      <c r="M1243" s="199">
        <v>3.9512710475094359E-2</v>
      </c>
      <c r="N1243" s="199">
        <v>3.8166075056068907E-2</v>
      </c>
    </row>
    <row r="1244" spans="3:14">
      <c r="C1244" s="29">
        <v>18</v>
      </c>
      <c r="D1244" s="34" t="s">
        <v>1689</v>
      </c>
      <c r="E1244" s="199">
        <v>6.1645709992756662E-2</v>
      </c>
      <c r="F1244" s="199">
        <v>4.2221721288858954E-2</v>
      </c>
      <c r="G1244" s="199">
        <v>4.8369762570220735E-2</v>
      </c>
      <c r="H1244" s="199">
        <v>4.0994291732186015E-2</v>
      </c>
      <c r="I1244" s="199">
        <v>3.9475591366339345E-2</v>
      </c>
      <c r="J1244" s="199">
        <v>6.8719177541297249E-2</v>
      </c>
      <c r="K1244" s="199">
        <v>4.8652812241137336E-2</v>
      </c>
      <c r="L1244" s="199">
        <v>4.6597852177436956E-2</v>
      </c>
      <c r="M1244" s="199">
        <v>3.8196670592707635E-2</v>
      </c>
      <c r="N1244" s="199">
        <v>3.5716844569509153E-2</v>
      </c>
    </row>
    <row r="1245" spans="3:14">
      <c r="C1245" s="29">
        <v>19</v>
      </c>
      <c r="D1245" s="34" t="s">
        <v>1690</v>
      </c>
      <c r="E1245" s="199">
        <v>6.4682328935875638E-2</v>
      </c>
      <c r="F1245" s="199">
        <v>3.6217121570199282E-2</v>
      </c>
      <c r="G1245" s="199">
        <v>4.4732880608158929E-2</v>
      </c>
      <c r="H1245" s="199">
        <v>3.9005418897503488E-2</v>
      </c>
      <c r="I1245" s="199">
        <v>3.9486149228156804E-2</v>
      </c>
      <c r="J1245" s="199">
        <v>6.6998697785079178E-2</v>
      </c>
      <c r="K1245" s="199">
        <v>3.9976786749802769E-2</v>
      </c>
      <c r="L1245" s="199">
        <v>4.2414013036685114E-2</v>
      </c>
      <c r="M1245" s="199">
        <v>3.6345458770767045E-2</v>
      </c>
      <c r="N1245" s="199">
        <v>4.1039470540752764E-2</v>
      </c>
    </row>
    <row r="1246" spans="3:14">
      <c r="C1246" s="29">
        <v>20</v>
      </c>
      <c r="D1246" s="34" t="s">
        <v>1691</v>
      </c>
      <c r="E1246" s="199">
        <v>6.2238887177809545E-2</v>
      </c>
      <c r="F1246" s="199">
        <v>3.559861823481552E-2</v>
      </c>
      <c r="G1246" s="199">
        <v>4.2082543680235722E-2</v>
      </c>
      <c r="H1246" s="199">
        <v>3.8140322240147094E-2</v>
      </c>
      <c r="I1246" s="199">
        <v>4.0528910418864479E-2</v>
      </c>
      <c r="J1246" s="199">
        <v>6.0118249026573388E-2</v>
      </c>
      <c r="K1246" s="199">
        <v>3.5552246225789425E-2</v>
      </c>
      <c r="L1246" s="199">
        <v>4.0301394169608748E-2</v>
      </c>
      <c r="M1246" s="199">
        <v>3.4945821861150993E-2</v>
      </c>
      <c r="N1246" s="199">
        <v>4.5374667254805504E-2</v>
      </c>
    </row>
    <row r="1247" spans="3:14">
      <c r="C1247" s="29">
        <v>21</v>
      </c>
      <c r="D1247" s="34" t="s">
        <v>1692</v>
      </c>
      <c r="E1247" s="199">
        <v>5.7487445305124771E-2</v>
      </c>
      <c r="F1247" s="199">
        <v>4.0067981937322687E-2</v>
      </c>
      <c r="G1247" s="199">
        <v>4.0841991249309061E-2</v>
      </c>
      <c r="H1247" s="199">
        <v>3.7313205436040491E-2</v>
      </c>
      <c r="I1247" s="199">
        <v>4.1150554420172201E-2</v>
      </c>
      <c r="J1247" s="199">
        <v>5.8161428276250975E-2</v>
      </c>
      <c r="K1247" s="199">
        <v>3.9900115977909892E-2</v>
      </c>
      <c r="L1247" s="199">
        <v>3.8397356704775211E-2</v>
      </c>
      <c r="M1247" s="199">
        <v>3.4358661251164435E-2</v>
      </c>
      <c r="N1247" s="199">
        <v>5.602617599345143E-2</v>
      </c>
    </row>
    <row r="1248" spans="3:14">
      <c r="C1248" s="29">
        <v>22</v>
      </c>
      <c r="D1248" s="34" t="s">
        <v>1693</v>
      </c>
      <c r="E1248" s="199">
        <v>5.2560937550074301E-2</v>
      </c>
      <c r="F1248" s="199">
        <v>4.0641472509437671E-2</v>
      </c>
      <c r="G1248" s="199">
        <v>3.7890135666480189E-2</v>
      </c>
      <c r="H1248" s="199">
        <v>3.7471043787208468E-2</v>
      </c>
      <c r="I1248" s="199">
        <v>4.3764187580333631E-2</v>
      </c>
      <c r="J1248" s="199">
        <v>4.9708979367293696E-2</v>
      </c>
      <c r="K1248" s="199">
        <v>3.8323669127446634E-2</v>
      </c>
      <c r="L1248" s="199">
        <v>3.4783356296150245E-2</v>
      </c>
      <c r="M1248" s="199">
        <v>3.3456454959554037E-2</v>
      </c>
      <c r="N1248" s="199">
        <v>5.2917006116933875E-2</v>
      </c>
    </row>
    <row r="1249" spans="1:14">
      <c r="C1249" s="29">
        <v>23</v>
      </c>
      <c r="D1249" s="34" t="s">
        <v>1694</v>
      </c>
      <c r="E1249" s="199">
        <v>4.3982228841152597E-2</v>
      </c>
      <c r="F1249" s="199">
        <v>3.8233184134668481E-2</v>
      </c>
      <c r="G1249" s="199">
        <v>3.4896028545403385E-2</v>
      </c>
      <c r="H1249" s="199">
        <v>3.6664698071675703E-2</v>
      </c>
      <c r="I1249" s="199">
        <v>4.6644306977777952E-2</v>
      </c>
      <c r="J1249" s="199">
        <v>3.8149338708350411E-2</v>
      </c>
      <c r="K1249" s="199">
        <v>3.6505562885283414E-2</v>
      </c>
      <c r="L1249" s="199">
        <v>3.1554129504727878E-2</v>
      </c>
      <c r="M1249" s="199">
        <v>3.2916376648198895E-2</v>
      </c>
      <c r="N1249" s="199">
        <v>5.3002846308135461E-2</v>
      </c>
    </row>
    <row r="1250" spans="1:14">
      <c r="C1250" s="29">
        <v>24</v>
      </c>
      <c r="D1250" s="34" t="s">
        <v>1695</v>
      </c>
      <c r="E1250" s="199">
        <v>3.5195231389718161E-2</v>
      </c>
      <c r="F1250" s="199">
        <v>3.6409745062721897E-2</v>
      </c>
      <c r="G1250" s="199">
        <v>3.1812477223327612E-2</v>
      </c>
      <c r="H1250" s="199">
        <v>3.4940149670216476E-2</v>
      </c>
      <c r="I1250" s="199">
        <v>4.4892717792816221E-2</v>
      </c>
      <c r="J1250" s="199">
        <v>3.2134600083699665E-2</v>
      </c>
      <c r="K1250" s="199">
        <v>3.2964247335725547E-2</v>
      </c>
      <c r="L1250" s="199">
        <v>2.7887872058689506E-2</v>
      </c>
      <c r="M1250" s="199">
        <v>3.1110360058812299E-2</v>
      </c>
      <c r="N1250" s="199">
        <v>4.9289514090343108E-2</v>
      </c>
    </row>
    <row r="1251" spans="1:14">
      <c r="A1251" s="16" t="s">
        <v>437</v>
      </c>
      <c r="B1251" s="16" t="s">
        <v>310</v>
      </c>
      <c r="C1251" s="29">
        <v>1</v>
      </c>
      <c r="D1251" s="34" t="s">
        <v>1696</v>
      </c>
      <c r="E1251" s="199">
        <v>3.0832409707313307E-2</v>
      </c>
      <c r="F1251" s="199">
        <v>3.370521895183496E-2</v>
      </c>
      <c r="G1251" s="199">
        <v>3.0392836642049129E-2</v>
      </c>
      <c r="H1251" s="199">
        <v>3.2842383779709966E-2</v>
      </c>
      <c r="I1251" s="199">
        <v>4.1041188566056215E-2</v>
      </c>
      <c r="J1251" s="199">
        <v>2.6075881790928963E-2</v>
      </c>
      <c r="K1251" s="199">
        <v>3.0809591872231701E-2</v>
      </c>
      <c r="L1251" s="199">
        <v>2.6098547296283397E-2</v>
      </c>
      <c r="M1251" s="199">
        <v>3.078639211198957E-2</v>
      </c>
      <c r="N1251" s="199">
        <v>4.5082957720589033E-2</v>
      </c>
    </row>
    <row r="1252" spans="1:14">
      <c r="C1252" s="29">
        <v>2</v>
      </c>
      <c r="D1252" s="34" t="s">
        <v>1697</v>
      </c>
      <c r="E1252" s="199">
        <v>2.7781062372614525E-2</v>
      </c>
      <c r="F1252" s="199">
        <v>3.2582199546301205E-2</v>
      </c>
      <c r="G1252" s="199">
        <v>3.0098858504373889E-2</v>
      </c>
      <c r="H1252" s="199">
        <v>3.1874811388132522E-2</v>
      </c>
      <c r="I1252" s="199">
        <v>3.9203537141564507E-2</v>
      </c>
      <c r="J1252" s="199">
        <v>2.4063874878059891E-2</v>
      </c>
      <c r="K1252" s="199">
        <v>2.9009759843779313E-2</v>
      </c>
      <c r="L1252" s="199">
        <v>2.4950407171588321E-2</v>
      </c>
      <c r="M1252" s="199">
        <v>3.1236946312527606E-2</v>
      </c>
      <c r="N1252" s="199">
        <v>4.4030215228153709E-2</v>
      </c>
    </row>
    <row r="1253" spans="1:14">
      <c r="C1253" s="29">
        <v>3</v>
      </c>
      <c r="D1253" s="34" t="s">
        <v>1698</v>
      </c>
      <c r="E1253" s="199">
        <v>2.5144748146797593E-2</v>
      </c>
      <c r="F1253" s="199">
        <v>3.0913891685109513E-2</v>
      </c>
      <c r="G1253" s="199">
        <v>2.974179285197252E-2</v>
      </c>
      <c r="H1253" s="199">
        <v>3.1036026444428818E-2</v>
      </c>
      <c r="I1253" s="199">
        <v>3.8401959016310466E-2</v>
      </c>
      <c r="J1253" s="199">
        <v>2.2959242602744553E-2</v>
      </c>
      <c r="K1253" s="199">
        <v>2.84797280299523E-2</v>
      </c>
      <c r="L1253" s="199">
        <v>2.3594599136834E-2</v>
      </c>
      <c r="M1253" s="199">
        <v>3.0844987747284672E-2</v>
      </c>
      <c r="N1253" s="199">
        <v>4.3683163590871751E-2</v>
      </c>
    </row>
    <row r="1254" spans="1:14">
      <c r="C1254" s="29">
        <v>4</v>
      </c>
      <c r="D1254" s="34" t="s">
        <v>1699</v>
      </c>
      <c r="E1254" s="199">
        <v>2.4413595185661646E-2</v>
      </c>
      <c r="F1254" s="199">
        <v>3.0223702946029132E-2</v>
      </c>
      <c r="G1254" s="199">
        <v>2.934315674549421E-2</v>
      </c>
      <c r="H1254" s="199">
        <v>2.9036897740416852E-2</v>
      </c>
      <c r="I1254" s="199">
        <v>3.9979961569376679E-2</v>
      </c>
      <c r="J1254" s="199">
        <v>2.0721192361892474E-2</v>
      </c>
      <c r="K1254" s="199">
        <v>2.742043557860693E-2</v>
      </c>
      <c r="L1254" s="199">
        <v>2.3374332977827914E-2</v>
      </c>
      <c r="M1254" s="199">
        <v>3.068788350772533E-2</v>
      </c>
      <c r="N1254" s="199">
        <v>4.3821638777543359E-2</v>
      </c>
    </row>
    <row r="1255" spans="1:14">
      <c r="C1255" s="29">
        <v>5</v>
      </c>
      <c r="D1255" s="34" t="s">
        <v>1700</v>
      </c>
      <c r="E1255" s="199">
        <v>2.5199319833945317E-2</v>
      </c>
      <c r="F1255" s="199">
        <v>2.9900161146206576E-2</v>
      </c>
      <c r="G1255" s="199">
        <v>3.0568799406908209E-2</v>
      </c>
      <c r="H1255" s="199">
        <v>2.9568330374281894E-2</v>
      </c>
      <c r="I1255" s="199">
        <v>4.2776180184728355E-2</v>
      </c>
      <c r="J1255" s="199">
        <v>2.2511949188419783E-2</v>
      </c>
      <c r="K1255" s="199">
        <v>2.7697334611367218E-2</v>
      </c>
      <c r="L1255" s="199">
        <v>2.6531185696822522E-2</v>
      </c>
      <c r="M1255" s="199">
        <v>3.2965092947680324E-2</v>
      </c>
      <c r="N1255" s="199">
        <v>4.3450980143781008E-2</v>
      </c>
    </row>
    <row r="1256" spans="1:14">
      <c r="C1256" s="29">
        <v>6</v>
      </c>
      <c r="D1256" s="34" t="s">
        <v>1701</v>
      </c>
      <c r="E1256" s="199">
        <v>2.6800294540386745E-2</v>
      </c>
      <c r="F1256" s="199">
        <v>3.0542829034068634E-2</v>
      </c>
      <c r="G1256" s="199">
        <v>3.2214445411245941E-2</v>
      </c>
      <c r="H1256" s="199">
        <v>3.2605025835898561E-2</v>
      </c>
      <c r="I1256" s="199">
        <v>4.5255762148000339E-2</v>
      </c>
      <c r="J1256" s="199">
        <v>2.6306875802796906E-2</v>
      </c>
      <c r="K1256" s="199">
        <v>2.7130987404096921E-2</v>
      </c>
      <c r="L1256" s="199">
        <v>3.4133841013620388E-2</v>
      </c>
      <c r="M1256" s="199">
        <v>4.0957688572973598E-2</v>
      </c>
      <c r="N1256" s="199">
        <v>5.2607256013414538E-2</v>
      </c>
    </row>
    <row r="1257" spans="1:14">
      <c r="C1257" s="29">
        <v>7</v>
      </c>
      <c r="D1257" s="34" t="s">
        <v>1702</v>
      </c>
      <c r="E1257" s="199">
        <v>2.8745307182360638E-2</v>
      </c>
      <c r="F1257" s="199">
        <v>2.9778469324420388E-2</v>
      </c>
      <c r="G1257" s="199">
        <v>3.6593495714111537E-2</v>
      </c>
      <c r="H1257" s="199">
        <v>3.7595880943572135E-2</v>
      </c>
      <c r="I1257" s="199">
        <v>4.6857350552868396E-2</v>
      </c>
      <c r="J1257" s="199">
        <v>2.9457067682470021E-2</v>
      </c>
      <c r="K1257" s="199">
        <v>2.7193546161013063E-2</v>
      </c>
      <c r="L1257" s="199">
        <v>3.8186992028411804E-2</v>
      </c>
      <c r="M1257" s="199">
        <v>4.5100900079910862E-2</v>
      </c>
      <c r="N1257" s="199">
        <v>5.6469590949768486E-2</v>
      </c>
    </row>
    <row r="1258" spans="1:14">
      <c r="C1258" s="29">
        <v>8</v>
      </c>
      <c r="D1258" s="34" t="s">
        <v>1703</v>
      </c>
      <c r="E1258" s="199">
        <v>3.1079856899418258E-2</v>
      </c>
      <c r="F1258" s="199">
        <v>3.5060959355723752E-2</v>
      </c>
      <c r="G1258" s="199">
        <v>4.1755694417493688E-2</v>
      </c>
      <c r="H1258" s="199">
        <v>4.3502563973948978E-2</v>
      </c>
      <c r="I1258" s="199">
        <v>4.672670811073476E-2</v>
      </c>
      <c r="J1258" s="199">
        <v>3.1514864047879093E-2</v>
      </c>
      <c r="K1258" s="199">
        <v>3.454594108759837E-2</v>
      </c>
      <c r="L1258" s="199">
        <v>4.3764580425786591E-2</v>
      </c>
      <c r="M1258" s="199">
        <v>5.1684086680400636E-2</v>
      </c>
      <c r="N1258" s="199">
        <v>5.2113380373632535E-2</v>
      </c>
    </row>
    <row r="1259" spans="1:14">
      <c r="C1259" s="29">
        <v>9</v>
      </c>
      <c r="D1259" s="34" t="s">
        <v>1704</v>
      </c>
      <c r="E1259" s="199">
        <v>3.274920934369769E-2</v>
      </c>
      <c r="F1259" s="199">
        <v>4.2916900239421192E-2</v>
      </c>
      <c r="G1259" s="199">
        <v>4.529980324509314E-2</v>
      </c>
      <c r="H1259" s="199">
        <v>4.7052059689403146E-2</v>
      </c>
      <c r="I1259" s="199">
        <v>4.4532133217935352E-2</v>
      </c>
      <c r="J1259" s="199">
        <v>3.1830798150218075E-2</v>
      </c>
      <c r="K1259" s="199">
        <v>4.1361573934390335E-2</v>
      </c>
      <c r="L1259" s="199">
        <v>5.0980618511463079E-2</v>
      </c>
      <c r="M1259" s="199">
        <v>5.2716822957864277E-2</v>
      </c>
      <c r="N1259" s="199">
        <v>4.7039747416653274E-2</v>
      </c>
    </row>
    <row r="1260" spans="1:14">
      <c r="C1260" s="29">
        <v>10</v>
      </c>
      <c r="D1260" s="34" t="s">
        <v>1705</v>
      </c>
      <c r="E1260" s="199">
        <v>3.5414831474184248E-2</v>
      </c>
      <c r="F1260" s="199">
        <v>4.8599310897006531E-2</v>
      </c>
      <c r="G1260" s="199">
        <v>4.882493049856873E-2</v>
      </c>
      <c r="H1260" s="199">
        <v>5.0765421996360624E-2</v>
      </c>
      <c r="I1260" s="199">
        <v>4.293402134035601E-2</v>
      </c>
      <c r="J1260" s="199">
        <v>3.3008536107353707E-2</v>
      </c>
      <c r="K1260" s="199">
        <v>4.7801316753167337E-2</v>
      </c>
      <c r="L1260" s="199">
        <v>5.3681027927460843E-2</v>
      </c>
      <c r="M1260" s="199">
        <v>5.4052256172568973E-2</v>
      </c>
      <c r="N1260" s="199">
        <v>4.4359201755324137E-2</v>
      </c>
    </row>
    <row r="1261" spans="1:14">
      <c r="C1261" s="29">
        <v>11</v>
      </c>
      <c r="D1261" s="34" t="s">
        <v>1706</v>
      </c>
      <c r="E1261" s="199">
        <v>3.8950887313771901E-2</v>
      </c>
      <c r="F1261" s="199">
        <v>5.19754991893987E-2</v>
      </c>
      <c r="G1261" s="199">
        <v>4.9197698880019125E-2</v>
      </c>
      <c r="H1261" s="199">
        <v>4.8372062729595593E-2</v>
      </c>
      <c r="I1261" s="199">
        <v>4.1613895311470091E-2</v>
      </c>
      <c r="J1261" s="199">
        <v>3.778152892670162E-2</v>
      </c>
      <c r="K1261" s="199">
        <v>5.1407010006666934E-2</v>
      </c>
      <c r="L1261" s="199">
        <v>5.3595475595658588E-2</v>
      </c>
      <c r="M1261" s="199">
        <v>5.1407054820132636E-2</v>
      </c>
      <c r="N1261" s="199">
        <v>4.0534436490198139E-2</v>
      </c>
    </row>
    <row r="1262" spans="1:14">
      <c r="C1262" s="29">
        <v>12</v>
      </c>
      <c r="D1262" s="34" t="s">
        <v>1707</v>
      </c>
      <c r="E1262" s="199">
        <v>4.1037676483768985E-2</v>
      </c>
      <c r="F1262" s="199">
        <v>5.3803772703625644E-2</v>
      </c>
      <c r="G1262" s="199">
        <v>5.0388184715771438E-2</v>
      </c>
      <c r="H1262" s="199">
        <v>5.1363078807918905E-2</v>
      </c>
      <c r="I1262" s="199">
        <v>4.1728245792387993E-2</v>
      </c>
      <c r="J1262" s="199">
        <v>4.3733081901568875E-2</v>
      </c>
      <c r="K1262" s="199">
        <v>5.4110497085993477E-2</v>
      </c>
      <c r="L1262" s="199">
        <v>5.6741897506385371E-2</v>
      </c>
      <c r="M1262" s="199">
        <v>5.2020374674268191E-2</v>
      </c>
      <c r="N1262" s="199">
        <v>3.6657203235943438E-2</v>
      </c>
    </row>
    <row r="1263" spans="1:14">
      <c r="C1263" s="29">
        <v>13</v>
      </c>
      <c r="D1263" s="34" t="s">
        <v>1708</v>
      </c>
      <c r="E1263" s="199">
        <v>4.5925335469612923E-2</v>
      </c>
      <c r="F1263" s="199">
        <v>5.4674434180757348E-2</v>
      </c>
      <c r="G1263" s="199">
        <v>5.1217110173009256E-2</v>
      </c>
      <c r="H1263" s="199">
        <v>5.1544758173290205E-2</v>
      </c>
      <c r="I1263" s="199">
        <v>4.0199698544183746E-2</v>
      </c>
      <c r="J1263" s="199">
        <v>4.317334848487512E-2</v>
      </c>
      <c r="K1263" s="199">
        <v>5.5114194736179539E-2</v>
      </c>
      <c r="L1263" s="199">
        <v>5.7506573040946751E-2</v>
      </c>
      <c r="M1263" s="199">
        <v>5.4419398872944572E-2</v>
      </c>
      <c r="N1263" s="199">
        <v>2.9464122619345966E-2</v>
      </c>
    </row>
    <row r="1264" spans="1:14">
      <c r="C1264" s="29">
        <v>14</v>
      </c>
      <c r="D1264" s="34" t="s">
        <v>1709</v>
      </c>
      <c r="E1264" s="199">
        <v>4.7919205678956182E-2</v>
      </c>
      <c r="F1264" s="199">
        <v>5.7396110087798775E-2</v>
      </c>
      <c r="G1264" s="199">
        <v>5.2783009363655459E-2</v>
      </c>
      <c r="H1264" s="199">
        <v>5.4669643257676578E-2</v>
      </c>
      <c r="I1264" s="199">
        <v>4.0119193078929478E-2</v>
      </c>
      <c r="J1264" s="199">
        <v>4.7627004700062078E-2</v>
      </c>
      <c r="K1264" s="199">
        <v>5.9219984141343447E-2</v>
      </c>
      <c r="L1264" s="199">
        <v>5.9161315479352737E-2</v>
      </c>
      <c r="M1264" s="199">
        <v>5.5015640128064959E-2</v>
      </c>
      <c r="N1264" s="199">
        <v>3.0177010729523848E-2</v>
      </c>
    </row>
    <row r="1265" spans="1:14">
      <c r="C1265" s="29">
        <v>15</v>
      </c>
      <c r="D1265" s="34" t="s">
        <v>1710</v>
      </c>
      <c r="E1265" s="199">
        <v>4.9533728379065646E-2</v>
      </c>
      <c r="F1265" s="199">
        <v>5.8036998703560001E-2</v>
      </c>
      <c r="G1265" s="199">
        <v>5.3522656882854194E-2</v>
      </c>
      <c r="H1265" s="199">
        <v>5.3570660678514792E-2</v>
      </c>
      <c r="I1265" s="199">
        <v>3.8657586022833361E-2</v>
      </c>
      <c r="J1265" s="199">
        <v>5.5015926638701945E-2</v>
      </c>
      <c r="K1265" s="199">
        <v>6.252963916824103E-2</v>
      </c>
      <c r="L1265" s="199">
        <v>5.8745043718941035E-2</v>
      </c>
      <c r="M1265" s="199">
        <v>5.5908256408083785E-2</v>
      </c>
      <c r="N1265" s="199">
        <v>2.9609219280640121E-2</v>
      </c>
    </row>
    <row r="1266" spans="1:14">
      <c r="C1266" s="29">
        <v>16</v>
      </c>
      <c r="D1266" s="34" t="s">
        <v>1711</v>
      </c>
      <c r="E1266" s="199">
        <v>5.5130594419567761E-2</v>
      </c>
      <c r="F1266" s="199">
        <v>5.7331536796665264E-2</v>
      </c>
      <c r="G1266" s="199">
        <v>5.0985793127326352E-2</v>
      </c>
      <c r="H1266" s="199">
        <v>4.9298982655658366E-2</v>
      </c>
      <c r="I1266" s="199">
        <v>3.8526125574278855E-2</v>
      </c>
      <c r="J1266" s="199">
        <v>5.8230704825453443E-2</v>
      </c>
      <c r="K1266" s="199">
        <v>6.1575881026284238E-2</v>
      </c>
      <c r="L1266" s="199">
        <v>5.5955264319945006E-2</v>
      </c>
      <c r="M1266" s="199">
        <v>4.9721934931670042E-2</v>
      </c>
      <c r="N1266" s="199">
        <v>2.9097998256249057E-2</v>
      </c>
    </row>
    <row r="1267" spans="1:14">
      <c r="C1267" s="29">
        <v>17</v>
      </c>
      <c r="D1267" s="34" t="s">
        <v>1712</v>
      </c>
      <c r="E1267" s="199">
        <v>5.8978980359711365E-2</v>
      </c>
      <c r="F1267" s="199">
        <v>5.3164858170779185E-2</v>
      </c>
      <c r="G1267" s="199">
        <v>5.0256028243107098E-2</v>
      </c>
      <c r="H1267" s="199">
        <v>4.6825356625666142E-2</v>
      </c>
      <c r="I1267" s="199">
        <v>3.9568027169265267E-2</v>
      </c>
      <c r="J1267" s="199">
        <v>6.2405425865568694E-2</v>
      </c>
      <c r="K1267" s="199">
        <v>5.7704202053240568E-2</v>
      </c>
      <c r="L1267" s="199">
        <v>5.0677730991572967E-2</v>
      </c>
      <c r="M1267" s="199">
        <v>3.9657733552908137E-2</v>
      </c>
      <c r="N1267" s="199">
        <v>2.8729786689195035E-2</v>
      </c>
    </row>
    <row r="1268" spans="1:14">
      <c r="C1268" s="29">
        <v>18</v>
      </c>
      <c r="D1268" s="34" t="s">
        <v>1713</v>
      </c>
      <c r="E1268" s="199">
        <v>6.2473743389210398E-2</v>
      </c>
      <c r="F1268" s="199">
        <v>4.2297090153730281E-2</v>
      </c>
      <c r="G1268" s="199">
        <v>4.8465208347785123E-2</v>
      </c>
      <c r="H1268" s="199">
        <v>4.280699154652743E-2</v>
      </c>
      <c r="I1268" s="199">
        <v>4.0366708188445365E-2</v>
      </c>
      <c r="J1268" s="199">
        <v>6.945303051347014E-2</v>
      </c>
      <c r="K1268" s="199">
        <v>4.8377081658994674E-2</v>
      </c>
      <c r="L1268" s="199">
        <v>4.6038570518193586E-2</v>
      </c>
      <c r="M1268" s="199">
        <v>3.7727285722791319E-2</v>
      </c>
      <c r="N1268" s="199">
        <v>3.4335728627787193E-2</v>
      </c>
    </row>
    <row r="1269" spans="1:14">
      <c r="C1269" s="29">
        <v>19</v>
      </c>
      <c r="D1269" s="34" t="s">
        <v>1714</v>
      </c>
      <c r="E1269" s="199">
        <v>6.2057902930501806E-2</v>
      </c>
      <c r="F1269" s="199">
        <v>3.6649784404820307E-2</v>
      </c>
      <c r="G1269" s="199">
        <v>4.6594952812117896E-2</v>
      </c>
      <c r="H1269" s="199">
        <v>4.1902037065541124E-2</v>
      </c>
      <c r="I1269" s="199">
        <v>4.0416129409706458E-2</v>
      </c>
      <c r="J1269" s="199">
        <v>6.8097776426573456E-2</v>
      </c>
      <c r="K1269" s="199">
        <v>4.0921442582967649E-2</v>
      </c>
      <c r="L1269" s="199">
        <v>4.3555841110391701E-2</v>
      </c>
      <c r="M1269" s="199">
        <v>3.6707759411416761E-2</v>
      </c>
      <c r="N1269" s="199">
        <v>3.9991331626048482E-2</v>
      </c>
    </row>
    <row r="1270" spans="1:14">
      <c r="C1270" s="29">
        <v>20</v>
      </c>
      <c r="D1270" s="34" t="s">
        <v>1715</v>
      </c>
      <c r="E1270" s="199">
        <v>5.9966612508730935E-2</v>
      </c>
      <c r="F1270" s="199">
        <v>3.6061949267393804E-2</v>
      </c>
      <c r="G1270" s="199">
        <v>4.3376861451923078E-2</v>
      </c>
      <c r="H1270" s="199">
        <v>4.0689347791841669E-2</v>
      </c>
      <c r="I1270" s="199">
        <v>4.1600295954723081E-2</v>
      </c>
      <c r="J1270" s="199">
        <v>6.2877761343431565E-2</v>
      </c>
      <c r="K1270" s="199">
        <v>3.6966523306548822E-2</v>
      </c>
      <c r="L1270" s="199">
        <v>4.1215313052139359E-2</v>
      </c>
      <c r="M1270" s="199">
        <v>3.5520089103108415E-2</v>
      </c>
      <c r="N1270" s="199">
        <v>3.9095345348047025E-2</v>
      </c>
    </row>
    <row r="1271" spans="1:14">
      <c r="C1271" s="29">
        <v>21</v>
      </c>
      <c r="D1271" s="34" t="s">
        <v>1716</v>
      </c>
      <c r="E1271" s="199">
        <v>5.7392866051222534E-2</v>
      </c>
      <c r="F1271" s="199">
        <v>4.0693251684571323E-2</v>
      </c>
      <c r="G1271" s="199">
        <v>4.2474326210878918E-2</v>
      </c>
      <c r="H1271" s="199">
        <v>3.950479832962079E-2</v>
      </c>
      <c r="I1271" s="199">
        <v>4.0605838732147313E-2</v>
      </c>
      <c r="J1271" s="199">
        <v>5.8175311396048333E-2</v>
      </c>
      <c r="K1271" s="199">
        <v>4.1270154488347782E-2</v>
      </c>
      <c r="L1271" s="199">
        <v>3.8609532125787285E-2</v>
      </c>
      <c r="M1271" s="199">
        <v>3.4018399029482664E-2</v>
      </c>
      <c r="N1271" s="199">
        <v>4.6412002833415358E-2</v>
      </c>
    </row>
    <row r="1272" spans="1:14">
      <c r="C1272" s="29">
        <v>22</v>
      </c>
      <c r="D1272" s="34" t="s">
        <v>1717</v>
      </c>
      <c r="E1272" s="199">
        <v>5.196765954191996E-2</v>
      </c>
      <c r="F1272" s="199">
        <v>4.0176418595138964E-2</v>
      </c>
      <c r="G1272" s="199">
        <v>3.9168368717642073E-2</v>
      </c>
      <c r="H1272" s="199">
        <v>3.9811057831246693E-2</v>
      </c>
      <c r="I1272" s="199">
        <v>4.1322787276441827E-2</v>
      </c>
      <c r="J1272" s="199">
        <v>5.0966048551041976E-2</v>
      </c>
      <c r="K1272" s="199">
        <v>3.9437208616581919E-2</v>
      </c>
      <c r="L1272" s="199">
        <v>3.4694222949179648E-2</v>
      </c>
      <c r="M1272" s="199">
        <v>3.3344124617536101E-2</v>
      </c>
      <c r="N1272" s="199">
        <v>4.8687774872165961E-2</v>
      </c>
    </row>
    <row r="1273" spans="1:14">
      <c r="C1273" s="29">
        <v>23</v>
      </c>
      <c r="D1273" s="34" t="s">
        <v>1718</v>
      </c>
      <c r="E1273" s="199">
        <v>4.452490424821838E-2</v>
      </c>
      <c r="F1273" s="199">
        <v>3.7597058481388147E-2</v>
      </c>
      <c r="G1273" s="199">
        <v>3.4856779643758842E-2</v>
      </c>
      <c r="H1273" s="199">
        <v>3.8129389913041427E-2</v>
      </c>
      <c r="I1273" s="199">
        <v>4.3208223909352889E-2</v>
      </c>
      <c r="J1273" s="199">
        <v>4.1193468536510222E-2</v>
      </c>
      <c r="K1273" s="199">
        <v>3.6833109805153898E-2</v>
      </c>
      <c r="L1273" s="199">
        <v>3.0920216126839917E-2</v>
      </c>
      <c r="M1273" s="199">
        <v>3.2028128924362471E-2</v>
      </c>
      <c r="N1273" s="199">
        <v>4.6062792019626056E-2</v>
      </c>
    </row>
    <row r="1274" spans="1:14">
      <c r="C1274" s="29">
        <v>24</v>
      </c>
      <c r="D1274" s="34" t="s">
        <v>1719</v>
      </c>
      <c r="E1274" s="199">
        <v>3.5979268539361162E-2</v>
      </c>
      <c r="F1274" s="199">
        <v>3.5917594454250433E-2</v>
      </c>
      <c r="G1274" s="199">
        <v>3.187920799284006E-2</v>
      </c>
      <c r="H1274" s="199">
        <v>3.5632432427706771E-2</v>
      </c>
      <c r="I1274" s="199">
        <v>4.4358443187903267E-2</v>
      </c>
      <c r="J1274" s="199">
        <v>3.2819299277229014E-2</v>
      </c>
      <c r="K1274" s="199">
        <v>3.308285604725264E-2</v>
      </c>
      <c r="L1274" s="199">
        <v>2.7286871278567479E-2</v>
      </c>
      <c r="M1274" s="199">
        <v>3.1470762712304201E-2</v>
      </c>
      <c r="N1274" s="199">
        <v>4.8487115402082573E-2</v>
      </c>
    </row>
    <row r="1275" spans="1:14">
      <c r="A1275" s="16" t="s">
        <v>437</v>
      </c>
      <c r="B1275" s="16" t="s">
        <v>311</v>
      </c>
      <c r="C1275" s="29">
        <v>1</v>
      </c>
      <c r="D1275" s="34" t="s">
        <v>1720</v>
      </c>
      <c r="E1275" s="199">
        <v>3.3035611540322266E-2</v>
      </c>
      <c r="F1275" s="199">
        <v>3.496022063895874E-2</v>
      </c>
      <c r="G1275" s="199">
        <v>3.0959465147802637E-2</v>
      </c>
      <c r="H1275" s="199">
        <v>3.4303276605358639E-2</v>
      </c>
      <c r="I1275" s="199">
        <v>4.3426133264762176E-2</v>
      </c>
      <c r="J1275" s="199">
        <v>2.929314973852179E-2</v>
      </c>
      <c r="K1275" s="199">
        <v>3.1706728625970709E-2</v>
      </c>
      <c r="L1275" s="199">
        <v>2.6324626260821306E-2</v>
      </c>
      <c r="M1275" s="199">
        <v>3.2353794971984665E-2</v>
      </c>
      <c r="N1275" s="199">
        <v>4.582943505369378E-2</v>
      </c>
    </row>
    <row r="1276" spans="1:14">
      <c r="C1276" s="29">
        <v>2</v>
      </c>
      <c r="D1276" s="34" t="s">
        <v>1721</v>
      </c>
      <c r="E1276" s="199">
        <v>2.9470933915413909E-2</v>
      </c>
      <c r="F1276" s="199">
        <v>3.4203485424494515E-2</v>
      </c>
      <c r="G1276" s="199">
        <v>3.0530694855236028E-2</v>
      </c>
      <c r="H1276" s="199">
        <v>3.3408021579096558E-2</v>
      </c>
      <c r="I1276" s="199">
        <v>4.1159584864675039E-2</v>
      </c>
      <c r="J1276" s="199">
        <v>2.5248403053475896E-2</v>
      </c>
      <c r="K1276" s="199">
        <v>2.956905037664509E-2</v>
      </c>
      <c r="L1276" s="199">
        <v>2.5325563294578014E-2</v>
      </c>
      <c r="M1276" s="199">
        <v>3.1986247296765948E-2</v>
      </c>
      <c r="N1276" s="199">
        <v>4.3957846221130713E-2</v>
      </c>
    </row>
    <row r="1277" spans="1:14">
      <c r="C1277" s="29">
        <v>3</v>
      </c>
      <c r="D1277" s="34" t="s">
        <v>1722</v>
      </c>
      <c r="E1277" s="199">
        <v>2.7067734557391039E-2</v>
      </c>
      <c r="F1277" s="199">
        <v>3.2538461023626043E-2</v>
      </c>
      <c r="G1277" s="199">
        <v>2.9969543434076731E-2</v>
      </c>
      <c r="H1277" s="199">
        <v>3.2198068379992242E-2</v>
      </c>
      <c r="I1277" s="199">
        <v>4.2349998713751183E-2</v>
      </c>
      <c r="J1277" s="199">
        <v>2.3704478273617238E-2</v>
      </c>
      <c r="K1277" s="199">
        <v>2.9090771199179178E-2</v>
      </c>
      <c r="L1277" s="199">
        <v>2.3934426612103689E-2</v>
      </c>
      <c r="M1277" s="199">
        <v>3.1122901921753661E-2</v>
      </c>
      <c r="N1277" s="199">
        <v>4.0527932688901994E-2</v>
      </c>
    </row>
    <row r="1278" spans="1:14">
      <c r="C1278" s="29">
        <v>4</v>
      </c>
      <c r="D1278" s="34" t="s">
        <v>1723</v>
      </c>
      <c r="E1278" s="199">
        <v>2.6439170392364379E-2</v>
      </c>
      <c r="F1278" s="199">
        <v>3.1963941923767829E-2</v>
      </c>
      <c r="G1278" s="199">
        <v>2.9923656997059844E-2</v>
      </c>
      <c r="H1278" s="199">
        <v>3.1647176995947955E-2</v>
      </c>
      <c r="I1278" s="199">
        <v>4.0915548138037543E-2</v>
      </c>
      <c r="J1278" s="199">
        <v>2.2959817498099475E-2</v>
      </c>
      <c r="K1278" s="199">
        <v>2.800586450801601E-2</v>
      </c>
      <c r="L1278" s="199">
        <v>2.4195826001420891E-2</v>
      </c>
      <c r="M1278" s="199">
        <v>3.0846588395753462E-2</v>
      </c>
      <c r="N1278" s="199">
        <v>4.2472669792239945E-2</v>
      </c>
    </row>
    <row r="1279" spans="1:14">
      <c r="C1279" s="29">
        <v>5</v>
      </c>
      <c r="D1279" s="34" t="s">
        <v>1724</v>
      </c>
      <c r="E1279" s="199">
        <v>2.7013150937113165E-2</v>
      </c>
      <c r="F1279" s="199">
        <v>3.1368449702774984E-2</v>
      </c>
      <c r="G1279" s="199">
        <v>3.1126941970944864E-2</v>
      </c>
      <c r="H1279" s="199">
        <v>3.2414002246254875E-2</v>
      </c>
      <c r="I1279" s="199">
        <v>4.2692351231031815E-2</v>
      </c>
      <c r="J1279" s="199">
        <v>2.3145831452013977E-2</v>
      </c>
      <c r="K1279" s="199">
        <v>2.8970821818163923E-2</v>
      </c>
      <c r="L1279" s="199">
        <v>2.7310173292645495E-2</v>
      </c>
      <c r="M1279" s="199">
        <v>3.3171062493856283E-2</v>
      </c>
      <c r="N1279" s="199">
        <v>4.1125320105125013E-2</v>
      </c>
    </row>
    <row r="1280" spans="1:14">
      <c r="C1280" s="29">
        <v>6</v>
      </c>
      <c r="D1280" s="34" t="s">
        <v>1725</v>
      </c>
      <c r="E1280" s="199">
        <v>2.8940736198883266E-2</v>
      </c>
      <c r="F1280" s="199">
        <v>3.2305256298491784E-2</v>
      </c>
      <c r="G1280" s="199">
        <v>3.2922517767470759E-2</v>
      </c>
      <c r="H1280" s="199">
        <v>3.5416364811471424E-2</v>
      </c>
      <c r="I1280" s="199">
        <v>4.6874655348683736E-2</v>
      </c>
      <c r="J1280" s="199">
        <v>2.7483356303260886E-2</v>
      </c>
      <c r="K1280" s="199">
        <v>2.7535080965639985E-2</v>
      </c>
      <c r="L1280" s="199">
        <v>3.4743297955983812E-2</v>
      </c>
      <c r="M1280" s="199">
        <v>4.266041236606704E-2</v>
      </c>
      <c r="N1280" s="199">
        <v>5.2078488864523223E-2</v>
      </c>
    </row>
    <row r="1281" spans="3:14">
      <c r="C1281" s="29">
        <v>7</v>
      </c>
      <c r="D1281" s="34" t="s">
        <v>1726</v>
      </c>
      <c r="E1281" s="199">
        <v>3.0893752500593032E-2</v>
      </c>
      <c r="F1281" s="199">
        <v>3.0775619537753488E-2</v>
      </c>
      <c r="G1281" s="199">
        <v>3.6692813498174444E-2</v>
      </c>
      <c r="H1281" s="199">
        <v>4.0180069399109647E-2</v>
      </c>
      <c r="I1281" s="199">
        <v>4.8644878887943256E-2</v>
      </c>
      <c r="J1281" s="199">
        <v>3.2835376433397317E-2</v>
      </c>
      <c r="K1281" s="199">
        <v>2.8616316717566832E-2</v>
      </c>
      <c r="L1281" s="199">
        <v>3.8949290334802981E-2</v>
      </c>
      <c r="M1281" s="199">
        <v>4.6756963899537998E-2</v>
      </c>
      <c r="N1281" s="199">
        <v>5.8848050370550763E-2</v>
      </c>
    </row>
    <row r="1282" spans="3:14">
      <c r="C1282" s="29">
        <v>8</v>
      </c>
      <c r="D1282" s="34" t="s">
        <v>1727</v>
      </c>
      <c r="E1282" s="199">
        <v>3.2544987950564847E-2</v>
      </c>
      <c r="F1282" s="199">
        <v>3.6761354776111546E-2</v>
      </c>
      <c r="G1282" s="199">
        <v>4.2386102037457657E-2</v>
      </c>
      <c r="H1282" s="199">
        <v>4.3968295572265892E-2</v>
      </c>
      <c r="I1282" s="199">
        <v>4.9083147276676883E-2</v>
      </c>
      <c r="J1282" s="199">
        <v>3.6859382704485903E-2</v>
      </c>
      <c r="K1282" s="199">
        <v>3.7361185883274389E-2</v>
      </c>
      <c r="L1282" s="199">
        <v>4.5302570985418664E-2</v>
      </c>
      <c r="M1282" s="199">
        <v>5.2939920623218319E-2</v>
      </c>
      <c r="N1282" s="199">
        <v>5.5553594405335929E-2</v>
      </c>
    </row>
    <row r="1283" spans="3:14">
      <c r="C1283" s="29">
        <v>9</v>
      </c>
      <c r="D1283" s="34" t="s">
        <v>1728</v>
      </c>
      <c r="E1283" s="199">
        <v>3.4378079385827806E-2</v>
      </c>
      <c r="F1283" s="199">
        <v>4.4165707185892453E-2</v>
      </c>
      <c r="G1283" s="199">
        <v>4.5221962595958447E-2</v>
      </c>
      <c r="H1283" s="199">
        <v>4.712929604383833E-2</v>
      </c>
      <c r="I1283" s="199">
        <v>4.7476765411566466E-2</v>
      </c>
      <c r="J1283" s="199">
        <v>3.6313873221071657E-2</v>
      </c>
      <c r="K1283" s="199">
        <v>4.4158304661087638E-2</v>
      </c>
      <c r="L1283" s="199">
        <v>5.147932257365511E-2</v>
      </c>
      <c r="M1283" s="199">
        <v>5.1594600904354672E-2</v>
      </c>
      <c r="N1283" s="199">
        <v>4.9088057250634282E-2</v>
      </c>
    </row>
    <row r="1284" spans="3:14">
      <c r="C1284" s="29">
        <v>10</v>
      </c>
      <c r="D1284" s="34" t="s">
        <v>1729</v>
      </c>
      <c r="E1284" s="199">
        <v>3.7649026649454388E-2</v>
      </c>
      <c r="F1284" s="199">
        <v>4.857929898840687E-2</v>
      </c>
      <c r="G1284" s="199">
        <v>4.729940552337232E-2</v>
      </c>
      <c r="H1284" s="199">
        <v>4.9722085200313376E-2</v>
      </c>
      <c r="I1284" s="199">
        <v>4.4270500338927925E-2</v>
      </c>
      <c r="J1284" s="199">
        <v>3.654792546903491E-2</v>
      </c>
      <c r="K1284" s="199">
        <v>4.8751437648395547E-2</v>
      </c>
      <c r="L1284" s="199">
        <v>5.3123862732291798E-2</v>
      </c>
      <c r="M1284" s="199">
        <v>5.0322468175562768E-2</v>
      </c>
      <c r="N1284" s="199">
        <v>4.8649345314092159E-2</v>
      </c>
    </row>
    <row r="1285" spans="3:14">
      <c r="C1285" s="29">
        <v>11</v>
      </c>
      <c r="D1285" s="34" t="s">
        <v>1730</v>
      </c>
      <c r="E1285" s="199">
        <v>4.0114712119918725E-2</v>
      </c>
      <c r="F1285" s="199">
        <v>5.1817544580572972E-2</v>
      </c>
      <c r="G1285" s="199">
        <v>4.8813807946562447E-2</v>
      </c>
      <c r="H1285" s="199">
        <v>4.7546692815692605E-2</v>
      </c>
      <c r="I1285" s="199">
        <v>4.414206421417937E-2</v>
      </c>
      <c r="J1285" s="199">
        <v>3.7728672679753578E-2</v>
      </c>
      <c r="K1285" s="199">
        <v>5.3334960847126689E-2</v>
      </c>
      <c r="L1285" s="199">
        <v>5.4232808621826729E-2</v>
      </c>
      <c r="M1285" s="199">
        <v>5.1927820578983583E-2</v>
      </c>
      <c r="N1285" s="199">
        <v>4.1562018243119496E-2</v>
      </c>
    </row>
    <row r="1286" spans="3:14">
      <c r="C1286" s="29">
        <v>12</v>
      </c>
      <c r="D1286" s="34" t="s">
        <v>1731</v>
      </c>
      <c r="E1286" s="199">
        <v>4.080584564642642E-2</v>
      </c>
      <c r="F1286" s="199">
        <v>5.4326893381651406E-2</v>
      </c>
      <c r="G1286" s="199">
        <v>5.0557394114632503E-2</v>
      </c>
      <c r="H1286" s="199">
        <v>5.1564464602492664E-2</v>
      </c>
      <c r="I1286" s="199">
        <v>4.4056044638712676E-2</v>
      </c>
      <c r="J1286" s="199">
        <v>4.038477508425168E-2</v>
      </c>
      <c r="K1286" s="199">
        <v>5.6185512432654364E-2</v>
      </c>
      <c r="L1286" s="199">
        <v>5.7212240099210207E-2</v>
      </c>
      <c r="M1286" s="199">
        <v>5.2263574535535241E-2</v>
      </c>
      <c r="N1286" s="199">
        <v>4.1352997799747389E-2</v>
      </c>
    </row>
    <row r="1287" spans="3:14">
      <c r="C1287" s="29">
        <v>13</v>
      </c>
      <c r="D1287" s="34" t="s">
        <v>1732</v>
      </c>
      <c r="E1287" s="199">
        <v>4.2847512925384627E-2</v>
      </c>
      <c r="F1287" s="199">
        <v>5.3964659773565515E-2</v>
      </c>
      <c r="G1287" s="199">
        <v>5.1342366722295245E-2</v>
      </c>
      <c r="H1287" s="199">
        <v>5.0479232995671558E-2</v>
      </c>
      <c r="I1287" s="199">
        <v>4.2339185594703496E-2</v>
      </c>
      <c r="J1287" s="199">
        <v>4.6301894941162103E-2</v>
      </c>
      <c r="K1287" s="199">
        <v>5.6208422168621375E-2</v>
      </c>
      <c r="L1287" s="199">
        <v>5.7057709945104701E-2</v>
      </c>
      <c r="M1287" s="199">
        <v>5.4315958910842427E-2</v>
      </c>
      <c r="N1287" s="199">
        <v>3.3612430017538997E-2</v>
      </c>
    </row>
    <row r="1288" spans="3:14">
      <c r="C1288" s="29">
        <v>14</v>
      </c>
      <c r="D1288" s="34" t="s">
        <v>1733</v>
      </c>
      <c r="E1288" s="199">
        <v>4.5002707227933827E-2</v>
      </c>
      <c r="F1288" s="199">
        <v>5.5173394847878414E-2</v>
      </c>
      <c r="G1288" s="199">
        <v>5.2177271123512378E-2</v>
      </c>
      <c r="H1288" s="199">
        <v>5.3485936849089415E-2</v>
      </c>
      <c r="I1288" s="199">
        <v>4.0151160393286908E-2</v>
      </c>
      <c r="J1288" s="199">
        <v>4.8229252242502192E-2</v>
      </c>
      <c r="K1288" s="199">
        <v>5.9113076863836253E-2</v>
      </c>
      <c r="L1288" s="199">
        <v>5.848521382649649E-2</v>
      </c>
      <c r="M1288" s="199">
        <v>5.5084307111963035E-2</v>
      </c>
      <c r="N1288" s="199">
        <v>2.8478842913999661E-2</v>
      </c>
    </row>
    <row r="1289" spans="3:14">
      <c r="C1289" s="29">
        <v>15</v>
      </c>
      <c r="D1289" s="34" t="s">
        <v>1734</v>
      </c>
      <c r="E1289" s="199">
        <v>4.863696563343365E-2</v>
      </c>
      <c r="F1289" s="199">
        <v>5.4764990196143622E-2</v>
      </c>
      <c r="G1289" s="199">
        <v>5.2035505517760851E-2</v>
      </c>
      <c r="H1289" s="199">
        <v>5.0175568930340961E-2</v>
      </c>
      <c r="I1289" s="199">
        <v>3.854351115512103E-2</v>
      </c>
      <c r="J1289" s="199">
        <v>4.978584383621449E-2</v>
      </c>
      <c r="K1289" s="199">
        <v>6.041078271324346E-2</v>
      </c>
      <c r="L1289" s="199">
        <v>5.6737964742792107E-2</v>
      </c>
      <c r="M1289" s="199">
        <v>5.4607478128379044E-2</v>
      </c>
      <c r="N1289" s="199">
        <v>2.9908225277246743E-2</v>
      </c>
    </row>
    <row r="1290" spans="3:14">
      <c r="C1290" s="29">
        <v>16</v>
      </c>
      <c r="D1290" s="34" t="s">
        <v>1735</v>
      </c>
      <c r="E1290" s="199">
        <v>5.2918664152858119E-2</v>
      </c>
      <c r="F1290" s="199">
        <v>5.3356870362842639E-2</v>
      </c>
      <c r="G1290" s="199">
        <v>4.9795043628232748E-2</v>
      </c>
      <c r="H1290" s="199">
        <v>4.6198903716196969E-2</v>
      </c>
      <c r="I1290" s="199">
        <v>3.9157863502411884E-2</v>
      </c>
      <c r="J1290" s="199">
        <v>5.1793264960969157E-2</v>
      </c>
      <c r="K1290" s="199">
        <v>5.7516487370114333E-2</v>
      </c>
      <c r="L1290" s="199">
        <v>5.4622984830748178E-2</v>
      </c>
      <c r="M1290" s="199">
        <v>4.7113299297159149E-2</v>
      </c>
      <c r="N1290" s="199">
        <v>2.9321203000607213E-2</v>
      </c>
    </row>
    <row r="1291" spans="3:14">
      <c r="C1291" s="29">
        <v>17</v>
      </c>
      <c r="D1291" s="34" t="s">
        <v>1736</v>
      </c>
      <c r="E1291" s="199">
        <v>5.6076734968721453E-2</v>
      </c>
      <c r="F1291" s="199">
        <v>4.9699604227719935E-2</v>
      </c>
      <c r="G1291" s="199">
        <v>4.9762376085115918E-2</v>
      </c>
      <c r="H1291" s="199">
        <v>4.5027027232358234E-2</v>
      </c>
      <c r="I1291" s="199">
        <v>3.9391383729227437E-2</v>
      </c>
      <c r="J1291" s="199">
        <v>5.8886845029098245E-2</v>
      </c>
      <c r="K1291" s="199">
        <v>5.4395766188539321E-2</v>
      </c>
      <c r="L1291" s="199">
        <v>4.9441420017352543E-2</v>
      </c>
      <c r="M1291" s="199">
        <v>3.8133340091418458E-2</v>
      </c>
      <c r="N1291" s="199">
        <v>2.7656561583499547E-2</v>
      </c>
    </row>
    <row r="1292" spans="3:14">
      <c r="C1292" s="29">
        <v>18</v>
      </c>
      <c r="D1292" s="34" t="s">
        <v>1737</v>
      </c>
      <c r="E1292" s="199">
        <v>5.8974097542332342E-2</v>
      </c>
      <c r="F1292" s="199">
        <v>4.1159858002270115E-2</v>
      </c>
      <c r="G1292" s="199">
        <v>4.8908683979377018E-2</v>
      </c>
      <c r="H1292" s="199">
        <v>4.1938110233628242E-2</v>
      </c>
      <c r="I1292" s="199">
        <v>3.719227575492156E-2</v>
      </c>
      <c r="J1292" s="199">
        <v>6.4136843533503032E-2</v>
      </c>
      <c r="K1292" s="199">
        <v>4.5544728078635591E-2</v>
      </c>
      <c r="L1292" s="199">
        <v>4.6097758460409234E-2</v>
      </c>
      <c r="M1292" s="199">
        <v>3.7124695886169276E-2</v>
      </c>
      <c r="N1292" s="199">
        <v>3.0067907656201463E-2</v>
      </c>
    </row>
    <row r="1293" spans="3:14">
      <c r="C1293" s="29">
        <v>19</v>
      </c>
      <c r="D1293" s="34" t="s">
        <v>1738</v>
      </c>
      <c r="E1293" s="199">
        <v>5.9318585151369535E-2</v>
      </c>
      <c r="F1293" s="199">
        <v>3.6324303384409708E-2</v>
      </c>
      <c r="G1293" s="199">
        <v>4.6825761304810955E-2</v>
      </c>
      <c r="H1293" s="199">
        <v>4.0833388051653381E-2</v>
      </c>
      <c r="I1293" s="199">
        <v>3.5383545647083209E-2</v>
      </c>
      <c r="J1293" s="199">
        <v>6.469212946699654E-2</v>
      </c>
      <c r="K1293" s="199">
        <v>3.880519115397435E-2</v>
      </c>
      <c r="L1293" s="199">
        <v>4.2502012550032164E-2</v>
      </c>
      <c r="M1293" s="199">
        <v>3.615944165929421E-2</v>
      </c>
      <c r="N1293" s="199">
        <v>3.4568036657767247E-2</v>
      </c>
    </row>
    <row r="1294" spans="3:14">
      <c r="C1294" s="29">
        <v>20</v>
      </c>
      <c r="D1294" s="34" t="s">
        <v>1739</v>
      </c>
      <c r="E1294" s="199">
        <v>5.7920713528381483E-2</v>
      </c>
      <c r="F1294" s="199">
        <v>3.5701058960476623E-2</v>
      </c>
      <c r="G1294" s="199">
        <v>4.3648032962258831E-2</v>
      </c>
      <c r="H1294" s="199">
        <v>3.9214991987609971E-2</v>
      </c>
      <c r="I1294" s="199">
        <v>3.5893757680752619E-2</v>
      </c>
      <c r="J1294" s="199">
        <v>5.8700166366202039E-2</v>
      </c>
      <c r="K1294" s="199">
        <v>3.5719142089584328E-2</v>
      </c>
      <c r="L1294" s="199">
        <v>3.996358409501255E-2</v>
      </c>
      <c r="M1294" s="199">
        <v>3.4692476408139182E-2</v>
      </c>
      <c r="N1294" s="199">
        <v>3.8249023485392497E-2</v>
      </c>
    </row>
    <row r="1295" spans="3:14">
      <c r="C1295" s="29">
        <v>21</v>
      </c>
      <c r="D1295" s="34" t="s">
        <v>1740</v>
      </c>
      <c r="E1295" s="199">
        <v>5.637167706602364E-2</v>
      </c>
      <c r="F1295" s="199">
        <v>4.1018596594915711E-2</v>
      </c>
      <c r="G1295" s="199">
        <v>4.2727505753957173E-2</v>
      </c>
      <c r="H1295" s="199">
        <v>3.9277759779520451E-2</v>
      </c>
      <c r="I1295" s="199">
        <v>3.6306139300693763E-2</v>
      </c>
      <c r="J1295" s="199">
        <v>5.7284403452928651E-2</v>
      </c>
      <c r="K1295" s="199">
        <v>4.0253309414185166E-2</v>
      </c>
      <c r="L1295" s="199">
        <v>3.888213684081978E-2</v>
      </c>
      <c r="M1295" s="199">
        <v>3.4350348348569738E-2</v>
      </c>
      <c r="N1295" s="199">
        <v>4.3324625036633362E-2</v>
      </c>
    </row>
    <row r="1296" spans="3:14">
      <c r="C1296" s="29">
        <v>22</v>
      </c>
      <c r="D1296" s="34" t="s">
        <v>1741</v>
      </c>
      <c r="E1296" s="199">
        <v>5.1475119640123898E-2</v>
      </c>
      <c r="F1296" s="199">
        <v>4.0936654847748874E-2</v>
      </c>
      <c r="G1296" s="199">
        <v>3.8703083819351523E-2</v>
      </c>
      <c r="H1296" s="199">
        <v>3.9549859061887419E-2</v>
      </c>
      <c r="I1296" s="199">
        <v>3.8370177665748011E-2</v>
      </c>
      <c r="J1296" s="199">
        <v>5.1543244760164461E-2</v>
      </c>
      <c r="K1296" s="199">
        <v>3.8498734996261115E-2</v>
      </c>
      <c r="L1296" s="199">
        <v>3.5049121339960798E-2</v>
      </c>
      <c r="M1296" s="199">
        <v>3.4612454536518233E-2</v>
      </c>
      <c r="N1296" s="199">
        <v>4.5092266326516334E-2</v>
      </c>
    </row>
    <row r="1297" spans="1:14">
      <c r="C1297" s="29">
        <v>23</v>
      </c>
      <c r="D1297" s="34" t="s">
        <v>1742</v>
      </c>
      <c r="E1297" s="199">
        <v>4.4662927814578958E-2</v>
      </c>
      <c r="F1297" s="199">
        <v>3.7971868146923542E-2</v>
      </c>
      <c r="G1297" s="199">
        <v>3.5055409735999424E-2</v>
      </c>
      <c r="H1297" s="199">
        <v>3.8064414949008862E-2</v>
      </c>
      <c r="I1297" s="199">
        <v>4.0880547069399371E-2</v>
      </c>
      <c r="J1297" s="199">
        <v>4.0298751285922474E-2</v>
      </c>
      <c r="K1297" s="199">
        <v>3.6635147136722168E-2</v>
      </c>
      <c r="L1297" s="199">
        <v>3.1185400720819389E-2</v>
      </c>
      <c r="M1297" s="199">
        <v>3.3107014277990766E-2</v>
      </c>
      <c r="N1297" s="199">
        <v>4.9572198113236605E-2</v>
      </c>
    </row>
    <row r="1298" spans="1:14">
      <c r="C1298" s="29">
        <v>24</v>
      </c>
      <c r="D1298" s="34" t="s">
        <v>1743</v>
      </c>
      <c r="E1298" s="199">
        <v>3.7440552554585269E-2</v>
      </c>
      <c r="F1298" s="199">
        <v>3.6161907192602559E-2</v>
      </c>
      <c r="G1298" s="199">
        <v>3.261465347857935E-2</v>
      </c>
      <c r="H1298" s="199">
        <v>3.6256991961200455E-2</v>
      </c>
      <c r="I1298" s="199">
        <v>4.1298780177702971E-2</v>
      </c>
      <c r="J1298" s="199">
        <v>3.5842318213352486E-2</v>
      </c>
      <c r="K1298" s="199">
        <v>3.3613176142562061E-2</v>
      </c>
      <c r="L1298" s="199">
        <v>2.7840683865693206E-2</v>
      </c>
      <c r="M1298" s="199">
        <v>3.2752829180182838E-2</v>
      </c>
      <c r="N1298" s="199">
        <v>4.910292382226545E-2</v>
      </c>
    </row>
    <row r="1299" spans="1:14">
      <c r="A1299" s="16" t="s">
        <v>437</v>
      </c>
      <c r="B1299" s="16" t="s">
        <v>420</v>
      </c>
      <c r="C1299" s="29">
        <v>1</v>
      </c>
      <c r="D1299" s="34" t="s">
        <v>1744</v>
      </c>
      <c r="E1299" s="199">
        <v>3.2586708902416786E-2</v>
      </c>
      <c r="F1299" s="199">
        <v>3.5551986892752296E-2</v>
      </c>
      <c r="G1299" s="199">
        <v>3.2045472055394777E-2</v>
      </c>
      <c r="H1299" s="199">
        <v>3.4347514563853869E-2</v>
      </c>
      <c r="I1299" s="199">
        <v>4.4967732066230739E-2</v>
      </c>
      <c r="J1299" s="199">
        <v>2.8716676812423899E-2</v>
      </c>
      <c r="K1299" s="199">
        <v>3.2493813148794334E-2</v>
      </c>
      <c r="L1299" s="199">
        <v>2.738716609608766E-2</v>
      </c>
      <c r="M1299" s="199">
        <v>3.2068972668410071E-2</v>
      </c>
      <c r="N1299" s="199">
        <v>4.86873300552308E-2</v>
      </c>
    </row>
    <row r="1300" spans="1:14">
      <c r="C1300" s="29">
        <v>2</v>
      </c>
      <c r="D1300" s="34" t="s">
        <v>1745</v>
      </c>
      <c r="E1300" s="199">
        <v>2.9864514098100987E-2</v>
      </c>
      <c r="F1300" s="199">
        <v>3.4141079096475874E-2</v>
      </c>
      <c r="G1300" s="199">
        <v>3.1713410813201996E-2</v>
      </c>
      <c r="H1300" s="199">
        <v>3.3769848458149052E-2</v>
      </c>
      <c r="I1300" s="199">
        <v>4.3016703728194029E-2</v>
      </c>
      <c r="J1300" s="199">
        <v>2.5651814024650835E-2</v>
      </c>
      <c r="K1300" s="199">
        <v>3.0519703312340454E-2</v>
      </c>
      <c r="L1300" s="199">
        <v>2.6479897900137928E-2</v>
      </c>
      <c r="M1300" s="199">
        <v>3.2754257817052664E-2</v>
      </c>
      <c r="N1300" s="199">
        <v>4.0831548120654461E-2</v>
      </c>
    </row>
    <row r="1301" spans="1:14">
      <c r="C1301" s="29">
        <v>3</v>
      </c>
      <c r="D1301" s="34" t="s">
        <v>1746</v>
      </c>
      <c r="E1301" s="199">
        <v>2.7466379520758824E-2</v>
      </c>
      <c r="F1301" s="199">
        <v>3.2729580453783866E-2</v>
      </c>
      <c r="G1301" s="199">
        <v>3.1250586868776423E-2</v>
      </c>
      <c r="H1301" s="199">
        <v>3.2689685408159648E-2</v>
      </c>
      <c r="I1301" s="199">
        <v>4.2670037336758573E-2</v>
      </c>
      <c r="J1301" s="199">
        <v>2.5603719857239093E-2</v>
      </c>
      <c r="K1301" s="199">
        <v>2.9601200248157523E-2</v>
      </c>
      <c r="L1301" s="199">
        <v>2.4916913223798635E-2</v>
      </c>
      <c r="M1301" s="199">
        <v>3.1925181401598286E-2</v>
      </c>
      <c r="N1301" s="199">
        <v>3.9050830600646937E-2</v>
      </c>
    </row>
    <row r="1302" spans="1:14">
      <c r="C1302" s="29">
        <v>4</v>
      </c>
      <c r="D1302" s="34" t="s">
        <v>1747</v>
      </c>
      <c r="E1302" s="199">
        <v>2.6644025718488375E-2</v>
      </c>
      <c r="F1302" s="199">
        <v>3.2820581949829286E-2</v>
      </c>
      <c r="G1302" s="199">
        <v>3.1310089033581609E-2</v>
      </c>
      <c r="H1302" s="199">
        <v>3.2355691526390833E-2</v>
      </c>
      <c r="I1302" s="199">
        <v>4.3394869022120294E-2</v>
      </c>
      <c r="J1302" s="199">
        <v>2.3232607000667097E-2</v>
      </c>
      <c r="K1302" s="199">
        <v>2.9089282614269532E-2</v>
      </c>
      <c r="L1302" s="199">
        <v>2.5649197087993597E-2</v>
      </c>
      <c r="M1302" s="199">
        <v>3.203667894057901E-2</v>
      </c>
      <c r="N1302" s="199">
        <v>3.7756288309462559E-2</v>
      </c>
    </row>
    <row r="1303" spans="1:14">
      <c r="C1303" s="29">
        <v>5</v>
      </c>
      <c r="D1303" s="34" t="s">
        <v>1748</v>
      </c>
      <c r="E1303" s="199">
        <v>2.5766648568517191E-2</v>
      </c>
      <c r="F1303" s="199">
        <v>3.3332355278134711E-2</v>
      </c>
      <c r="G1303" s="199">
        <v>3.2943830921090392E-2</v>
      </c>
      <c r="H1303" s="199">
        <v>3.4137707256598988E-2</v>
      </c>
      <c r="I1303" s="199">
        <v>4.5136350836977E-2</v>
      </c>
      <c r="J1303" s="199">
        <v>2.3357506629393766E-2</v>
      </c>
      <c r="K1303" s="199">
        <v>3.0760889453715645E-2</v>
      </c>
      <c r="L1303" s="199">
        <v>2.9181511988169258E-2</v>
      </c>
      <c r="M1303" s="199">
        <v>3.4491537933689656E-2</v>
      </c>
      <c r="N1303" s="199">
        <v>4.4395331220122132E-2</v>
      </c>
    </row>
    <row r="1304" spans="1:14">
      <c r="C1304" s="29">
        <v>6</v>
      </c>
      <c r="D1304" s="34" t="s">
        <v>1749</v>
      </c>
      <c r="E1304" s="199">
        <v>2.8034448494834645E-2</v>
      </c>
      <c r="F1304" s="199">
        <v>3.3892366199651996E-2</v>
      </c>
      <c r="G1304" s="199">
        <v>3.5364327920432891E-2</v>
      </c>
      <c r="H1304" s="199">
        <v>3.7130690418478635E-2</v>
      </c>
      <c r="I1304" s="199">
        <v>4.814561142507727E-2</v>
      </c>
      <c r="J1304" s="199">
        <v>2.5812252588308483E-2</v>
      </c>
      <c r="K1304" s="199">
        <v>2.9186003119348582E-2</v>
      </c>
      <c r="L1304" s="199">
        <v>3.6328364599148351E-2</v>
      </c>
      <c r="M1304" s="199">
        <v>4.1307886794107511E-2</v>
      </c>
      <c r="N1304" s="199">
        <v>5.5093851619015546E-2</v>
      </c>
    </row>
    <row r="1305" spans="1:14">
      <c r="C1305" s="29">
        <v>7</v>
      </c>
      <c r="D1305" s="34" t="s">
        <v>1750</v>
      </c>
      <c r="E1305" s="199">
        <v>3.1475735852185445E-2</v>
      </c>
      <c r="F1305" s="199">
        <v>3.3622460868186148E-2</v>
      </c>
      <c r="G1305" s="199">
        <v>3.9089567541308975E-2</v>
      </c>
      <c r="H1305" s="199">
        <v>4.2402298688473845E-2</v>
      </c>
      <c r="I1305" s="199">
        <v>4.7560308872467483E-2</v>
      </c>
      <c r="J1305" s="199">
        <v>2.8990977840740711E-2</v>
      </c>
      <c r="K1305" s="199">
        <v>2.8915486431107102E-2</v>
      </c>
      <c r="L1305" s="199">
        <v>4.0008117102645117E-2</v>
      </c>
      <c r="M1305" s="199">
        <v>4.4730562791671862E-2</v>
      </c>
      <c r="N1305" s="199">
        <v>5.7890453888142124E-2</v>
      </c>
    </row>
    <row r="1306" spans="1:14">
      <c r="C1306" s="29">
        <v>8</v>
      </c>
      <c r="D1306" s="34" t="s">
        <v>1751</v>
      </c>
      <c r="E1306" s="199">
        <v>3.4570946805194833E-2</v>
      </c>
      <c r="F1306" s="199">
        <v>3.769321430282653E-2</v>
      </c>
      <c r="G1306" s="199">
        <v>4.4273493277692783E-2</v>
      </c>
      <c r="H1306" s="199">
        <v>4.7126135085144481E-2</v>
      </c>
      <c r="I1306" s="199">
        <v>4.8234337795360585E-2</v>
      </c>
      <c r="J1306" s="199">
        <v>3.2740496816562874E-2</v>
      </c>
      <c r="K1306" s="199">
        <v>3.5570591420600241E-2</v>
      </c>
      <c r="L1306" s="199">
        <v>4.5568194680910376E-2</v>
      </c>
      <c r="M1306" s="199">
        <v>5.1519668602071099E-2</v>
      </c>
      <c r="N1306" s="199">
        <v>5.3169839011332438E-2</v>
      </c>
    </row>
    <row r="1307" spans="1:14">
      <c r="C1307" s="29">
        <v>9</v>
      </c>
      <c r="D1307" s="34" t="s">
        <v>1752</v>
      </c>
      <c r="E1307" s="199">
        <v>3.5501563131497389E-2</v>
      </c>
      <c r="F1307" s="199">
        <v>4.5555484926493459E-2</v>
      </c>
      <c r="G1307" s="199">
        <v>4.712286372026453E-2</v>
      </c>
      <c r="H1307" s="199">
        <v>4.9726522541780158E-2</v>
      </c>
      <c r="I1307" s="199">
        <v>4.5956571549994961E-2</v>
      </c>
      <c r="J1307" s="199">
        <v>3.6755047069617908E-2</v>
      </c>
      <c r="K1307" s="199">
        <v>4.2898150945304789E-2</v>
      </c>
      <c r="L1307" s="199">
        <v>5.1420298883673006E-2</v>
      </c>
      <c r="M1307" s="199">
        <v>5.2106924685899496E-2</v>
      </c>
      <c r="N1307" s="199">
        <v>5.3181135081131488E-2</v>
      </c>
    </row>
    <row r="1308" spans="1:14">
      <c r="C1308" s="29">
        <v>10</v>
      </c>
      <c r="D1308" s="34" t="s">
        <v>1753</v>
      </c>
      <c r="E1308" s="199">
        <v>3.9505433291378886E-2</v>
      </c>
      <c r="F1308" s="199">
        <v>4.9315152149306388E-2</v>
      </c>
      <c r="G1308" s="199">
        <v>4.8194809761217351E-2</v>
      </c>
      <c r="H1308" s="199">
        <v>5.0946891823635349E-2</v>
      </c>
      <c r="I1308" s="199">
        <v>4.1940268146379418E-2</v>
      </c>
      <c r="J1308" s="199">
        <v>3.8706050993560746E-2</v>
      </c>
      <c r="K1308" s="199">
        <v>4.8326977405129264E-2</v>
      </c>
      <c r="L1308" s="199">
        <v>5.3262705469377877E-2</v>
      </c>
      <c r="M1308" s="199">
        <v>5.1340752166836437E-2</v>
      </c>
      <c r="N1308" s="199">
        <v>4.919127438261426E-2</v>
      </c>
    </row>
    <row r="1309" spans="1:14">
      <c r="C1309" s="29">
        <v>11</v>
      </c>
      <c r="D1309" s="34" t="s">
        <v>1754</v>
      </c>
      <c r="E1309" s="199">
        <v>4.2214638457798319E-2</v>
      </c>
      <c r="F1309" s="199">
        <v>5.1889726387051534E-2</v>
      </c>
      <c r="G1309" s="199">
        <v>4.9601082330843677E-2</v>
      </c>
      <c r="H1309" s="199">
        <v>4.9209466421725655E-2</v>
      </c>
      <c r="I1309" s="199">
        <v>4.0420527897215654E-2</v>
      </c>
      <c r="J1309" s="199">
        <v>4.542624651255868E-2</v>
      </c>
      <c r="K1309" s="199">
        <v>5.3376225189862576E-2</v>
      </c>
      <c r="L1309" s="199">
        <v>5.4431938878985044E-2</v>
      </c>
      <c r="M1309" s="199">
        <v>4.9876973906285281E-2</v>
      </c>
      <c r="N1309" s="199">
        <v>4.5209409778449158E-2</v>
      </c>
    </row>
    <row r="1310" spans="1:14">
      <c r="C1310" s="29">
        <v>12</v>
      </c>
      <c r="D1310" s="34" t="s">
        <v>1755</v>
      </c>
      <c r="E1310" s="199">
        <v>4.3645351180641993E-2</v>
      </c>
      <c r="F1310" s="199">
        <v>5.3363787861521919E-2</v>
      </c>
      <c r="G1310" s="199">
        <v>5.0752380589322632E-2</v>
      </c>
      <c r="H1310" s="199">
        <v>5.2329283280986481E-2</v>
      </c>
      <c r="I1310" s="199">
        <v>3.9628920918093967E-2</v>
      </c>
      <c r="J1310" s="199">
        <v>4.639528018303006E-2</v>
      </c>
      <c r="K1310" s="199">
        <v>5.6475967991039162E-2</v>
      </c>
      <c r="L1310" s="199">
        <v>5.7128460996002883E-2</v>
      </c>
      <c r="M1310" s="199">
        <v>4.8698482416715663E-2</v>
      </c>
      <c r="N1310" s="199">
        <v>3.8902204783403255E-2</v>
      </c>
    </row>
    <row r="1311" spans="1:14">
      <c r="C1311" s="29">
        <v>13</v>
      </c>
      <c r="D1311" s="34" t="s">
        <v>1756</v>
      </c>
      <c r="E1311" s="199">
        <v>4.7142084616192174E-2</v>
      </c>
      <c r="F1311" s="199">
        <v>5.3392750483931072E-2</v>
      </c>
      <c r="G1311" s="199">
        <v>5.1169174104433272E-2</v>
      </c>
      <c r="H1311" s="199">
        <v>5.0651053023194587E-2</v>
      </c>
      <c r="I1311" s="199">
        <v>3.8747338320431521E-2</v>
      </c>
      <c r="J1311" s="199">
        <v>4.8015242521586156E-2</v>
      </c>
      <c r="K1311" s="199">
        <v>5.6098166333101676E-2</v>
      </c>
      <c r="L1311" s="199">
        <v>5.6970515985283035E-2</v>
      </c>
      <c r="M1311" s="199">
        <v>5.0492008718082113E-2</v>
      </c>
      <c r="N1311" s="199">
        <v>3.3524514026260062E-2</v>
      </c>
    </row>
    <row r="1312" spans="1:14">
      <c r="C1312" s="29">
        <v>14</v>
      </c>
      <c r="D1312" s="34" t="s">
        <v>1757</v>
      </c>
      <c r="E1312" s="199">
        <v>4.9429041072386458E-2</v>
      </c>
      <c r="F1312" s="199">
        <v>5.4025000740787622E-2</v>
      </c>
      <c r="G1312" s="199">
        <v>5.1344916181448624E-2</v>
      </c>
      <c r="H1312" s="199">
        <v>5.2767473395616479E-2</v>
      </c>
      <c r="I1312" s="199">
        <v>3.7004101609213198E-2</v>
      </c>
      <c r="J1312" s="199">
        <v>4.9772659721349678E-2</v>
      </c>
      <c r="K1312" s="199">
        <v>5.7857999145079005E-2</v>
      </c>
      <c r="L1312" s="199">
        <v>5.66809936088251E-2</v>
      </c>
      <c r="M1312" s="199">
        <v>5.1833040202706661E-2</v>
      </c>
      <c r="N1312" s="199">
        <v>3.2576976845531895E-2</v>
      </c>
    </row>
    <row r="1313" spans="1:14">
      <c r="C1313" s="29">
        <v>15</v>
      </c>
      <c r="D1313" s="34" t="s">
        <v>1758</v>
      </c>
      <c r="E1313" s="199">
        <v>5.0424490580608682E-2</v>
      </c>
      <c r="F1313" s="199">
        <v>5.4158955656441403E-2</v>
      </c>
      <c r="G1313" s="199">
        <v>5.0628946472801847E-2</v>
      </c>
      <c r="H1313" s="199">
        <v>4.9773805632995313E-2</v>
      </c>
      <c r="I1313" s="199">
        <v>3.7158978649127782E-2</v>
      </c>
      <c r="J1313" s="199">
        <v>5.1283577812384365E-2</v>
      </c>
      <c r="K1313" s="199">
        <v>5.9848238829543252E-2</v>
      </c>
      <c r="L1313" s="199">
        <v>5.6177556277966188E-2</v>
      </c>
      <c r="M1313" s="199">
        <v>5.3668885062107652E-2</v>
      </c>
      <c r="N1313" s="199">
        <v>3.1673418183740476E-2</v>
      </c>
    </row>
    <row r="1314" spans="1:14">
      <c r="C1314" s="29">
        <v>16</v>
      </c>
      <c r="D1314" s="34" t="s">
        <v>1759</v>
      </c>
      <c r="E1314" s="199">
        <v>5.4194084119794671E-2</v>
      </c>
      <c r="F1314" s="199">
        <v>5.2342939031940726E-2</v>
      </c>
      <c r="G1314" s="199">
        <v>4.7749968927900427E-2</v>
      </c>
      <c r="H1314" s="199">
        <v>4.488799270087817E-2</v>
      </c>
      <c r="I1314" s="199">
        <v>3.8587464287487237E-2</v>
      </c>
      <c r="J1314" s="199">
        <v>5.5247225104779918E-2</v>
      </c>
      <c r="K1314" s="199">
        <v>5.6053994763852984E-2</v>
      </c>
      <c r="L1314" s="199">
        <v>5.272290437011317E-2</v>
      </c>
      <c r="M1314" s="199">
        <v>4.6828124592262987E-2</v>
      </c>
      <c r="N1314" s="199">
        <v>3.244123362474443E-2</v>
      </c>
    </row>
    <row r="1315" spans="1:14">
      <c r="C1315" s="29">
        <v>17</v>
      </c>
      <c r="D1315" s="34" t="s">
        <v>1760</v>
      </c>
      <c r="E1315" s="199">
        <v>5.6013121430345945E-2</v>
      </c>
      <c r="F1315" s="199">
        <v>4.7584273148877622E-2</v>
      </c>
      <c r="G1315" s="199">
        <v>4.7012330218278067E-2</v>
      </c>
      <c r="H1315" s="199">
        <v>4.2596907859266717E-2</v>
      </c>
      <c r="I1315" s="199">
        <v>3.8254926298963134E-2</v>
      </c>
      <c r="J1315" s="199">
        <v>6.133033791300839E-2</v>
      </c>
      <c r="K1315" s="199">
        <v>5.2264866945352435E-2</v>
      </c>
      <c r="L1315" s="199">
        <v>4.831851639330851E-2</v>
      </c>
      <c r="M1315" s="199">
        <v>3.9637642946617473E-2</v>
      </c>
      <c r="N1315" s="199">
        <v>2.849566875049539E-2</v>
      </c>
    </row>
    <row r="1316" spans="1:14">
      <c r="C1316" s="29">
        <v>18</v>
      </c>
      <c r="D1316" s="34" t="s">
        <v>1761</v>
      </c>
      <c r="E1316" s="199">
        <v>5.8146378050527019E-2</v>
      </c>
      <c r="F1316" s="199">
        <v>4.0177545111625489E-2</v>
      </c>
      <c r="G1316" s="199">
        <v>4.6095047571664001E-2</v>
      </c>
      <c r="H1316" s="199">
        <v>4.0493312340736193E-2</v>
      </c>
      <c r="I1316" s="199">
        <v>3.9001292644762375E-2</v>
      </c>
      <c r="J1316" s="199">
        <v>6.1125472013855119E-2</v>
      </c>
      <c r="K1316" s="199">
        <v>4.5845480352146223E-2</v>
      </c>
      <c r="L1316" s="199">
        <v>4.5578368188570535E-2</v>
      </c>
      <c r="M1316" s="199">
        <v>3.9870050651411172E-2</v>
      </c>
      <c r="N1316" s="199">
        <v>2.6473101106868881E-2</v>
      </c>
    </row>
    <row r="1317" spans="1:14">
      <c r="C1317" s="29">
        <v>19</v>
      </c>
      <c r="D1317" s="34" t="s">
        <v>1762</v>
      </c>
      <c r="E1317" s="199">
        <v>5.6348063859347618E-2</v>
      </c>
      <c r="F1317" s="199">
        <v>3.474732096300117E-2</v>
      </c>
      <c r="G1317" s="199">
        <v>4.4392651186047613E-2</v>
      </c>
      <c r="H1317" s="199">
        <v>3.9748831854344718E-2</v>
      </c>
      <c r="I1317" s="199">
        <v>3.8599867538043106E-2</v>
      </c>
      <c r="J1317" s="199">
        <v>6.0257657571596138E-2</v>
      </c>
      <c r="K1317" s="199">
        <v>3.9248470154215807E-2</v>
      </c>
      <c r="L1317" s="199">
        <v>4.2780142298051584E-2</v>
      </c>
      <c r="M1317" s="199">
        <v>3.8563149504731303E-2</v>
      </c>
      <c r="N1317" s="199">
        <v>3.1919964426264678E-2</v>
      </c>
    </row>
    <row r="1318" spans="1:14">
      <c r="C1318" s="29">
        <v>20</v>
      </c>
      <c r="D1318" s="34" t="s">
        <v>1763</v>
      </c>
      <c r="E1318" s="199">
        <v>5.3074743492339836E-2</v>
      </c>
      <c r="F1318" s="199">
        <v>3.4450125215962725E-2</v>
      </c>
      <c r="G1318" s="199">
        <v>4.1216412382579989E-2</v>
      </c>
      <c r="H1318" s="199">
        <v>3.7917798711042852E-2</v>
      </c>
      <c r="I1318" s="199">
        <v>3.6632836924708909E-2</v>
      </c>
      <c r="J1318" s="199">
        <v>5.6383642318558067E-2</v>
      </c>
      <c r="K1318" s="199">
        <v>3.633336138807302E-2</v>
      </c>
      <c r="L1318" s="199">
        <v>4.0146821140928719E-2</v>
      </c>
      <c r="M1318" s="199">
        <v>3.6493060330422995E-2</v>
      </c>
      <c r="N1318" s="199">
        <v>3.5870606185816667E-2</v>
      </c>
    </row>
    <row r="1319" spans="1:14">
      <c r="C1319" s="29">
        <v>21</v>
      </c>
      <c r="D1319" s="34" t="s">
        <v>1764</v>
      </c>
      <c r="E1319" s="199">
        <v>5.1273280580607906E-2</v>
      </c>
      <c r="F1319" s="199">
        <v>4.0243719910170825E-2</v>
      </c>
      <c r="G1319" s="199">
        <v>4.1084387455041199E-2</v>
      </c>
      <c r="H1319" s="199">
        <v>3.7313661376665454E-2</v>
      </c>
      <c r="I1319" s="199">
        <v>3.8049543936641221E-2</v>
      </c>
      <c r="J1319" s="199">
        <v>5.3759100040935794E-2</v>
      </c>
      <c r="K1319" s="199">
        <v>4.0678285494794804E-2</v>
      </c>
      <c r="L1319" s="199">
        <v>3.7908597283859181E-2</v>
      </c>
      <c r="M1319" s="199">
        <v>3.5598707730513893E-2</v>
      </c>
      <c r="N1319" s="199">
        <v>4.5478992388035475E-2</v>
      </c>
    </row>
    <row r="1320" spans="1:14">
      <c r="C1320" s="29">
        <v>22</v>
      </c>
      <c r="D1320" s="34" t="s">
        <v>1765</v>
      </c>
      <c r="E1320" s="199">
        <v>4.7904121614591164E-2</v>
      </c>
      <c r="F1320" s="199">
        <v>4.045788501375145E-2</v>
      </c>
      <c r="G1320" s="199">
        <v>3.9147548316676897E-2</v>
      </c>
      <c r="H1320" s="199">
        <v>3.8163570377252883E-2</v>
      </c>
      <c r="I1320" s="199">
        <v>4.0568653047738927E-2</v>
      </c>
      <c r="J1320" s="199">
        <v>4.8241148702274098E-2</v>
      </c>
      <c r="K1320" s="199">
        <v>3.8523915819377738E-2</v>
      </c>
      <c r="L1320" s="199">
        <v>3.4132556443246559E-2</v>
      </c>
      <c r="M1320" s="199">
        <v>3.6471939314116429E-2</v>
      </c>
      <c r="N1320" s="199">
        <v>4.4561853058058688E-2</v>
      </c>
    </row>
    <row r="1321" spans="1:14">
      <c r="C1321" s="29">
        <v>23</v>
      </c>
      <c r="D1321" s="34" t="s">
        <v>1766</v>
      </c>
      <c r="E1321" s="199">
        <v>4.267087034847835E-2</v>
      </c>
      <c r="F1321" s="199">
        <v>3.8414437111433476E-2</v>
      </c>
      <c r="G1321" s="199">
        <v>3.5291867549064222E-2</v>
      </c>
      <c r="H1321" s="199">
        <v>3.6550879230450348E-2</v>
      </c>
      <c r="I1321" s="199">
        <v>4.3088832943057265E-2</v>
      </c>
      <c r="J1321" s="199">
        <v>3.9030565618136823E-2</v>
      </c>
      <c r="K1321" s="199">
        <v>3.6586400819693103E-2</v>
      </c>
      <c r="L1321" s="199">
        <v>3.0214785597969356E-2</v>
      </c>
      <c r="M1321" s="199">
        <v>3.46321151328026E-2</v>
      </c>
      <c r="N1321" s="199">
        <v>4.7371211001508914E-2</v>
      </c>
    </row>
    <row r="1322" spans="1:14">
      <c r="C1322" s="29">
        <v>24</v>
      </c>
      <c r="D1322" s="34" t="s">
        <v>1767</v>
      </c>
      <c r="E1322" s="199">
        <v>3.6103326212966497E-2</v>
      </c>
      <c r="F1322" s="199">
        <v>3.6097271246062317E-2</v>
      </c>
      <c r="G1322" s="199">
        <v>3.1204834800935815E-2</v>
      </c>
      <c r="H1322" s="199">
        <v>3.2962978024179267E-2</v>
      </c>
      <c r="I1322" s="199">
        <v>4.3233924204955358E-2</v>
      </c>
      <c r="J1322" s="199">
        <v>3.4164694332781471E-2</v>
      </c>
      <c r="K1322" s="199">
        <v>3.344652867510093E-2</v>
      </c>
      <c r="L1322" s="199">
        <v>2.6605475504948222E-2</v>
      </c>
      <c r="M1322" s="199">
        <v>3.3053395689307707E-2</v>
      </c>
      <c r="N1322" s="199">
        <v>4.6252963552469259E-2</v>
      </c>
    </row>
    <row r="1323" spans="1:14">
      <c r="A1323" s="16" t="s">
        <v>437</v>
      </c>
      <c r="B1323" s="16" t="s">
        <v>424</v>
      </c>
      <c r="C1323" s="29">
        <v>1</v>
      </c>
      <c r="D1323" s="34" t="s">
        <v>1768</v>
      </c>
      <c r="E1323" s="200">
        <v>3.0432839700733978E-2</v>
      </c>
      <c r="F1323" s="200">
        <v>4.2523953750044481E-2</v>
      </c>
      <c r="G1323" s="200">
        <v>3.5433559703663964E-2</v>
      </c>
      <c r="H1323" s="200">
        <v>3.944292766119676E-2</v>
      </c>
      <c r="I1323" s="200">
        <v>4.4018568464791664E-2</v>
      </c>
      <c r="J1323" s="200">
        <v>2.927507106579422E-2</v>
      </c>
      <c r="K1323" s="200">
        <v>3.8275897321700406E-2</v>
      </c>
      <c r="L1323" s="200">
        <v>3.0543697716176224E-2</v>
      </c>
      <c r="M1323" s="200">
        <v>3.6344083649328993E-2</v>
      </c>
      <c r="N1323" s="200">
        <v>4.3708643261812528E-2</v>
      </c>
    </row>
    <row r="1324" spans="1:14">
      <c r="C1324" s="29">
        <v>2</v>
      </c>
      <c r="D1324" s="34" t="s">
        <v>1769</v>
      </c>
      <c r="E1324" s="200">
        <v>2.8078310349615221E-2</v>
      </c>
      <c r="F1324" s="200">
        <v>4.1631299624038651E-2</v>
      </c>
      <c r="G1324" s="200">
        <v>3.4423135273151953E-2</v>
      </c>
      <c r="H1324" s="200">
        <v>3.7423167431392818E-2</v>
      </c>
      <c r="I1324" s="200">
        <v>4.2603118635446205E-2</v>
      </c>
      <c r="J1324" s="200">
        <v>2.5385759384475119E-2</v>
      </c>
      <c r="K1324" s="200">
        <v>3.6506032034900368E-2</v>
      </c>
      <c r="L1324" s="200">
        <v>3.0752984832926988E-2</v>
      </c>
      <c r="M1324" s="200">
        <v>3.7915602312362684E-2</v>
      </c>
      <c r="N1324" s="200">
        <v>4.1236427366150935E-2</v>
      </c>
    </row>
    <row r="1325" spans="1:14">
      <c r="C1325" s="29">
        <v>3</v>
      </c>
      <c r="D1325" s="34" t="s">
        <v>1770</v>
      </c>
      <c r="E1325" s="200">
        <v>2.6133430629236325E-2</v>
      </c>
      <c r="F1325" s="200">
        <v>3.9934735413384582E-2</v>
      </c>
      <c r="G1325" s="200">
        <v>3.3732283665987135E-2</v>
      </c>
      <c r="H1325" s="200">
        <v>3.652808823996307E-2</v>
      </c>
      <c r="I1325" s="200">
        <v>4.2004673285550916E-2</v>
      </c>
      <c r="J1325" s="200">
        <v>2.2931726321319582E-2</v>
      </c>
      <c r="K1325" s="200">
        <v>3.5647901376542945E-2</v>
      </c>
      <c r="L1325" s="200">
        <v>3.0018306543549245E-2</v>
      </c>
      <c r="M1325" s="200">
        <v>3.7623118525219872E-2</v>
      </c>
      <c r="N1325" s="200">
        <v>3.4456978276755916E-2</v>
      </c>
    </row>
    <row r="1326" spans="1:14">
      <c r="C1326" s="29">
        <v>4</v>
      </c>
      <c r="D1326" s="34" t="s">
        <v>1771</v>
      </c>
      <c r="E1326" s="200">
        <v>2.5201089658047238E-2</v>
      </c>
      <c r="F1326" s="200">
        <v>3.9533348887575426E-2</v>
      </c>
      <c r="G1326" s="200">
        <v>3.3292459271787436E-2</v>
      </c>
      <c r="H1326" s="200">
        <v>3.6273037451548001E-2</v>
      </c>
      <c r="I1326" s="200">
        <v>4.1871868799505677E-2</v>
      </c>
      <c r="J1326" s="200">
        <v>2.2130261922315885E-2</v>
      </c>
      <c r="K1326" s="200">
        <v>3.4405970963745432E-2</v>
      </c>
      <c r="L1326" s="200">
        <v>3.0367609777839664E-2</v>
      </c>
      <c r="M1326" s="200">
        <v>3.8172925997810067E-2</v>
      </c>
      <c r="N1326" s="200">
        <v>3.9358820958728634E-2</v>
      </c>
    </row>
    <row r="1327" spans="1:14">
      <c r="C1327" s="29">
        <v>5</v>
      </c>
      <c r="D1327" s="34" t="s">
        <v>1772</v>
      </c>
      <c r="E1327" s="200">
        <v>2.526900386132484E-2</v>
      </c>
      <c r="F1327" s="200">
        <v>3.8814854942733887E-2</v>
      </c>
      <c r="G1327" s="200">
        <v>3.3342467068573738E-2</v>
      </c>
      <c r="H1327" s="200">
        <v>3.6774718422744483E-2</v>
      </c>
      <c r="I1327" s="200">
        <v>4.2686101977840236E-2</v>
      </c>
      <c r="J1327" s="200">
        <v>2.1295001795471943E-2</v>
      </c>
      <c r="K1327" s="200">
        <v>3.5493349102009707E-2</v>
      </c>
      <c r="L1327" s="200">
        <v>3.2636997260179525E-2</v>
      </c>
      <c r="M1327" s="200">
        <v>3.88698371311701E-2</v>
      </c>
      <c r="N1327" s="200">
        <v>4.1023550071176369E-2</v>
      </c>
    </row>
    <row r="1328" spans="1:14">
      <c r="C1328" s="29">
        <v>6</v>
      </c>
      <c r="D1328" s="34" t="s">
        <v>1773</v>
      </c>
      <c r="E1328" s="200">
        <v>2.5059734107332518E-2</v>
      </c>
      <c r="F1328" s="200">
        <v>3.929419756237313E-2</v>
      </c>
      <c r="G1328" s="200">
        <v>3.5334424429058056E-2</v>
      </c>
      <c r="H1328" s="200">
        <v>3.7778891238272529E-2</v>
      </c>
      <c r="I1328" s="200">
        <v>4.6587938257528549E-2</v>
      </c>
      <c r="J1328" s="200">
        <v>2.1810805700932401E-2</v>
      </c>
      <c r="K1328" s="200">
        <v>3.2250390660829041E-2</v>
      </c>
      <c r="L1328" s="200">
        <v>3.6673311794059159E-2</v>
      </c>
      <c r="M1328" s="200">
        <v>4.3140324482926741E-2</v>
      </c>
      <c r="N1328" s="200">
        <v>5.4835252834957042E-2</v>
      </c>
    </row>
    <row r="1329" spans="3:14">
      <c r="C1329" s="29">
        <v>7</v>
      </c>
      <c r="D1329" s="34" t="s">
        <v>1774</v>
      </c>
      <c r="E1329" s="200">
        <v>2.6122181265241091E-2</v>
      </c>
      <c r="F1329" s="200">
        <v>3.3244252804152247E-2</v>
      </c>
      <c r="G1329" s="200">
        <v>3.6545601340320269E-2</v>
      </c>
      <c r="H1329" s="200">
        <v>3.7196933826701827E-2</v>
      </c>
      <c r="I1329" s="200">
        <v>4.8040504838894146E-2</v>
      </c>
      <c r="J1329" s="200">
        <v>2.5543588702472815E-2</v>
      </c>
      <c r="K1329" s="200">
        <v>2.7874835220344899E-2</v>
      </c>
      <c r="L1329" s="200">
        <v>3.8243072263813793E-2</v>
      </c>
      <c r="M1329" s="200">
        <v>4.2509597070405164E-2</v>
      </c>
      <c r="N1329" s="200">
        <v>5.3077906060027581E-2</v>
      </c>
    </row>
    <row r="1330" spans="3:14">
      <c r="C1330" s="29">
        <v>8</v>
      </c>
      <c r="D1330" s="34" t="s">
        <v>1775</v>
      </c>
      <c r="E1330" s="200">
        <v>3.0508256576447713E-2</v>
      </c>
      <c r="F1330" s="200">
        <v>3.1879688371970874E-2</v>
      </c>
      <c r="G1330" s="200">
        <v>4.0038036821913592E-2</v>
      </c>
      <c r="H1330" s="200">
        <v>4.0077404701978875E-2</v>
      </c>
      <c r="I1330" s="200">
        <v>4.8935821928521042E-2</v>
      </c>
      <c r="J1330" s="200">
        <v>2.9608855173440491E-2</v>
      </c>
      <c r="K1330" s="200">
        <v>2.9173242495741995E-2</v>
      </c>
      <c r="L1330" s="200">
        <v>4.2743973706553078E-2</v>
      </c>
      <c r="M1330" s="200">
        <v>4.5333780533058157E-2</v>
      </c>
      <c r="N1330" s="200">
        <v>5.0516826349663563E-2</v>
      </c>
    </row>
    <row r="1331" spans="3:14">
      <c r="C1331" s="29">
        <v>9</v>
      </c>
      <c r="D1331" s="34" t="s">
        <v>1776</v>
      </c>
      <c r="E1331" s="200">
        <v>3.5422983873765787E-2</v>
      </c>
      <c r="F1331" s="200">
        <v>3.5094011416199881E-2</v>
      </c>
      <c r="G1331" s="200">
        <v>4.225399276334646E-2</v>
      </c>
      <c r="H1331" s="200">
        <v>4.1533046729184168E-2</v>
      </c>
      <c r="I1331" s="200">
        <v>4.6716912743155592E-2</v>
      </c>
      <c r="J1331" s="200">
        <v>3.4600621194550797E-2</v>
      </c>
      <c r="K1331" s="200">
        <v>3.461426734946213E-2</v>
      </c>
      <c r="L1331" s="200">
        <v>4.5966020118021755E-2</v>
      </c>
      <c r="M1331" s="200">
        <v>4.5562924431117306E-2</v>
      </c>
      <c r="N1331" s="200">
        <v>5.4268421820284483E-2</v>
      </c>
    </row>
    <row r="1332" spans="3:14">
      <c r="C1332" s="29">
        <v>10</v>
      </c>
      <c r="D1332" s="34" t="s">
        <v>1777</v>
      </c>
      <c r="E1332" s="200">
        <v>3.9700550662405631E-2</v>
      </c>
      <c r="F1332" s="200">
        <v>3.8232111648656579E-2</v>
      </c>
      <c r="G1332" s="200">
        <v>4.4809087327096271E-2</v>
      </c>
      <c r="H1332" s="200">
        <v>4.2203950686188922E-2</v>
      </c>
      <c r="I1332" s="200">
        <v>4.3398513193837661E-2</v>
      </c>
      <c r="J1332" s="200">
        <v>4.0564144802654203E-2</v>
      </c>
      <c r="K1332" s="200">
        <v>4.0711689750591591E-2</v>
      </c>
      <c r="L1332" s="200">
        <v>4.8243319966222761E-2</v>
      </c>
      <c r="M1332" s="200">
        <v>4.6527672809745416E-2</v>
      </c>
      <c r="N1332" s="200">
        <v>5.0023365996131636E-2</v>
      </c>
    </row>
    <row r="1333" spans="3:14">
      <c r="C1333" s="29">
        <v>11</v>
      </c>
      <c r="D1333" s="34" t="s">
        <v>1778</v>
      </c>
      <c r="E1333" s="200">
        <v>4.2583245858664937E-2</v>
      </c>
      <c r="F1333" s="200">
        <v>4.0548483656911216E-2</v>
      </c>
      <c r="G1333" s="200">
        <v>4.6898106953006821E-2</v>
      </c>
      <c r="H1333" s="200">
        <v>4.3780724684805837E-2</v>
      </c>
      <c r="I1333" s="200">
        <v>4.350279507514259E-2</v>
      </c>
      <c r="J1333" s="200">
        <v>4.4282606873216411E-2</v>
      </c>
      <c r="K1333" s="200">
        <v>4.659665824675592E-2</v>
      </c>
      <c r="L1333" s="200">
        <v>4.9032817847737192E-2</v>
      </c>
      <c r="M1333" s="200">
        <v>4.678094618936024E-2</v>
      </c>
      <c r="N1333" s="200">
        <v>4.5233797488648537E-2</v>
      </c>
    </row>
    <row r="1334" spans="3:14">
      <c r="C1334" s="29">
        <v>12</v>
      </c>
      <c r="D1334" s="34" t="s">
        <v>1779</v>
      </c>
      <c r="E1334" s="200">
        <v>4.6093013364346617E-2</v>
      </c>
      <c r="F1334" s="200">
        <v>4.1520494368649796E-2</v>
      </c>
      <c r="G1334" s="200">
        <v>4.7219071248269122E-2</v>
      </c>
      <c r="H1334" s="200">
        <v>4.4240988751256004E-2</v>
      </c>
      <c r="I1334" s="200">
        <v>4.1005136591048652E-2</v>
      </c>
      <c r="J1334" s="200">
        <v>4.8654698768745612E-2</v>
      </c>
      <c r="K1334" s="200">
        <v>4.783008676625887E-2</v>
      </c>
      <c r="L1334" s="200">
        <v>5.1535456331967794E-2</v>
      </c>
      <c r="M1334" s="200">
        <v>4.6447442283572768E-2</v>
      </c>
      <c r="N1334" s="200">
        <v>3.7677916174941053E-2</v>
      </c>
    </row>
    <row r="1335" spans="3:14">
      <c r="C1335" s="29">
        <v>13</v>
      </c>
      <c r="D1335" s="34" t="s">
        <v>1780</v>
      </c>
      <c r="E1335" s="200">
        <v>4.8748733366667338E-2</v>
      </c>
      <c r="F1335" s="200">
        <v>4.2614042818278922E-2</v>
      </c>
      <c r="G1335" s="200">
        <v>4.7127035320168952E-2</v>
      </c>
      <c r="H1335" s="200">
        <v>4.482070066799107E-2</v>
      </c>
      <c r="I1335" s="200">
        <v>3.8267651576703747E-2</v>
      </c>
      <c r="J1335" s="200">
        <v>5.3267867783573161E-2</v>
      </c>
      <c r="K1335" s="200">
        <v>4.940197939491419E-2</v>
      </c>
      <c r="L1335" s="200">
        <v>5.2355532735687646E-2</v>
      </c>
      <c r="M1335" s="200">
        <v>4.6023538998671322E-2</v>
      </c>
      <c r="N1335" s="200">
        <v>3.2194500094289841E-2</v>
      </c>
    </row>
    <row r="1336" spans="3:14">
      <c r="C1336" s="29">
        <v>14</v>
      </c>
      <c r="D1336" s="34" t="s">
        <v>1781</v>
      </c>
      <c r="E1336" s="200">
        <v>5.1388293052255014E-2</v>
      </c>
      <c r="F1336" s="200">
        <v>4.2617010197161811E-2</v>
      </c>
      <c r="G1336" s="200">
        <v>4.6985781042613896E-2</v>
      </c>
      <c r="H1336" s="200">
        <v>4.4703124063402565E-2</v>
      </c>
      <c r="I1336" s="200">
        <v>3.8374081994828634E-2</v>
      </c>
      <c r="J1336" s="200">
        <v>5.4508294103847367E-2</v>
      </c>
      <c r="K1336" s="200">
        <v>4.9909663880217857E-2</v>
      </c>
      <c r="L1336" s="200">
        <v>5.3148558423636985E-2</v>
      </c>
      <c r="M1336" s="200">
        <v>4.5520784015114696E-2</v>
      </c>
      <c r="N1336" s="200">
        <v>3.0240383443947853E-2</v>
      </c>
    </row>
    <row r="1337" spans="3:14">
      <c r="C1337" s="29">
        <v>15</v>
      </c>
      <c r="D1337" s="34" t="s">
        <v>1782</v>
      </c>
      <c r="E1337" s="200">
        <v>5.3411413600993857E-2</v>
      </c>
      <c r="F1337" s="200">
        <v>4.3671677663671124E-2</v>
      </c>
      <c r="G1337" s="200">
        <v>4.7735619700025461E-2</v>
      </c>
      <c r="H1337" s="200">
        <v>4.5146422168872331E-2</v>
      </c>
      <c r="I1337" s="200">
        <v>3.7553091823886366E-2</v>
      </c>
      <c r="J1337" s="200">
        <v>5.6555957709337946E-2</v>
      </c>
      <c r="K1337" s="200">
        <v>5.1953948794264529E-2</v>
      </c>
      <c r="L1337" s="200">
        <v>5.3396223034676046E-2</v>
      </c>
      <c r="M1337" s="200">
        <v>4.4816978744167339E-2</v>
      </c>
      <c r="N1337" s="200">
        <v>3.055557015385248E-2</v>
      </c>
    </row>
    <row r="1338" spans="3:14">
      <c r="C1338" s="29">
        <v>16</v>
      </c>
      <c r="D1338" s="34" t="s">
        <v>1783</v>
      </c>
      <c r="E1338" s="200">
        <v>5.6306150849710475E-2</v>
      </c>
      <c r="F1338" s="200">
        <v>4.4334027136097506E-2</v>
      </c>
      <c r="G1338" s="200">
        <v>4.7216106561168335E-2</v>
      </c>
      <c r="H1338" s="200">
        <v>4.3619672805205026E-2</v>
      </c>
      <c r="I1338" s="200">
        <v>3.7891034868915437E-2</v>
      </c>
      <c r="J1338" s="200">
        <v>5.7940316688991855E-2</v>
      </c>
      <c r="K1338" s="200">
        <v>5.0697163425051248E-2</v>
      </c>
      <c r="L1338" s="200">
        <v>5.0569139752212423E-2</v>
      </c>
      <c r="M1338" s="200">
        <v>4.3511746145444577E-2</v>
      </c>
      <c r="N1338" s="200">
        <v>3.8707630746688787E-2</v>
      </c>
    </row>
    <row r="1339" spans="3:14">
      <c r="C1339" s="29">
        <v>17</v>
      </c>
      <c r="D1339" s="34" t="s">
        <v>1784</v>
      </c>
      <c r="E1339" s="200">
        <v>5.9213831214722214E-2</v>
      </c>
      <c r="F1339" s="200">
        <v>4.4698959273667745E-2</v>
      </c>
      <c r="G1339" s="200">
        <v>4.7566501907304756E-2</v>
      </c>
      <c r="H1339" s="200">
        <v>4.4775977895847856E-2</v>
      </c>
      <c r="I1339" s="200">
        <v>3.8829478386015401E-2</v>
      </c>
      <c r="J1339" s="200">
        <v>5.9944676692602776E-2</v>
      </c>
      <c r="K1339" s="200">
        <v>4.9969060349031216E-2</v>
      </c>
      <c r="L1339" s="200">
        <v>4.8030114464467512E-2</v>
      </c>
      <c r="M1339" s="200">
        <v>4.0607590686778473E-2</v>
      </c>
      <c r="N1339" s="200">
        <v>3.0575704428305026E-2</v>
      </c>
    </row>
    <row r="1340" spans="3:14">
      <c r="C1340" s="29">
        <v>18</v>
      </c>
      <c r="D1340" s="34" t="s">
        <v>1785</v>
      </c>
      <c r="E1340" s="200">
        <v>5.9108409842142579E-2</v>
      </c>
      <c r="F1340" s="200">
        <v>4.4239958452258442E-2</v>
      </c>
      <c r="G1340" s="200">
        <v>4.7212676156936771E-2</v>
      </c>
      <c r="H1340" s="200">
        <v>4.4888502137056162E-2</v>
      </c>
      <c r="I1340" s="200">
        <v>3.8162186443237107E-2</v>
      </c>
      <c r="J1340" s="200">
        <v>6.2722492164158997E-2</v>
      </c>
      <c r="K1340" s="200">
        <v>4.5322261812861045E-2</v>
      </c>
      <c r="L1340" s="200">
        <v>4.6295328249411481E-2</v>
      </c>
      <c r="M1340" s="200">
        <v>4.0578549132191805E-2</v>
      </c>
      <c r="N1340" s="200">
        <v>3.5095337154568376E-2</v>
      </c>
    </row>
    <row r="1341" spans="3:14">
      <c r="C1341" s="29">
        <v>19</v>
      </c>
      <c r="D1341" s="34" t="s">
        <v>1786</v>
      </c>
      <c r="E1341" s="200">
        <v>5.7921913132795197E-2</v>
      </c>
      <c r="F1341" s="200">
        <v>4.2041879477882203E-2</v>
      </c>
      <c r="G1341" s="200">
        <v>4.6814976445163421E-2</v>
      </c>
      <c r="H1341" s="200">
        <v>4.4561346014474347E-2</v>
      </c>
      <c r="I1341" s="200">
        <v>3.8430597854657959E-2</v>
      </c>
      <c r="J1341" s="200">
        <v>6.2246389023158738E-2</v>
      </c>
      <c r="K1341" s="200">
        <v>4.2800446106486728E-2</v>
      </c>
      <c r="L1341" s="200">
        <v>4.4250145465318545E-2</v>
      </c>
      <c r="M1341" s="200">
        <v>4.0312004537721359E-2</v>
      </c>
      <c r="N1341" s="200">
        <v>3.5500274952286894E-2</v>
      </c>
    </row>
    <row r="1342" spans="3:14">
      <c r="C1342" s="29">
        <v>20</v>
      </c>
      <c r="D1342" s="34" t="s">
        <v>1787</v>
      </c>
      <c r="E1342" s="200">
        <v>5.5723503154997626E-2</v>
      </c>
      <c r="F1342" s="200">
        <v>4.1907085598813877E-2</v>
      </c>
      <c r="G1342" s="200">
        <v>4.3130216826991495E-2</v>
      </c>
      <c r="H1342" s="200">
        <v>4.2336559631204938E-2</v>
      </c>
      <c r="I1342" s="200">
        <v>3.8795849114050839E-2</v>
      </c>
      <c r="J1342" s="200">
        <v>5.5267567746506367E-2</v>
      </c>
      <c r="K1342" s="200">
        <v>4.1612656871317752E-2</v>
      </c>
      <c r="L1342" s="200">
        <v>4.1763004130784154E-2</v>
      </c>
      <c r="M1342" s="200">
        <v>3.873376409054001E-2</v>
      </c>
      <c r="N1342" s="200">
        <v>3.94962800392284E-2</v>
      </c>
    </row>
    <row r="1343" spans="3:14">
      <c r="C1343" s="29">
        <v>21</v>
      </c>
      <c r="D1343" s="34" t="s">
        <v>1788</v>
      </c>
      <c r="E1343" s="200">
        <v>5.1117905779259662E-2</v>
      </c>
      <c r="F1343" s="200">
        <v>4.9815205786754899E-2</v>
      </c>
      <c r="G1343" s="200">
        <v>4.4063366290658025E-2</v>
      </c>
      <c r="H1343" s="200">
        <v>4.4196952102534798E-2</v>
      </c>
      <c r="I1343" s="200">
        <v>3.910452223718483E-2</v>
      </c>
      <c r="J1343" s="200">
        <v>5.4265255594293633E-2</v>
      </c>
      <c r="K1343" s="200">
        <v>4.7380163770288843E-2</v>
      </c>
      <c r="L1343" s="200">
        <v>4.0636550337501458E-2</v>
      </c>
      <c r="M1343" s="200">
        <v>3.9013579899866091E-2</v>
      </c>
      <c r="N1343" s="200">
        <v>4.9484176951470199E-2</v>
      </c>
    </row>
    <row r="1344" spans="3:14">
      <c r="C1344" s="29">
        <v>22</v>
      </c>
      <c r="D1344" s="34" t="s">
        <v>1789</v>
      </c>
      <c r="E1344" s="200">
        <v>4.779569269872401E-2</v>
      </c>
      <c r="F1344" s="200">
        <v>5.005944602807879E-2</v>
      </c>
      <c r="G1344" s="200">
        <v>4.2803487862366554E-2</v>
      </c>
      <c r="H1344" s="200">
        <v>4.4370104704305462E-2</v>
      </c>
      <c r="I1344" s="200">
        <v>4.0645147689953927E-2</v>
      </c>
      <c r="J1344" s="200">
        <v>4.6521060890393706E-2</v>
      </c>
      <c r="K1344" s="200">
        <v>4.6921014818683229E-2</v>
      </c>
      <c r="L1344" s="200">
        <v>3.816583850150676E-2</v>
      </c>
      <c r="M1344" s="200">
        <v>3.942257461223491E-2</v>
      </c>
      <c r="N1344" s="200">
        <v>4.4514765009470283E-2</v>
      </c>
    </row>
    <row r="1345" spans="1:14">
      <c r="C1345" s="29">
        <v>23</v>
      </c>
      <c r="D1345" s="34" t="s">
        <v>1790</v>
      </c>
      <c r="E1345" s="200">
        <v>4.2316555734199811E-2</v>
      </c>
      <c r="F1345" s="200">
        <v>4.7099762917520265E-2</v>
      </c>
      <c r="G1345" s="200">
        <v>3.9391490816421668E-2</v>
      </c>
      <c r="H1345" s="200">
        <v>4.2911655808555611E-2</v>
      </c>
      <c r="I1345" s="200">
        <v>4.089381747320299E-2</v>
      </c>
      <c r="J1345" s="200">
        <v>3.8541242010316785E-2</v>
      </c>
      <c r="K1345" s="200">
        <v>4.4086684463184742E-2</v>
      </c>
      <c r="L1345" s="200">
        <v>3.3623812915183439E-2</v>
      </c>
      <c r="M1345" s="200">
        <v>3.8275217764262202E-2</v>
      </c>
      <c r="N1345" s="200">
        <v>4.5990846208064318E-2</v>
      </c>
    </row>
    <row r="1346" spans="1:14">
      <c r="C1346" s="29">
        <v>24</v>
      </c>
      <c r="D1346" s="34" t="s">
        <v>1791</v>
      </c>
      <c r="E1346" s="200">
        <v>3.6342957666370503E-2</v>
      </c>
      <c r="F1346" s="200">
        <v>4.4649512203123805E-2</v>
      </c>
      <c r="G1346" s="200">
        <v>3.6630515204005919E-2</v>
      </c>
      <c r="H1346" s="200">
        <v>4.0415102175316894E-2</v>
      </c>
      <c r="I1346" s="200">
        <v>4.168058674609984E-2</v>
      </c>
      <c r="J1346" s="200">
        <v>3.2135737887429267E-2</v>
      </c>
      <c r="K1346" s="200">
        <v>4.0564635024815374E-2</v>
      </c>
      <c r="L1346" s="200">
        <v>3.1008183830566308E-2</v>
      </c>
      <c r="M1346" s="200">
        <v>3.7955415956929563E-2</v>
      </c>
      <c r="N1346" s="200">
        <v>4.2226624158549435E-2</v>
      </c>
    </row>
    <row r="1347" spans="1:14">
      <c r="A1347" s="16" t="s">
        <v>438</v>
      </c>
      <c r="B1347" s="16" t="s">
        <v>423</v>
      </c>
      <c r="C1347" s="29">
        <v>1</v>
      </c>
      <c r="D1347" s="34" t="s">
        <v>1792</v>
      </c>
      <c r="E1347" s="199">
        <v>2.8989057014209795E-2</v>
      </c>
      <c r="F1347" s="199">
        <v>4.2660040390023156E-2</v>
      </c>
      <c r="G1347" s="199">
        <v>3.6338300853071694E-2</v>
      </c>
      <c r="H1347" s="199">
        <v>4.3768087385934018E-2</v>
      </c>
      <c r="I1347" s="199">
        <v>4.0375453810048326E-2</v>
      </c>
      <c r="J1347" s="199">
        <v>2.8354185160821679E-2</v>
      </c>
      <c r="K1347" s="199">
        <v>4.2386141789293924E-2</v>
      </c>
      <c r="L1347" s="199">
        <v>3.4098123115524848E-2</v>
      </c>
      <c r="M1347" s="199">
        <v>4.1213387090825435E-2</v>
      </c>
      <c r="N1347" s="199">
        <v>4.1001383987426573E-2</v>
      </c>
    </row>
    <row r="1348" spans="1:14">
      <c r="C1348" s="29">
        <v>2</v>
      </c>
      <c r="D1348" s="34" t="s">
        <v>1793</v>
      </c>
      <c r="E1348" s="199">
        <v>2.6582833249234293E-2</v>
      </c>
      <c r="F1348" s="199">
        <v>4.1855002027121752E-2</v>
      </c>
      <c r="G1348" s="199">
        <v>3.4977120768471974E-2</v>
      </c>
      <c r="H1348" s="199">
        <v>4.3320480046013944E-2</v>
      </c>
      <c r="I1348" s="199">
        <v>4.2022043429334917E-2</v>
      </c>
      <c r="J1348" s="199">
        <v>2.4553313762857795E-2</v>
      </c>
      <c r="K1348" s="199">
        <v>4.1468714032245176E-2</v>
      </c>
      <c r="L1348" s="199">
        <v>3.4073645029415837E-2</v>
      </c>
      <c r="M1348" s="199">
        <v>4.1630641770503123E-2</v>
      </c>
      <c r="N1348" s="199">
        <v>4.4610218356683481E-2</v>
      </c>
    </row>
    <row r="1349" spans="1:14">
      <c r="C1349" s="29">
        <v>3</v>
      </c>
      <c r="D1349" s="34" t="s">
        <v>1794</v>
      </c>
      <c r="E1349" s="199">
        <v>2.5348306372017685E-2</v>
      </c>
      <c r="F1349" s="199">
        <v>4.0992196059367575E-2</v>
      </c>
      <c r="G1349" s="199">
        <v>3.4375859192444402E-2</v>
      </c>
      <c r="H1349" s="199">
        <v>4.2723646112755906E-2</v>
      </c>
      <c r="I1349" s="199">
        <v>4.3056387279308293E-2</v>
      </c>
      <c r="J1349" s="199">
        <v>2.3144137101150843E-2</v>
      </c>
      <c r="K1349" s="199">
        <v>4.0592479260719731E-2</v>
      </c>
      <c r="L1349" s="199">
        <v>3.3823180956377173E-2</v>
      </c>
      <c r="M1349" s="199">
        <v>4.0279878016822188E-2</v>
      </c>
      <c r="N1349" s="199">
        <v>4.2203305937422837E-2</v>
      </c>
    </row>
    <row r="1350" spans="1:14">
      <c r="C1350" s="29">
        <v>4</v>
      </c>
      <c r="D1350" s="34" t="s">
        <v>1795</v>
      </c>
      <c r="E1350" s="199">
        <v>2.479404565022985E-2</v>
      </c>
      <c r="F1350" s="199">
        <v>4.1176053834327327E-2</v>
      </c>
      <c r="G1350" s="199">
        <v>3.4639527585939987E-2</v>
      </c>
      <c r="H1350" s="199">
        <v>4.2436421140627234E-2</v>
      </c>
      <c r="I1350" s="199">
        <v>4.3705173178869204E-2</v>
      </c>
      <c r="J1350" s="199">
        <v>2.1924392277639971E-2</v>
      </c>
      <c r="K1350" s="199">
        <v>3.9175864796712874E-2</v>
      </c>
      <c r="L1350" s="199">
        <v>3.3067567348858441E-2</v>
      </c>
      <c r="M1350" s="199">
        <v>4.0932790840779339E-2</v>
      </c>
      <c r="N1350" s="199">
        <v>3.954733203756583E-2</v>
      </c>
    </row>
    <row r="1351" spans="1:14">
      <c r="C1351" s="29">
        <v>5</v>
      </c>
      <c r="D1351" s="34" t="s">
        <v>1796</v>
      </c>
      <c r="E1351" s="199">
        <v>2.4816207393382552E-2</v>
      </c>
      <c r="F1351" s="199">
        <v>4.0247976458613409E-2</v>
      </c>
      <c r="G1351" s="199">
        <v>3.5930844956115114E-2</v>
      </c>
      <c r="H1351" s="199">
        <v>4.2897502338004025E-2</v>
      </c>
      <c r="I1351" s="199">
        <v>4.4178457230025787E-2</v>
      </c>
      <c r="J1351" s="199">
        <v>2.0874803090541925E-2</v>
      </c>
      <c r="K1351" s="199">
        <v>3.9846841703946138E-2</v>
      </c>
      <c r="L1351" s="199">
        <v>3.3002784699271939E-2</v>
      </c>
      <c r="M1351" s="199">
        <v>4.0212034094725249E-2</v>
      </c>
      <c r="N1351" s="199">
        <v>4.2156851965169238E-2</v>
      </c>
    </row>
    <row r="1352" spans="1:14">
      <c r="C1352" s="29">
        <v>6</v>
      </c>
      <c r="D1352" s="34" t="s">
        <v>1797</v>
      </c>
      <c r="E1352" s="199">
        <v>2.520957175425298E-2</v>
      </c>
      <c r="F1352" s="199">
        <v>4.1480571011386663E-2</v>
      </c>
      <c r="G1352" s="199">
        <v>3.8462095073738267E-2</v>
      </c>
      <c r="H1352" s="199">
        <v>4.3521718626738655E-2</v>
      </c>
      <c r="I1352" s="199">
        <v>4.5934518299307156E-2</v>
      </c>
      <c r="J1352" s="199">
        <v>2.2731791813079195E-2</v>
      </c>
      <c r="K1352" s="199">
        <v>4.0451616534000201E-2</v>
      </c>
      <c r="L1352" s="199">
        <v>3.4116112495078454E-2</v>
      </c>
      <c r="M1352" s="199">
        <v>4.1639765273617735E-2</v>
      </c>
      <c r="N1352" s="199">
        <v>4.7291678013795212E-2</v>
      </c>
    </row>
    <row r="1353" spans="1:14">
      <c r="C1353" s="29">
        <v>7</v>
      </c>
      <c r="D1353" s="34" t="s">
        <v>1798</v>
      </c>
      <c r="E1353" s="199">
        <v>2.6426516630963643E-2</v>
      </c>
      <c r="F1353" s="199">
        <v>3.8668980660465771E-2</v>
      </c>
      <c r="G1353" s="199">
        <v>3.8348058850691022E-2</v>
      </c>
      <c r="H1353" s="199">
        <v>3.9161984018266496E-2</v>
      </c>
      <c r="I1353" s="199">
        <v>4.6943939397399638E-2</v>
      </c>
      <c r="J1353" s="199">
        <v>2.8007307032687025E-2</v>
      </c>
      <c r="K1353" s="199">
        <v>3.8591201990105663E-2</v>
      </c>
      <c r="L1353" s="199">
        <v>3.6331148081158948E-2</v>
      </c>
      <c r="M1353" s="199">
        <v>4.1047416980974576E-2</v>
      </c>
      <c r="N1353" s="199">
        <v>4.7398650004947987E-2</v>
      </c>
    </row>
    <row r="1354" spans="1:14">
      <c r="C1354" s="29">
        <v>8</v>
      </c>
      <c r="D1354" s="34" t="s">
        <v>1799</v>
      </c>
      <c r="E1354" s="199">
        <v>2.9994205243732943E-2</v>
      </c>
      <c r="F1354" s="199">
        <v>3.528456107547543E-2</v>
      </c>
      <c r="G1354" s="199">
        <v>4.1913554157895473E-2</v>
      </c>
      <c r="H1354" s="199">
        <v>4.0452359410076855E-2</v>
      </c>
      <c r="I1354" s="199">
        <v>4.947444271088447E-2</v>
      </c>
      <c r="J1354" s="199">
        <v>3.2929003252995713E-2</v>
      </c>
      <c r="K1354" s="199">
        <v>3.626349715143827E-2</v>
      </c>
      <c r="L1354" s="199">
        <v>3.9484465551717932E-2</v>
      </c>
      <c r="M1354" s="199">
        <v>4.2484562838612988E-2</v>
      </c>
      <c r="N1354" s="199">
        <v>5.0540984208803187E-2</v>
      </c>
    </row>
    <row r="1355" spans="1:14">
      <c r="C1355" s="29">
        <v>9</v>
      </c>
      <c r="D1355" s="34" t="s">
        <v>1800</v>
      </c>
      <c r="E1355" s="199">
        <v>3.8504906822470902E-2</v>
      </c>
      <c r="F1355" s="199">
        <v>3.4045820411597032E-2</v>
      </c>
      <c r="G1355" s="199">
        <v>4.4267023294457544E-2</v>
      </c>
      <c r="H1355" s="199">
        <v>4.1926587760087106E-2</v>
      </c>
      <c r="I1355" s="199">
        <v>4.9029804930316091E-2</v>
      </c>
      <c r="J1355" s="199">
        <v>3.709812922375836E-2</v>
      </c>
      <c r="K1355" s="199">
        <v>3.5346776457713829E-2</v>
      </c>
      <c r="L1355" s="199">
        <v>4.197008765944224E-2</v>
      </c>
      <c r="M1355" s="199">
        <v>4.2558424390423809E-2</v>
      </c>
      <c r="N1355" s="199">
        <v>5.194508748391051E-2</v>
      </c>
    </row>
    <row r="1356" spans="1:14">
      <c r="C1356" s="29">
        <v>10</v>
      </c>
      <c r="D1356" s="34" t="s">
        <v>1801</v>
      </c>
      <c r="E1356" s="199">
        <v>4.3439036666926459E-2</v>
      </c>
      <c r="F1356" s="199">
        <v>3.4323198347458166E-2</v>
      </c>
      <c r="G1356" s="199">
        <v>4.5535229074983495E-2</v>
      </c>
      <c r="H1356" s="199">
        <v>3.9984541283971685E-2</v>
      </c>
      <c r="I1356" s="199">
        <v>4.6278422487113904E-2</v>
      </c>
      <c r="J1356" s="199">
        <v>4.3525793093608788E-2</v>
      </c>
      <c r="K1356" s="199">
        <v>3.9148132201881868E-2</v>
      </c>
      <c r="L1356" s="199">
        <v>4.4136539987474549E-2</v>
      </c>
      <c r="M1356" s="199">
        <v>4.2820094224434294E-2</v>
      </c>
      <c r="N1356" s="199">
        <v>4.6640725745720507E-2</v>
      </c>
    </row>
    <row r="1357" spans="1:14">
      <c r="C1357" s="29">
        <v>11</v>
      </c>
      <c r="D1357" s="34" t="s">
        <v>1802</v>
      </c>
      <c r="E1357" s="199">
        <v>4.5452030962876734E-2</v>
      </c>
      <c r="F1357" s="199">
        <v>3.6762722694518177E-2</v>
      </c>
      <c r="G1357" s="199">
        <v>4.7417758423752066E-2</v>
      </c>
      <c r="H1357" s="199">
        <v>4.0748784274124907E-2</v>
      </c>
      <c r="I1357" s="199">
        <v>4.5960533283342195E-2</v>
      </c>
      <c r="J1357" s="199">
        <v>4.4798159070942888E-2</v>
      </c>
      <c r="K1357" s="199">
        <v>4.3419554119058928E-2</v>
      </c>
      <c r="L1357" s="199">
        <v>4.7095748174342734E-2</v>
      </c>
      <c r="M1357" s="199">
        <v>4.3152228561223555E-2</v>
      </c>
      <c r="N1357" s="199">
        <v>4.4584988309367773E-2</v>
      </c>
    </row>
    <row r="1358" spans="1:14">
      <c r="C1358" s="29">
        <v>12</v>
      </c>
      <c r="D1358" s="34" t="s">
        <v>1803</v>
      </c>
      <c r="E1358" s="199">
        <v>4.7533606246953207E-2</v>
      </c>
      <c r="F1358" s="199">
        <v>3.8854955267041302E-2</v>
      </c>
      <c r="G1358" s="199">
        <v>4.7757923011313541E-2</v>
      </c>
      <c r="H1358" s="199">
        <v>4.033348521606344E-2</v>
      </c>
      <c r="I1358" s="199">
        <v>4.3808289823603519E-2</v>
      </c>
      <c r="J1358" s="199">
        <v>4.6073121581427658E-2</v>
      </c>
      <c r="K1358" s="199">
        <v>4.6835769851725939E-2</v>
      </c>
      <c r="L1358" s="199">
        <v>4.9147149022692641E-2</v>
      </c>
      <c r="M1358" s="199">
        <v>4.3348189761100095E-2</v>
      </c>
      <c r="N1358" s="199">
        <v>4.3170230453468336E-2</v>
      </c>
    </row>
    <row r="1359" spans="1:14">
      <c r="C1359" s="29">
        <v>13</v>
      </c>
      <c r="D1359" s="34" t="s">
        <v>1804</v>
      </c>
      <c r="E1359" s="199">
        <v>4.7097635803269908E-2</v>
      </c>
      <c r="F1359" s="199">
        <v>3.9849311370587302E-2</v>
      </c>
      <c r="G1359" s="199">
        <v>4.8395643880875278E-2</v>
      </c>
      <c r="H1359" s="199">
        <v>4.1365032152535654E-2</v>
      </c>
      <c r="I1359" s="199">
        <v>4.0822871817918154E-2</v>
      </c>
      <c r="J1359" s="199">
        <v>5.1799484144385399E-2</v>
      </c>
      <c r="K1359" s="199">
        <v>4.4941913831344917E-2</v>
      </c>
      <c r="L1359" s="199">
        <v>4.9943559440393054E-2</v>
      </c>
      <c r="M1359" s="199">
        <v>4.2411089520977253E-2</v>
      </c>
      <c r="N1359" s="199">
        <v>4.045791513038266E-2</v>
      </c>
    </row>
    <row r="1360" spans="1:14">
      <c r="C1360" s="29">
        <v>14</v>
      </c>
      <c r="D1360" s="34" t="s">
        <v>1805</v>
      </c>
      <c r="E1360" s="199">
        <v>5.0340550913429989E-2</v>
      </c>
      <c r="F1360" s="199">
        <v>4.0742716504318578E-2</v>
      </c>
      <c r="G1360" s="199">
        <v>4.7089519192849122E-2</v>
      </c>
      <c r="H1360" s="199">
        <v>4.2424540965235277E-2</v>
      </c>
      <c r="I1360" s="199">
        <v>4.0001711825667044E-2</v>
      </c>
      <c r="J1360" s="199">
        <v>5.1770346870719755E-2</v>
      </c>
      <c r="K1360" s="199">
        <v>4.3170903516678953E-2</v>
      </c>
      <c r="L1360" s="199">
        <v>5.127590718643641E-2</v>
      </c>
      <c r="M1360" s="199">
        <v>4.3788544374195625E-2</v>
      </c>
      <c r="N1360" s="199">
        <v>3.8793499137362519E-2</v>
      </c>
    </row>
    <row r="1361" spans="1:14">
      <c r="C1361" s="29">
        <v>15</v>
      </c>
      <c r="D1361" s="34" t="s">
        <v>1806</v>
      </c>
      <c r="E1361" s="199">
        <v>5.0745680475237781E-2</v>
      </c>
      <c r="F1361" s="199">
        <v>4.0547165059536476E-2</v>
      </c>
      <c r="G1361" s="199">
        <v>4.6464680192927925E-2</v>
      </c>
      <c r="H1361" s="199">
        <v>4.2437580182128884E-2</v>
      </c>
      <c r="I1361" s="199">
        <v>3.7491514100866055E-2</v>
      </c>
      <c r="J1361" s="199">
        <v>5.5620214345753601E-2</v>
      </c>
      <c r="K1361" s="199">
        <v>4.223778942884289E-2</v>
      </c>
      <c r="L1361" s="199">
        <v>5.0163131303601269E-2</v>
      </c>
      <c r="M1361" s="199">
        <v>4.2686735785290961E-2</v>
      </c>
      <c r="N1361" s="199">
        <v>3.5896049818433161E-2</v>
      </c>
    </row>
    <row r="1362" spans="1:14">
      <c r="C1362" s="29">
        <v>16</v>
      </c>
      <c r="D1362" s="34" t="s">
        <v>1807</v>
      </c>
      <c r="E1362" s="199">
        <v>5.4062203762291469E-2</v>
      </c>
      <c r="F1362" s="199">
        <v>4.39584173101117E-2</v>
      </c>
      <c r="G1362" s="199">
        <v>4.6042298966778396E-2</v>
      </c>
      <c r="H1362" s="199">
        <v>4.2629908631309624E-2</v>
      </c>
      <c r="I1362" s="199">
        <v>3.8265559169740719E-2</v>
      </c>
      <c r="J1362" s="199">
        <v>5.4282417171545527E-2</v>
      </c>
      <c r="K1362" s="199">
        <v>4.0575457365875395E-2</v>
      </c>
      <c r="L1362" s="199">
        <v>5.0062533977142297E-2</v>
      </c>
      <c r="M1362" s="199">
        <v>4.231781626041195E-2</v>
      </c>
      <c r="N1362" s="199">
        <v>3.4953076800008316E-2</v>
      </c>
    </row>
    <row r="1363" spans="1:14">
      <c r="C1363" s="29">
        <v>17</v>
      </c>
      <c r="D1363" s="34" t="s">
        <v>1808</v>
      </c>
      <c r="E1363" s="199">
        <v>5.6767282055327939E-2</v>
      </c>
      <c r="F1363" s="199">
        <v>4.308756738221755E-2</v>
      </c>
      <c r="G1363" s="199">
        <v>4.5545732084415577E-2</v>
      </c>
      <c r="H1363" s="199">
        <v>4.2070598666667632E-2</v>
      </c>
      <c r="I1363" s="199">
        <v>3.7924236621571052E-2</v>
      </c>
      <c r="J1363" s="199">
        <v>5.7305544175843451E-2</v>
      </c>
      <c r="K1363" s="199">
        <v>3.8833881835524865E-2</v>
      </c>
      <c r="L1363" s="199">
        <v>4.8930993053280254E-2</v>
      </c>
      <c r="M1363" s="199">
        <v>4.0922696752227004E-2</v>
      </c>
      <c r="N1363" s="199">
        <v>3.3256270881380168E-2</v>
      </c>
    </row>
    <row r="1364" spans="1:14">
      <c r="C1364" s="29">
        <v>18</v>
      </c>
      <c r="D1364" s="34" t="s">
        <v>1809</v>
      </c>
      <c r="E1364" s="199">
        <v>6.0697961333482854E-2</v>
      </c>
      <c r="F1364" s="199">
        <v>4.0941114722652945E-2</v>
      </c>
      <c r="G1364" s="199">
        <v>4.372079848163378E-2</v>
      </c>
      <c r="H1364" s="199">
        <v>4.1160678647775256E-2</v>
      </c>
      <c r="I1364" s="199">
        <v>3.90624914669363E-2</v>
      </c>
      <c r="J1364" s="199">
        <v>6.1110788682271593E-2</v>
      </c>
      <c r="K1364" s="199">
        <v>3.8481397674594423E-2</v>
      </c>
      <c r="L1364" s="199">
        <v>4.7766904180673621E-2</v>
      </c>
      <c r="M1364" s="199">
        <v>4.0596774162239176E-2</v>
      </c>
      <c r="N1364" s="199">
        <v>3.7548276971027118E-2</v>
      </c>
    </row>
    <row r="1365" spans="1:14">
      <c r="C1365" s="29">
        <v>19</v>
      </c>
      <c r="D1365" s="34" t="s">
        <v>1810</v>
      </c>
      <c r="E1365" s="199">
        <v>5.9013310238972078E-2</v>
      </c>
      <c r="F1365" s="199">
        <v>4.3230621402928243E-2</v>
      </c>
      <c r="G1365" s="199">
        <v>4.3314019597112514E-2</v>
      </c>
      <c r="H1365" s="199">
        <v>4.0802245063388705E-2</v>
      </c>
      <c r="I1365" s="199">
        <v>3.8869613197897876E-2</v>
      </c>
      <c r="J1365" s="199">
        <v>6.2534710199820209E-2</v>
      </c>
      <c r="K1365" s="199">
        <v>3.965273972765964E-2</v>
      </c>
      <c r="L1365" s="199">
        <v>4.4117223033476281E-2</v>
      </c>
      <c r="M1365" s="199">
        <v>4.0182237121787118E-2</v>
      </c>
      <c r="N1365" s="199">
        <v>4.0372081827521424E-2</v>
      </c>
    </row>
    <row r="1366" spans="1:14">
      <c r="C1366" s="29">
        <v>20</v>
      </c>
      <c r="D1366" s="34" t="s">
        <v>1811</v>
      </c>
      <c r="E1366" s="199">
        <v>5.8170545470708532E-2</v>
      </c>
      <c r="F1366" s="199">
        <v>4.9857501465102962E-2</v>
      </c>
      <c r="G1366" s="199">
        <v>4.2029018939292444E-2</v>
      </c>
      <c r="H1366" s="199">
        <v>4.0408388273107845E-2</v>
      </c>
      <c r="I1366" s="199">
        <v>3.7121197753695503E-2</v>
      </c>
      <c r="J1366" s="199">
        <v>6.0457534027584921E-2</v>
      </c>
      <c r="K1366" s="199">
        <v>4.605734550672911E-2</v>
      </c>
      <c r="L1366" s="199">
        <v>4.5026387779572817E-2</v>
      </c>
      <c r="M1366" s="199">
        <v>4.0675682758326163E-2</v>
      </c>
      <c r="N1366" s="199">
        <v>3.8181500016663761E-2</v>
      </c>
    </row>
    <row r="1367" spans="1:14">
      <c r="C1367" s="29">
        <v>21</v>
      </c>
      <c r="D1367" s="34" t="s">
        <v>1812</v>
      </c>
      <c r="E1367" s="199">
        <v>5.4357531362107241E-2</v>
      </c>
      <c r="F1367" s="199">
        <v>5.1729539753068522E-2</v>
      </c>
      <c r="G1367" s="199">
        <v>4.0602578582603535E-2</v>
      </c>
      <c r="H1367" s="199">
        <v>4.0898155747650586E-2</v>
      </c>
      <c r="I1367" s="199">
        <v>3.8085042982810548E-2</v>
      </c>
      <c r="J1367" s="199">
        <v>5.3981773157240245E-2</v>
      </c>
      <c r="K1367" s="199">
        <v>4.6987002840535246E-2</v>
      </c>
      <c r="L1367" s="199">
        <v>4.2775701598854583E-2</v>
      </c>
      <c r="M1367" s="199">
        <v>4.087639982684755E-2</v>
      </c>
      <c r="N1367" s="199">
        <v>3.6809019537347415E-2</v>
      </c>
    </row>
    <row r="1368" spans="1:14">
      <c r="C1368" s="29">
        <v>22</v>
      </c>
      <c r="D1368" s="34" t="s">
        <v>1813</v>
      </c>
      <c r="E1368" s="199">
        <v>4.8446472004135183E-2</v>
      </c>
      <c r="F1368" s="199">
        <v>4.8823918281890699E-2</v>
      </c>
      <c r="G1368" s="199">
        <v>4.0450573763070014E-2</v>
      </c>
      <c r="H1368" s="199">
        <v>4.2376585623104333E-2</v>
      </c>
      <c r="I1368" s="199">
        <v>3.8980673349207774E-2</v>
      </c>
      <c r="J1368" s="199">
        <v>4.6387359633557688E-2</v>
      </c>
      <c r="K1368" s="199">
        <v>4.6291592967317725E-2</v>
      </c>
      <c r="L1368" s="199">
        <v>3.8863190544746296E-2</v>
      </c>
      <c r="M1368" s="199">
        <v>4.1851644074672956E-2</v>
      </c>
      <c r="N1368" s="199">
        <v>3.9665810975974096E-2</v>
      </c>
    </row>
    <row r="1369" spans="1:14">
      <c r="C1369" s="29">
        <v>23</v>
      </c>
      <c r="D1369" s="34" t="s">
        <v>1814</v>
      </c>
      <c r="E1369" s="199">
        <v>4.0009223970175596E-2</v>
      </c>
      <c r="F1369" s="199">
        <v>4.6625260175029271E-2</v>
      </c>
      <c r="G1369" s="199">
        <v>3.8894178074419368E-2</v>
      </c>
      <c r="H1369" s="199">
        <v>4.2039956506967652E-2</v>
      </c>
      <c r="I1369" s="199">
        <v>3.8343455181097552E-2</v>
      </c>
      <c r="J1369" s="199">
        <v>3.8177920191187702E-2</v>
      </c>
      <c r="K1369" s="199">
        <v>4.5560149052091263E-2</v>
      </c>
      <c r="L1369" s="199">
        <v>3.6086874383339802E-2</v>
      </c>
      <c r="M1369" s="199">
        <v>4.1499806853497891E-2</v>
      </c>
      <c r="N1369" s="199">
        <v>4.0230333284663203E-2</v>
      </c>
    </row>
    <row r="1370" spans="1:14">
      <c r="C1370" s="29">
        <v>24</v>
      </c>
      <c r="D1370" s="34" t="s">
        <v>1815</v>
      </c>
      <c r="E1370" s="199">
        <v>3.3201278603610142E-2</v>
      </c>
      <c r="F1370" s="199">
        <v>4.4254788335159959E-2</v>
      </c>
      <c r="G1370" s="199">
        <v>3.7487663001147434E-2</v>
      </c>
      <c r="H1370" s="199">
        <v>4.011073192746429E-2</v>
      </c>
      <c r="I1370" s="199">
        <v>3.426416667303802E-2</v>
      </c>
      <c r="J1370" s="199">
        <v>3.2557770938578194E-2</v>
      </c>
      <c r="K1370" s="199">
        <v>4.3683236363962985E-2</v>
      </c>
      <c r="L1370" s="199">
        <v>3.4641041397127405E-2</v>
      </c>
      <c r="M1370" s="199">
        <v>4.0871158665483839E-2</v>
      </c>
      <c r="N1370" s="199">
        <v>4.2744729114954659E-2</v>
      </c>
    </row>
    <row r="1371" spans="1:14">
      <c r="A1371" s="16" t="s">
        <v>438</v>
      </c>
      <c r="B1371" s="16" t="s">
        <v>308</v>
      </c>
      <c r="C1371" s="29">
        <v>1</v>
      </c>
      <c r="D1371" s="34" t="s">
        <v>1816</v>
      </c>
      <c r="E1371" s="199">
        <v>3.1141486082995849E-2</v>
      </c>
      <c r="F1371" s="199">
        <v>3.5191428564366467E-2</v>
      </c>
      <c r="G1371" s="199">
        <v>3.1045382511264596E-2</v>
      </c>
      <c r="H1371" s="199">
        <v>2.9223192627475737E-2</v>
      </c>
      <c r="I1371" s="199">
        <v>4.0469278480747078E-2</v>
      </c>
      <c r="J1371" s="199">
        <v>2.9403313830409037E-2</v>
      </c>
      <c r="K1371" s="199">
        <v>3.4533240695771954E-2</v>
      </c>
      <c r="L1371" s="199">
        <v>2.4957723751484948E-2</v>
      </c>
      <c r="M1371" s="199">
        <v>3.3235584597446015E-2</v>
      </c>
      <c r="N1371" s="199">
        <v>4.1173572571779352E-2</v>
      </c>
    </row>
    <row r="1372" spans="1:14">
      <c r="C1372" s="29">
        <v>2</v>
      </c>
      <c r="D1372" s="34" t="s">
        <v>1817</v>
      </c>
      <c r="E1372" s="199">
        <v>2.8427577321948398E-2</v>
      </c>
      <c r="F1372" s="199">
        <v>3.4613274602905059E-2</v>
      </c>
      <c r="G1372" s="199">
        <v>3.0258665599303902E-2</v>
      </c>
      <c r="H1372" s="199">
        <v>2.8971033008874304E-2</v>
      </c>
      <c r="I1372" s="199">
        <v>4.2335824859237425E-2</v>
      </c>
      <c r="J1372" s="199">
        <v>2.7000432774844426E-2</v>
      </c>
      <c r="K1372" s="199">
        <v>3.3469353561510352E-2</v>
      </c>
      <c r="L1372" s="199">
        <v>2.4285531836428047E-2</v>
      </c>
      <c r="M1372" s="199">
        <v>3.3049481991002931E-2</v>
      </c>
      <c r="N1372" s="199">
        <v>4.4320660433343081E-2</v>
      </c>
    </row>
    <row r="1373" spans="1:14">
      <c r="C1373" s="29">
        <v>3</v>
      </c>
      <c r="D1373" s="34" t="s">
        <v>1818</v>
      </c>
      <c r="E1373" s="199">
        <v>2.7438112856501769E-2</v>
      </c>
      <c r="F1373" s="199">
        <v>3.532206353426133E-2</v>
      </c>
      <c r="G1373" s="199">
        <v>3.0644589705067178E-2</v>
      </c>
      <c r="H1373" s="199">
        <v>2.8918704094648612E-2</v>
      </c>
      <c r="I1373" s="199">
        <v>4.3570692676592276E-2</v>
      </c>
      <c r="J1373" s="199">
        <v>2.680843715125154E-2</v>
      </c>
      <c r="K1373" s="199">
        <v>3.3235309375995947E-2</v>
      </c>
      <c r="L1373" s="199">
        <v>2.3991432874663592E-2</v>
      </c>
      <c r="M1373" s="199">
        <v>3.3531319976238164E-2</v>
      </c>
      <c r="N1373" s="199">
        <v>4.3326352446636671E-2</v>
      </c>
    </row>
    <row r="1374" spans="1:14">
      <c r="C1374" s="29">
        <v>4</v>
      </c>
      <c r="D1374" s="34" t="s">
        <v>1819</v>
      </c>
      <c r="E1374" s="199">
        <v>2.7396106477169987E-2</v>
      </c>
      <c r="F1374" s="199">
        <v>3.478006790326444E-2</v>
      </c>
      <c r="G1374" s="199">
        <v>3.09518744428962E-2</v>
      </c>
      <c r="H1374" s="199">
        <v>2.8267152526174288E-2</v>
      </c>
      <c r="I1374" s="199">
        <v>4.2680677957118072E-2</v>
      </c>
      <c r="J1374" s="199">
        <v>2.6189210273825578E-2</v>
      </c>
      <c r="K1374" s="199">
        <v>3.2112193009226908E-2</v>
      </c>
      <c r="L1374" s="199">
        <v>2.4366755117066676E-2</v>
      </c>
      <c r="M1374" s="199">
        <v>3.3577670059352291E-2</v>
      </c>
      <c r="N1374" s="199">
        <v>4.3465707837701345E-2</v>
      </c>
    </row>
    <row r="1375" spans="1:14">
      <c r="C1375" s="29">
        <v>5</v>
      </c>
      <c r="D1375" s="34" t="s">
        <v>1820</v>
      </c>
      <c r="E1375" s="199">
        <v>2.839737392327063E-2</v>
      </c>
      <c r="F1375" s="199">
        <v>3.4177612607013672E-2</v>
      </c>
      <c r="G1375" s="199">
        <v>3.239907550257784E-2</v>
      </c>
      <c r="H1375" s="199">
        <v>2.9508334012818806E-2</v>
      </c>
      <c r="I1375" s="199">
        <v>4.2791598526064942E-2</v>
      </c>
      <c r="J1375" s="199">
        <v>2.588107252331345E-2</v>
      </c>
      <c r="K1375" s="199">
        <v>3.2079853510307905E-2</v>
      </c>
      <c r="L1375" s="199">
        <v>2.7631819733971611E-2</v>
      </c>
      <c r="M1375" s="199">
        <v>3.5176747926789653E-2</v>
      </c>
      <c r="N1375" s="199">
        <v>4.4962088746543158E-2</v>
      </c>
    </row>
    <row r="1376" spans="1:14">
      <c r="C1376" s="29">
        <v>6</v>
      </c>
      <c r="D1376" s="34" t="s">
        <v>1821</v>
      </c>
      <c r="E1376" s="199">
        <v>3.2378303483988922E-2</v>
      </c>
      <c r="F1376" s="199">
        <v>3.5763623437186177E-2</v>
      </c>
      <c r="G1376" s="199">
        <v>3.5365402092905132E-2</v>
      </c>
      <c r="H1376" s="199">
        <v>3.2414825261036936E-2</v>
      </c>
      <c r="I1376" s="199">
        <v>4.7250671651926937E-2</v>
      </c>
      <c r="J1376" s="199">
        <v>2.7945255809222271E-2</v>
      </c>
      <c r="K1376" s="199">
        <v>3.4214809640119463E-2</v>
      </c>
      <c r="L1376" s="199">
        <v>3.7548870322265532E-2</v>
      </c>
      <c r="M1376" s="199">
        <v>4.3053452960244813E-2</v>
      </c>
      <c r="N1376" s="199">
        <v>5.6678977105765603E-2</v>
      </c>
    </row>
    <row r="1377" spans="3:14">
      <c r="C1377" s="29">
        <v>7</v>
      </c>
      <c r="D1377" s="34" t="s">
        <v>1822</v>
      </c>
      <c r="E1377" s="199">
        <v>3.7860246705634502E-2</v>
      </c>
      <c r="F1377" s="199">
        <v>3.811141870776466E-2</v>
      </c>
      <c r="G1377" s="199">
        <v>4.0745442191996779E-2</v>
      </c>
      <c r="H1377" s="199">
        <v>4.0096127838190158E-2</v>
      </c>
      <c r="I1377" s="199">
        <v>5.4809613042359616E-2</v>
      </c>
      <c r="J1377" s="199">
        <v>3.7732207346278808E-2</v>
      </c>
      <c r="K1377" s="199">
        <v>3.4624365841648234E-2</v>
      </c>
      <c r="L1377" s="199">
        <v>4.2998804100093609E-2</v>
      </c>
      <c r="M1377" s="199">
        <v>4.7589986852650659E-2</v>
      </c>
      <c r="N1377" s="199">
        <v>5.6730903884388229E-2</v>
      </c>
    </row>
    <row r="1378" spans="3:14">
      <c r="C1378" s="29">
        <v>8</v>
      </c>
      <c r="D1378" s="34" t="s">
        <v>1823</v>
      </c>
      <c r="E1378" s="199">
        <v>4.3171587999941197E-2</v>
      </c>
      <c r="F1378" s="199">
        <v>4.0247109578927867E-2</v>
      </c>
      <c r="G1378" s="199">
        <v>4.4682723073191467E-2</v>
      </c>
      <c r="H1378" s="199">
        <v>4.4810095352335537E-2</v>
      </c>
      <c r="I1378" s="199">
        <v>5.3158558441171233E-2</v>
      </c>
      <c r="J1378" s="199">
        <v>3.8120118146252033E-2</v>
      </c>
      <c r="K1378" s="199">
        <v>3.8224738521104362E-2</v>
      </c>
      <c r="L1378" s="199">
        <v>4.6933366279340187E-2</v>
      </c>
      <c r="M1378" s="199">
        <v>5.1231667625270656E-2</v>
      </c>
      <c r="N1378" s="199">
        <v>5.1485614870802818E-2</v>
      </c>
    </row>
    <row r="1379" spans="3:14">
      <c r="C1379" s="29">
        <v>9</v>
      </c>
      <c r="D1379" s="34" t="s">
        <v>1824</v>
      </c>
      <c r="E1379" s="199">
        <v>4.2327312850121562E-2</v>
      </c>
      <c r="F1379" s="199">
        <v>4.2520140924248051E-2</v>
      </c>
      <c r="G1379" s="199">
        <v>4.7600293672473856E-2</v>
      </c>
      <c r="H1379" s="199">
        <v>4.8520490218992997E-2</v>
      </c>
      <c r="I1379" s="199">
        <v>4.7338844946405868E-2</v>
      </c>
      <c r="J1379" s="199">
        <v>3.8203264197315095E-2</v>
      </c>
      <c r="K1379" s="199">
        <v>4.3973839605548508E-2</v>
      </c>
      <c r="L1379" s="199">
        <v>5.2567083273955754E-2</v>
      </c>
      <c r="M1379" s="199">
        <v>5.1909362022318106E-2</v>
      </c>
      <c r="N1379" s="199">
        <v>5.2648962914442196E-2</v>
      </c>
    </row>
    <row r="1380" spans="3:14">
      <c r="C1380" s="29">
        <v>10</v>
      </c>
      <c r="D1380" s="34" t="s">
        <v>1825</v>
      </c>
      <c r="E1380" s="199">
        <v>4.0416962822009857E-2</v>
      </c>
      <c r="F1380" s="199">
        <v>4.5465313417594119E-2</v>
      </c>
      <c r="G1380" s="199">
        <v>4.96829231385418E-2</v>
      </c>
      <c r="H1380" s="199">
        <v>5.0707364586000406E-2</v>
      </c>
      <c r="I1380" s="199">
        <v>4.2962644779224443E-2</v>
      </c>
      <c r="J1380" s="199">
        <v>4.0306767937083772E-2</v>
      </c>
      <c r="K1380" s="199">
        <v>4.8303889391900813E-2</v>
      </c>
      <c r="L1380" s="199">
        <v>5.4603032178730831E-2</v>
      </c>
      <c r="M1380" s="199">
        <v>5.1325304156814341E-2</v>
      </c>
      <c r="N1380" s="199">
        <v>5.0713642465052278E-2</v>
      </c>
    </row>
    <row r="1381" spans="3:14">
      <c r="C1381" s="29">
        <v>11</v>
      </c>
      <c r="D1381" s="34" t="s">
        <v>1826</v>
      </c>
      <c r="E1381" s="199">
        <v>4.1382631522409535E-2</v>
      </c>
      <c r="F1381" s="199">
        <v>4.7594935073220816E-2</v>
      </c>
      <c r="G1381" s="199">
        <v>5.0284526815469237E-2</v>
      </c>
      <c r="H1381" s="199">
        <v>4.8597663241826357E-2</v>
      </c>
      <c r="I1381" s="199">
        <v>4.0667654590366857E-2</v>
      </c>
      <c r="J1381" s="199">
        <v>4.397452459338231E-2</v>
      </c>
      <c r="K1381" s="199">
        <v>5.0691837147155146E-2</v>
      </c>
      <c r="L1381" s="199">
        <v>5.3627632862568463E-2</v>
      </c>
      <c r="M1381" s="199">
        <v>5.0600245280894379E-2</v>
      </c>
      <c r="N1381" s="199">
        <v>4.1469991497524658E-2</v>
      </c>
    </row>
    <row r="1382" spans="3:14">
      <c r="C1382" s="29">
        <v>12</v>
      </c>
      <c r="D1382" s="34" t="s">
        <v>1827</v>
      </c>
      <c r="E1382" s="199">
        <v>4.1725058556738123E-2</v>
      </c>
      <c r="F1382" s="199">
        <v>4.9234369683700638E-2</v>
      </c>
      <c r="G1382" s="199">
        <v>5.0897938909817177E-2</v>
      </c>
      <c r="H1382" s="199">
        <v>5.1914755929267468E-2</v>
      </c>
      <c r="I1382" s="199">
        <v>3.8780017292345544E-2</v>
      </c>
      <c r="J1382" s="199">
        <v>4.4148163905016399E-2</v>
      </c>
      <c r="K1382" s="199">
        <v>5.0922142540175325E-2</v>
      </c>
      <c r="L1382" s="199">
        <v>5.6019094517718721E-2</v>
      </c>
      <c r="M1382" s="199">
        <v>4.8938196845993889E-2</v>
      </c>
      <c r="N1382" s="199">
        <v>4.2324858546578872E-2</v>
      </c>
    </row>
    <row r="1383" spans="3:14">
      <c r="C1383" s="29">
        <v>13</v>
      </c>
      <c r="D1383" s="34" t="s">
        <v>1828</v>
      </c>
      <c r="E1383" s="199">
        <v>4.2929760462127958E-2</v>
      </c>
      <c r="F1383" s="199">
        <v>4.9887140734560589E-2</v>
      </c>
      <c r="G1383" s="199">
        <v>5.1944399297594666E-2</v>
      </c>
      <c r="H1383" s="199">
        <v>5.1592860352882262E-2</v>
      </c>
      <c r="I1383" s="199">
        <v>3.8503240382375056E-2</v>
      </c>
      <c r="J1383" s="199">
        <v>4.3702115674653874E-2</v>
      </c>
      <c r="K1383" s="199">
        <v>5.1228744647823489E-2</v>
      </c>
      <c r="L1383" s="199">
        <v>5.6645536978169327E-2</v>
      </c>
      <c r="M1383" s="199">
        <v>5.1557444724599749E-2</v>
      </c>
      <c r="N1383" s="199">
        <v>3.7279748547782515E-2</v>
      </c>
    </row>
    <row r="1384" spans="3:14">
      <c r="C1384" s="29">
        <v>14</v>
      </c>
      <c r="D1384" s="34" t="s">
        <v>1829</v>
      </c>
      <c r="E1384" s="199">
        <v>4.3563132024043237E-2</v>
      </c>
      <c r="F1384" s="199">
        <v>5.046068160276139E-2</v>
      </c>
      <c r="G1384" s="199">
        <v>5.1472000039622066E-2</v>
      </c>
      <c r="H1384" s="199">
        <v>5.3823279274672738E-2</v>
      </c>
      <c r="I1384" s="199">
        <v>3.635345730965997E-2</v>
      </c>
      <c r="J1384" s="199">
        <v>4.5927469097293262E-2</v>
      </c>
      <c r="K1384" s="199">
        <v>5.121588066686876E-2</v>
      </c>
      <c r="L1384" s="199">
        <v>5.6194543785216926E-2</v>
      </c>
      <c r="M1384" s="199">
        <v>5.1502511292760768E-2</v>
      </c>
      <c r="N1384" s="199">
        <v>3.3089933330977941E-2</v>
      </c>
    </row>
    <row r="1385" spans="3:14">
      <c r="C1385" s="29">
        <v>15</v>
      </c>
      <c r="D1385" s="34" t="s">
        <v>1830</v>
      </c>
      <c r="E1385" s="199">
        <v>4.4242460694967234E-2</v>
      </c>
      <c r="F1385" s="199">
        <v>4.9358237967725142E-2</v>
      </c>
      <c r="G1385" s="199">
        <v>5.105294459050011E-2</v>
      </c>
      <c r="H1385" s="199">
        <v>5.1203546165069315E-2</v>
      </c>
      <c r="I1385" s="199">
        <v>3.4621406952052937E-2</v>
      </c>
      <c r="J1385" s="199">
        <v>4.7793535386331569E-2</v>
      </c>
      <c r="K1385" s="199">
        <v>5.2151212484068926E-2</v>
      </c>
      <c r="L1385" s="199">
        <v>5.4373554048889994E-2</v>
      </c>
      <c r="M1385" s="199">
        <v>4.9790523374370316E-2</v>
      </c>
      <c r="N1385" s="199">
        <v>2.9034340709987057E-2</v>
      </c>
    </row>
    <row r="1386" spans="3:14">
      <c r="C1386" s="29">
        <v>16</v>
      </c>
      <c r="D1386" s="34" t="s">
        <v>1831</v>
      </c>
      <c r="E1386" s="199">
        <v>4.5131926709071776E-2</v>
      </c>
      <c r="F1386" s="199">
        <v>4.9965636737920989E-2</v>
      </c>
      <c r="G1386" s="199">
        <v>4.8880972586094251E-2</v>
      </c>
      <c r="H1386" s="199">
        <v>4.8883882462683846E-2</v>
      </c>
      <c r="I1386" s="199">
        <v>3.5004632272640439E-2</v>
      </c>
      <c r="J1386" s="199">
        <v>5.0140301250893263E-2</v>
      </c>
      <c r="K1386" s="199">
        <v>5.306033050756663E-2</v>
      </c>
      <c r="L1386" s="199">
        <v>5.261649792091963E-2</v>
      </c>
      <c r="M1386" s="199">
        <v>4.628406935938801E-2</v>
      </c>
      <c r="N1386" s="199">
        <v>2.6804312266602171E-2</v>
      </c>
    </row>
    <row r="1387" spans="3:14">
      <c r="C1387" s="29">
        <v>17</v>
      </c>
      <c r="D1387" s="34" t="s">
        <v>1832</v>
      </c>
      <c r="E1387" s="199">
        <v>4.9884295992238516E-2</v>
      </c>
      <c r="F1387" s="199">
        <v>4.6251313538537925E-2</v>
      </c>
      <c r="G1387" s="199">
        <v>4.661117579383911E-2</v>
      </c>
      <c r="H1387" s="199">
        <v>4.5915954590143075E-2</v>
      </c>
      <c r="I1387" s="199">
        <v>3.440039399162767E-2</v>
      </c>
      <c r="J1387" s="199">
        <v>5.3947725158709867E-2</v>
      </c>
      <c r="K1387" s="199">
        <v>4.9023744247329103E-2</v>
      </c>
      <c r="L1387" s="199">
        <v>4.7794010168116262E-2</v>
      </c>
      <c r="M1387" s="199">
        <v>3.8064498559597038E-2</v>
      </c>
      <c r="N1387" s="199">
        <v>2.4931184186336889E-2</v>
      </c>
    </row>
    <row r="1388" spans="3:14">
      <c r="C1388" s="29">
        <v>18</v>
      </c>
      <c r="D1388" s="34" t="s">
        <v>1833</v>
      </c>
      <c r="E1388" s="199">
        <v>5.4016572945446761E-2</v>
      </c>
      <c r="F1388" s="199">
        <v>3.9482853401549368E-2</v>
      </c>
      <c r="G1388" s="199">
        <v>4.4404211251805638E-2</v>
      </c>
      <c r="H1388" s="199">
        <v>4.3390693763379638E-2</v>
      </c>
      <c r="I1388" s="199">
        <v>3.7369962334488728E-2</v>
      </c>
      <c r="J1388" s="199">
        <v>6.0076953157658868E-2</v>
      </c>
      <c r="K1388" s="199">
        <v>4.3820908206349568E-2</v>
      </c>
      <c r="L1388" s="199">
        <v>4.429309696798707E-2</v>
      </c>
      <c r="M1388" s="199">
        <v>3.7518363489368468E-2</v>
      </c>
      <c r="N1388" s="199">
        <v>3.5792606670392503E-2</v>
      </c>
    </row>
    <row r="1389" spans="3:14">
      <c r="C1389" s="29">
        <v>19</v>
      </c>
      <c r="D1389" s="34" t="s">
        <v>1834</v>
      </c>
      <c r="E1389" s="199">
        <v>5.8183548834038083E-2</v>
      </c>
      <c r="F1389" s="199">
        <v>3.6864305041905368E-2</v>
      </c>
      <c r="G1389" s="199">
        <v>4.221872603859006E-2</v>
      </c>
      <c r="H1389" s="199">
        <v>4.116092154289782E-2</v>
      </c>
      <c r="I1389" s="199">
        <v>3.6361683872513671E-2</v>
      </c>
      <c r="J1389" s="199">
        <v>5.914982276594314E-2</v>
      </c>
      <c r="K1389" s="199">
        <v>3.7365196463617696E-2</v>
      </c>
      <c r="L1389" s="199">
        <v>4.0960837157859739E-2</v>
      </c>
      <c r="M1389" s="199">
        <v>3.5714377678736337E-2</v>
      </c>
      <c r="N1389" s="199">
        <v>3.393504806905525E-2</v>
      </c>
    </row>
    <row r="1390" spans="3:14">
      <c r="C1390" s="29">
        <v>20</v>
      </c>
      <c r="D1390" s="34" t="s">
        <v>1835</v>
      </c>
      <c r="E1390" s="199">
        <v>5.9147653411033639E-2</v>
      </c>
      <c r="F1390" s="199">
        <v>4.2260767614313494E-2</v>
      </c>
      <c r="G1390" s="199">
        <v>4.1400921447566005E-2</v>
      </c>
      <c r="H1390" s="199">
        <v>4.0988090618158605E-2</v>
      </c>
      <c r="I1390" s="199">
        <v>3.7550284175295351E-2</v>
      </c>
      <c r="J1390" s="199">
        <v>6.0035735390397922E-2</v>
      </c>
      <c r="K1390" s="199">
        <v>4.1014215691741671E-2</v>
      </c>
      <c r="L1390" s="199">
        <v>4.1154710561941185E-2</v>
      </c>
      <c r="M1390" s="199">
        <v>3.5759791396535026E-2</v>
      </c>
      <c r="N1390" s="199">
        <v>3.6774168215558921E-2</v>
      </c>
    </row>
    <row r="1391" spans="3:14">
      <c r="C1391" s="29">
        <v>21</v>
      </c>
      <c r="D1391" s="34" t="s">
        <v>1836</v>
      </c>
      <c r="E1391" s="199">
        <v>5.5566914489190725E-2</v>
      </c>
      <c r="F1391" s="199">
        <v>4.3255286892430231E-2</v>
      </c>
      <c r="G1391" s="199">
        <v>4.1193140221828815E-2</v>
      </c>
      <c r="H1391" s="199">
        <v>4.0716853310951713E-2</v>
      </c>
      <c r="I1391" s="199">
        <v>4.0067943679515182E-2</v>
      </c>
      <c r="J1391" s="199">
        <v>5.7398094984911906E-2</v>
      </c>
      <c r="K1391" s="199">
        <v>4.1424130986334858E-2</v>
      </c>
      <c r="L1391" s="199">
        <v>3.9796953143046432E-2</v>
      </c>
      <c r="M1391" s="199">
        <v>3.5662799555944348E-2</v>
      </c>
      <c r="N1391" s="199">
        <v>4.4332123676070312E-2</v>
      </c>
    </row>
    <row r="1392" spans="3:14">
      <c r="C1392" s="29">
        <v>22</v>
      </c>
      <c r="D1392" s="34" t="s">
        <v>1837</v>
      </c>
      <c r="E1392" s="199">
        <v>4.9991542134500376E-2</v>
      </c>
      <c r="F1392" s="199">
        <v>4.196419588657449E-2</v>
      </c>
      <c r="G1392" s="199">
        <v>3.7777202273107317E-2</v>
      </c>
      <c r="H1392" s="199">
        <v>4.0970791358151966E-2</v>
      </c>
      <c r="I1392" s="199">
        <v>4.1042156441619557E-2</v>
      </c>
      <c r="J1392" s="199">
        <v>4.7033727736120336E-2</v>
      </c>
      <c r="K1392" s="199">
        <v>3.8675696040648314E-2</v>
      </c>
      <c r="L1392" s="199">
        <v>3.5740457868046617E-2</v>
      </c>
      <c r="M1392" s="199">
        <v>3.5479896197662349E-2</v>
      </c>
      <c r="N1392" s="199">
        <v>4.3136267929174604E-2</v>
      </c>
    </row>
    <row r="1393" spans="1:14">
      <c r="C1393" s="29">
        <v>23</v>
      </c>
      <c r="D1393" s="34" t="s">
        <v>1838</v>
      </c>
      <c r="E1393" s="199">
        <v>4.1826438357513519E-2</v>
      </c>
      <c r="F1393" s="199">
        <v>3.9167376556866973E-2</v>
      </c>
      <c r="G1393" s="199">
        <v>3.5265580561624488E-2</v>
      </c>
      <c r="H1393" s="199">
        <v>4.0530926684712143E-2</v>
      </c>
      <c r="I1393" s="199">
        <v>4.4360001015897689E-2</v>
      </c>
      <c r="J1393" s="199">
        <v>3.7080687101663734E-2</v>
      </c>
      <c r="K1393" s="199">
        <v>3.8160249631359278E-2</v>
      </c>
      <c r="L1393" s="199">
        <v>3.1852801424328649E-2</v>
      </c>
      <c r="M1393" s="199">
        <v>3.5234412424131972E-2</v>
      </c>
      <c r="N1393" s="199">
        <v>4.2856958320932635E-2</v>
      </c>
    </row>
    <row r="1394" spans="1:14">
      <c r="C1394" s="29">
        <v>24</v>
      </c>
      <c r="D1394" s="34" t="s">
        <v>1839</v>
      </c>
      <c r="E1394" s="199">
        <v>3.3452993343097821E-2</v>
      </c>
      <c r="F1394" s="199">
        <v>3.806084599040091E-2</v>
      </c>
      <c r="G1394" s="199">
        <v>3.3219888242322283E-2</v>
      </c>
      <c r="H1394" s="199">
        <v>3.8872461178655171E-2</v>
      </c>
      <c r="I1394" s="199">
        <v>4.7548760328753326E-2</v>
      </c>
      <c r="J1394" s="199">
        <v>3.2001063807227455E-2</v>
      </c>
      <c r="K1394" s="199">
        <v>3.6474117585826617E-2</v>
      </c>
      <c r="L1394" s="199">
        <v>2.9045853127190116E-2</v>
      </c>
      <c r="M1394" s="199">
        <v>3.4212291651889645E-2</v>
      </c>
      <c r="N1394" s="199">
        <v>4.2731974756570763E-2</v>
      </c>
    </row>
    <row r="1395" spans="1:14">
      <c r="A1395" s="16" t="s">
        <v>438</v>
      </c>
      <c r="B1395" s="16" t="s">
        <v>309</v>
      </c>
      <c r="C1395" s="29">
        <v>1</v>
      </c>
      <c r="D1395" s="34" t="s">
        <v>1840</v>
      </c>
      <c r="E1395" s="199">
        <v>2.964101320685468E-2</v>
      </c>
      <c r="F1395" s="199">
        <v>3.2470013056679792E-2</v>
      </c>
      <c r="G1395" s="199">
        <v>3.0045491533001522E-2</v>
      </c>
      <c r="H1395" s="199">
        <v>3.1585448030801502E-2</v>
      </c>
      <c r="I1395" s="199">
        <v>4.3912077603841727E-2</v>
      </c>
      <c r="J1395" s="199">
        <v>2.8289085006617316E-2</v>
      </c>
      <c r="K1395" s="199">
        <v>3.3246023945468973E-2</v>
      </c>
      <c r="L1395" s="199">
        <v>2.6542805739967524E-2</v>
      </c>
      <c r="M1395" s="199">
        <v>3.2167624809884512E-2</v>
      </c>
      <c r="N1395" s="199">
        <v>4.7235766619081181E-2</v>
      </c>
    </row>
    <row r="1396" spans="1:14">
      <c r="C1396" s="29">
        <v>2</v>
      </c>
      <c r="D1396" s="34" t="s">
        <v>1841</v>
      </c>
      <c r="E1396" s="199">
        <v>2.7491047173287517E-2</v>
      </c>
      <c r="F1396" s="199">
        <v>3.1555780020079048E-2</v>
      </c>
      <c r="G1396" s="199">
        <v>2.8568972471862932E-2</v>
      </c>
      <c r="H1396" s="199">
        <v>3.0162033022022406E-2</v>
      </c>
      <c r="I1396" s="199">
        <v>4.3415810127123186E-2</v>
      </c>
      <c r="J1396" s="199">
        <v>2.6299568080812723E-2</v>
      </c>
      <c r="K1396" s="199">
        <v>3.1501218812401595E-2</v>
      </c>
      <c r="L1396" s="199">
        <v>2.5085109080786528E-2</v>
      </c>
      <c r="M1396" s="199">
        <v>3.1943845200038429E-2</v>
      </c>
      <c r="N1396" s="199">
        <v>4.3226915367394418E-2</v>
      </c>
    </row>
    <row r="1397" spans="1:14">
      <c r="C1397" s="29">
        <v>3</v>
      </c>
      <c r="D1397" s="34" t="s">
        <v>1842</v>
      </c>
      <c r="E1397" s="199">
        <v>2.6516211830380759E-2</v>
      </c>
      <c r="F1397" s="199">
        <v>3.2047327925613489E-2</v>
      </c>
      <c r="G1397" s="199">
        <v>2.876094490091027E-2</v>
      </c>
      <c r="H1397" s="199">
        <v>2.9969454026373465E-2</v>
      </c>
      <c r="I1397" s="199">
        <v>4.3370968858884341E-2</v>
      </c>
      <c r="J1397" s="199">
        <v>2.4714431290487664E-2</v>
      </c>
      <c r="K1397" s="199">
        <v>3.0845904906521077E-2</v>
      </c>
      <c r="L1397" s="199">
        <v>2.4535512415900712E-2</v>
      </c>
      <c r="M1397" s="199">
        <v>3.1517942071621695E-2</v>
      </c>
      <c r="N1397" s="199">
        <v>4.2822578714271635E-2</v>
      </c>
    </row>
    <row r="1398" spans="1:14">
      <c r="C1398" s="29">
        <v>4</v>
      </c>
      <c r="D1398" s="34" t="s">
        <v>1843</v>
      </c>
      <c r="E1398" s="199">
        <v>2.6940332616166175E-2</v>
      </c>
      <c r="F1398" s="199">
        <v>3.1225188140529665E-2</v>
      </c>
      <c r="G1398" s="199">
        <v>2.8615032322034665E-2</v>
      </c>
      <c r="H1398" s="199">
        <v>2.908661672211767E-2</v>
      </c>
      <c r="I1398" s="199">
        <v>4.2977884515532583E-2</v>
      </c>
      <c r="J1398" s="199">
        <v>2.3472148594722173E-2</v>
      </c>
      <c r="K1398" s="199">
        <v>2.9362865520346261E-2</v>
      </c>
      <c r="L1398" s="199">
        <v>2.4051643530210779E-2</v>
      </c>
      <c r="M1398" s="199">
        <v>3.1577357501531199E-2</v>
      </c>
      <c r="N1398" s="199">
        <v>3.8451472501635331E-2</v>
      </c>
    </row>
    <row r="1399" spans="1:14">
      <c r="C1399" s="29">
        <v>5</v>
      </c>
      <c r="D1399" s="34" t="s">
        <v>1844</v>
      </c>
      <c r="E1399" s="199">
        <v>2.752500664721683E-2</v>
      </c>
      <c r="F1399" s="199">
        <v>3.1110552618357771E-2</v>
      </c>
      <c r="G1399" s="199">
        <v>3.0035450678989793E-2</v>
      </c>
      <c r="H1399" s="199">
        <v>3.0145801198186856E-2</v>
      </c>
      <c r="I1399" s="199">
        <v>4.2308218747519492E-2</v>
      </c>
      <c r="J1399" s="199">
        <v>2.5718018879181785E-2</v>
      </c>
      <c r="K1399" s="199">
        <v>2.9470085529883869E-2</v>
      </c>
      <c r="L1399" s="199">
        <v>2.6627011730697397E-2</v>
      </c>
      <c r="M1399" s="199">
        <v>3.3609420732875449E-2</v>
      </c>
      <c r="N1399" s="199">
        <v>3.9081972337817315E-2</v>
      </c>
    </row>
    <row r="1400" spans="1:14">
      <c r="C1400" s="29">
        <v>6</v>
      </c>
      <c r="D1400" s="34" t="s">
        <v>1845</v>
      </c>
      <c r="E1400" s="199">
        <v>3.1371375010793609E-2</v>
      </c>
      <c r="F1400" s="199">
        <v>3.3151477836853821E-2</v>
      </c>
      <c r="G1400" s="199">
        <v>3.3028960330162609E-2</v>
      </c>
      <c r="H1400" s="199">
        <v>3.2771762469982715E-2</v>
      </c>
      <c r="I1400" s="199">
        <v>4.8125047350028712E-2</v>
      </c>
      <c r="J1400" s="199">
        <v>3.0221778584377072E-2</v>
      </c>
      <c r="K1400" s="199">
        <v>3.1842943550326637E-2</v>
      </c>
      <c r="L1400" s="199">
        <v>3.4708197288585312E-2</v>
      </c>
      <c r="M1400" s="199">
        <v>4.2539319225037703E-2</v>
      </c>
      <c r="N1400" s="199">
        <v>5.1364333029536691E-2</v>
      </c>
    </row>
    <row r="1401" spans="1:14">
      <c r="C1401" s="29">
        <v>7</v>
      </c>
      <c r="D1401" s="34" t="s">
        <v>1846</v>
      </c>
      <c r="E1401" s="199">
        <v>3.8073504365437848E-2</v>
      </c>
      <c r="F1401" s="199">
        <v>3.4865055577371386E-2</v>
      </c>
      <c r="G1401" s="199">
        <v>3.9032943963473905E-2</v>
      </c>
      <c r="H1401" s="199">
        <v>4.060205225905248E-2</v>
      </c>
      <c r="I1401" s="199">
        <v>5.3361952991524332E-2</v>
      </c>
      <c r="J1401" s="199">
        <v>3.7408244493599412E-2</v>
      </c>
      <c r="K1401" s="199">
        <v>3.2249659955650253E-2</v>
      </c>
      <c r="L1401" s="199">
        <v>4.0261394341898751E-2</v>
      </c>
      <c r="M1401" s="199">
        <v>4.8281144929781507E-2</v>
      </c>
      <c r="N1401" s="199">
        <v>5.930201812808817E-2</v>
      </c>
    </row>
    <row r="1402" spans="1:14">
      <c r="C1402" s="29">
        <v>8</v>
      </c>
      <c r="D1402" s="34" t="s">
        <v>1847</v>
      </c>
      <c r="E1402" s="199">
        <v>4.1379668368676528E-2</v>
      </c>
      <c r="F1402" s="199">
        <v>3.8738140711550073E-2</v>
      </c>
      <c r="G1402" s="199">
        <v>4.3900130137805159E-2</v>
      </c>
      <c r="H1402" s="199">
        <v>4.4460588667960876E-2</v>
      </c>
      <c r="I1402" s="199">
        <v>5.2478628223636664E-2</v>
      </c>
      <c r="J1402" s="199">
        <v>4.1361511292781178E-2</v>
      </c>
      <c r="K1402" s="199">
        <v>3.8796002500217711E-2</v>
      </c>
      <c r="L1402" s="199">
        <v>4.4302201832455604E-2</v>
      </c>
      <c r="M1402" s="199">
        <v>5.2459659977155605E-2</v>
      </c>
      <c r="N1402" s="199">
        <v>5.8815383781404891E-2</v>
      </c>
    </row>
    <row r="1403" spans="1:14">
      <c r="C1403" s="29">
        <v>9</v>
      </c>
      <c r="D1403" s="34" t="s">
        <v>1848</v>
      </c>
      <c r="E1403" s="199">
        <v>3.8976025424026839E-2</v>
      </c>
      <c r="F1403" s="199">
        <v>4.5767115647368156E-2</v>
      </c>
      <c r="G1403" s="199">
        <v>4.7484944594271529E-2</v>
      </c>
      <c r="H1403" s="199">
        <v>4.8990253021669948E-2</v>
      </c>
      <c r="I1403" s="199">
        <v>5.1545640545764035E-2</v>
      </c>
      <c r="J1403" s="199">
        <v>3.6575764951136659E-2</v>
      </c>
      <c r="K1403" s="199">
        <v>4.51508682484471E-2</v>
      </c>
      <c r="L1403" s="199">
        <v>5.2033823871725608E-2</v>
      </c>
      <c r="M1403" s="199">
        <v>5.2405797391162877E-2</v>
      </c>
      <c r="N1403" s="199">
        <v>5.6616978138560918E-2</v>
      </c>
    </row>
    <row r="1404" spans="1:14">
      <c r="C1404" s="29">
        <v>10</v>
      </c>
      <c r="D1404" s="34" t="s">
        <v>1849</v>
      </c>
      <c r="E1404" s="199">
        <v>3.8010824802306276E-2</v>
      </c>
      <c r="F1404" s="199">
        <v>4.6917684377620755E-2</v>
      </c>
      <c r="G1404" s="199">
        <v>5.040193955467507E-2</v>
      </c>
      <c r="H1404" s="199">
        <v>5.0784333321893763E-2</v>
      </c>
      <c r="I1404" s="199">
        <v>4.5336270034599488E-2</v>
      </c>
      <c r="J1404" s="199">
        <v>3.9000625694830593E-2</v>
      </c>
      <c r="K1404" s="199">
        <v>4.9726746394942706E-2</v>
      </c>
      <c r="L1404" s="199">
        <v>5.3768147165265373E-2</v>
      </c>
      <c r="M1404" s="199">
        <v>5.2894725298035017E-2</v>
      </c>
      <c r="N1404" s="199">
        <v>4.7350195653956234E-2</v>
      </c>
    </row>
    <row r="1405" spans="1:14">
      <c r="C1405" s="29">
        <v>11</v>
      </c>
      <c r="D1405" s="34" t="s">
        <v>1850</v>
      </c>
      <c r="E1405" s="199">
        <v>3.7718173513489696E-2</v>
      </c>
      <c r="F1405" s="199">
        <v>5.0274530446257883E-2</v>
      </c>
      <c r="G1405" s="199">
        <v>5.2595908446236496E-2</v>
      </c>
      <c r="H1405" s="199">
        <v>5.0521145892560154E-2</v>
      </c>
      <c r="I1405" s="199">
        <v>4.2214980250254053E-2</v>
      </c>
      <c r="J1405" s="199">
        <v>4.1778908729107639E-2</v>
      </c>
      <c r="K1405" s="199">
        <v>5.2043932967879111E-2</v>
      </c>
      <c r="L1405" s="199">
        <v>5.4956764628601475E-2</v>
      </c>
      <c r="M1405" s="199">
        <v>4.9545342394834227E-2</v>
      </c>
      <c r="N1405" s="199">
        <v>3.8149541542766667E-2</v>
      </c>
    </row>
    <row r="1406" spans="1:14">
      <c r="C1406" s="29">
        <v>12</v>
      </c>
      <c r="D1406" s="34" t="s">
        <v>1851</v>
      </c>
      <c r="E1406" s="199">
        <v>3.9207995029920548E-2</v>
      </c>
      <c r="F1406" s="199">
        <v>5.2950908931740613E-2</v>
      </c>
      <c r="G1406" s="199">
        <v>5.323563530020875E-2</v>
      </c>
      <c r="H1406" s="199">
        <v>5.3909133322635784E-2</v>
      </c>
      <c r="I1406" s="199">
        <v>3.7350847786254693E-2</v>
      </c>
      <c r="J1406" s="199">
        <v>3.9313833272599651E-2</v>
      </c>
      <c r="K1406" s="199">
        <v>5.4242455400686382E-2</v>
      </c>
      <c r="L1406" s="199">
        <v>5.7054223817259123E-2</v>
      </c>
      <c r="M1406" s="199">
        <v>4.9111295095339562E-2</v>
      </c>
      <c r="N1406" s="199">
        <v>3.4970404443412102E-2</v>
      </c>
    </row>
    <row r="1407" spans="1:14">
      <c r="C1407" s="29">
        <v>13</v>
      </c>
      <c r="D1407" s="34" t="s">
        <v>1852</v>
      </c>
      <c r="E1407" s="199">
        <v>4.0843922199455825E-2</v>
      </c>
      <c r="F1407" s="199">
        <v>5.3518496621278798E-2</v>
      </c>
      <c r="G1407" s="199">
        <v>5.4251821682479932E-2</v>
      </c>
      <c r="H1407" s="199">
        <v>5.3178527337637692E-2</v>
      </c>
      <c r="I1407" s="199">
        <v>3.5687260842802486E-2</v>
      </c>
      <c r="J1407" s="199">
        <v>4.044314843579791E-2</v>
      </c>
      <c r="K1407" s="199">
        <v>5.5570349357073501E-2</v>
      </c>
      <c r="L1407" s="199">
        <v>5.7807640360494808E-2</v>
      </c>
      <c r="M1407" s="199">
        <v>5.1961569877820774E-2</v>
      </c>
      <c r="N1407" s="199">
        <v>3.5043684631506901E-2</v>
      </c>
    </row>
    <row r="1408" spans="1:14">
      <c r="C1408" s="29">
        <v>14</v>
      </c>
      <c r="D1408" s="34" t="s">
        <v>1853</v>
      </c>
      <c r="E1408" s="199">
        <v>4.1797000851370836E-2</v>
      </c>
      <c r="F1408" s="199">
        <v>5.48721143277675E-2</v>
      </c>
      <c r="G1408" s="199">
        <v>5.4517656615226048E-2</v>
      </c>
      <c r="H1408" s="199">
        <v>5.6467964408711754E-2</v>
      </c>
      <c r="I1408" s="199">
        <v>3.5210159392024723E-2</v>
      </c>
      <c r="J1408" s="199">
        <v>4.0062981508929292E-2</v>
      </c>
      <c r="K1408" s="199">
        <v>5.6731503829973211E-2</v>
      </c>
      <c r="L1408" s="199">
        <v>5.8056914036653272E-2</v>
      </c>
      <c r="M1408" s="199">
        <v>5.4874776891358792E-2</v>
      </c>
      <c r="N1408" s="199">
        <v>3.6704460379516746E-2</v>
      </c>
    </row>
    <row r="1409" spans="1:14">
      <c r="C1409" s="29">
        <v>15</v>
      </c>
      <c r="D1409" s="34" t="s">
        <v>1854</v>
      </c>
      <c r="E1409" s="199">
        <v>4.2563872578217317E-2</v>
      </c>
      <c r="F1409" s="199">
        <v>5.5126778783540699E-2</v>
      </c>
      <c r="G1409" s="199">
        <v>5.4143202841158117E-2</v>
      </c>
      <c r="H1409" s="199">
        <v>5.3127049267759234E-2</v>
      </c>
      <c r="I1409" s="199">
        <v>3.5115534672757277E-2</v>
      </c>
      <c r="J1409" s="199">
        <v>4.4917920207012331E-2</v>
      </c>
      <c r="K1409" s="199">
        <v>5.7744359361692386E-2</v>
      </c>
      <c r="L1409" s="199">
        <v>5.5402362795896033E-2</v>
      </c>
      <c r="M1409" s="199">
        <v>5.4248045907951993E-2</v>
      </c>
      <c r="N1409" s="199">
        <v>3.1298828626040012E-2</v>
      </c>
    </row>
    <row r="1410" spans="1:14">
      <c r="C1410" s="29">
        <v>16</v>
      </c>
      <c r="D1410" s="34" t="s">
        <v>1855</v>
      </c>
      <c r="E1410" s="199">
        <v>4.7642026127630854E-2</v>
      </c>
      <c r="F1410" s="199">
        <v>5.349057510472921E-2</v>
      </c>
      <c r="G1410" s="199">
        <v>4.9947285818509837E-2</v>
      </c>
      <c r="H1410" s="199">
        <v>4.7137332360042264E-2</v>
      </c>
      <c r="I1410" s="199">
        <v>3.4145360082917769E-2</v>
      </c>
      <c r="J1410" s="199">
        <v>5.0146223906383111E-2</v>
      </c>
      <c r="K1410" s="199">
        <v>5.6271839580275276E-2</v>
      </c>
      <c r="L1410" s="199">
        <v>5.2387174122425495E-2</v>
      </c>
      <c r="M1410" s="199">
        <v>4.7726045632901115E-2</v>
      </c>
      <c r="N1410" s="199">
        <v>2.9635461640827369E-2</v>
      </c>
    </row>
    <row r="1411" spans="1:14">
      <c r="C1411" s="29">
        <v>17</v>
      </c>
      <c r="D1411" s="34" t="s">
        <v>1856</v>
      </c>
      <c r="E1411" s="199">
        <v>5.3413955925963444E-2</v>
      </c>
      <c r="F1411" s="199">
        <v>4.8613762012695273E-2</v>
      </c>
      <c r="G1411" s="199">
        <v>4.7537825217114277E-2</v>
      </c>
      <c r="H1411" s="199">
        <v>4.3007434639083075E-2</v>
      </c>
      <c r="I1411" s="199">
        <v>3.5622470031839104E-2</v>
      </c>
      <c r="J1411" s="199">
        <v>5.4441881734086407E-2</v>
      </c>
      <c r="K1411" s="199">
        <v>5.1577996934822061E-2</v>
      </c>
      <c r="L1411" s="199">
        <v>4.7651572865365768E-2</v>
      </c>
      <c r="M1411" s="199">
        <v>4.0037300303536964E-2</v>
      </c>
      <c r="N1411" s="199">
        <v>2.9370429899726377E-2</v>
      </c>
    </row>
    <row r="1412" spans="1:14">
      <c r="C1412" s="29">
        <v>18</v>
      </c>
      <c r="D1412" s="34" t="s">
        <v>1857</v>
      </c>
      <c r="E1412" s="199">
        <v>6.0200916621154288E-2</v>
      </c>
      <c r="F1412" s="199">
        <v>3.9298719931893961E-2</v>
      </c>
      <c r="G1412" s="199">
        <v>4.4739097259197849E-2</v>
      </c>
      <c r="H1412" s="199">
        <v>4.0705240282007067E-2</v>
      </c>
      <c r="I1412" s="199">
        <v>3.5397359632817517E-2</v>
      </c>
      <c r="J1412" s="199">
        <v>6.2092864621594156E-2</v>
      </c>
      <c r="K1412" s="199">
        <v>4.3748387545737497E-2</v>
      </c>
      <c r="L1412" s="199">
        <v>4.5031271380071514E-2</v>
      </c>
      <c r="M1412" s="199">
        <v>3.7172588126872123E-2</v>
      </c>
      <c r="N1412" s="199">
        <v>2.9018436238099871E-2</v>
      </c>
    </row>
    <row r="1413" spans="1:14">
      <c r="C1413" s="29">
        <v>19</v>
      </c>
      <c r="D1413" s="34" t="s">
        <v>1858</v>
      </c>
      <c r="E1413" s="199">
        <v>6.0212167604981208E-2</v>
      </c>
      <c r="F1413" s="199">
        <v>3.6675445698963555E-2</v>
      </c>
      <c r="G1413" s="199">
        <v>4.2973290440238829E-2</v>
      </c>
      <c r="H1413" s="199">
        <v>4.0109590318041718E-2</v>
      </c>
      <c r="I1413" s="199">
        <v>3.7197881201859295E-2</v>
      </c>
      <c r="J1413" s="199">
        <v>6.6123175319148186E-2</v>
      </c>
      <c r="K1413" s="199">
        <v>3.6317573624427377E-2</v>
      </c>
      <c r="L1413" s="199">
        <v>4.2893524485139771E-2</v>
      </c>
      <c r="M1413" s="199">
        <v>3.5573554173637799E-2</v>
      </c>
      <c r="N1413" s="199">
        <v>3.4876498007183121E-2</v>
      </c>
    </row>
    <row r="1414" spans="1:14">
      <c r="C1414" s="29">
        <v>20</v>
      </c>
      <c r="D1414" s="34" t="s">
        <v>1859</v>
      </c>
      <c r="E1414" s="199">
        <v>6.0813978509642153E-2</v>
      </c>
      <c r="F1414" s="199">
        <v>4.1426977137263933E-2</v>
      </c>
      <c r="G1414" s="199">
        <v>4.1541302747885103E-2</v>
      </c>
      <c r="H1414" s="199">
        <v>3.9624664580954594E-2</v>
      </c>
      <c r="I1414" s="199">
        <v>3.818137557702244E-2</v>
      </c>
      <c r="J1414" s="199">
        <v>6.3505010230466535E-2</v>
      </c>
      <c r="K1414" s="199">
        <v>3.7152695311392175E-2</v>
      </c>
      <c r="L1414" s="199">
        <v>4.2742172317286407E-2</v>
      </c>
      <c r="M1414" s="199">
        <v>3.5337650854573431E-2</v>
      </c>
      <c r="N1414" s="199">
        <v>4.2569984911744012E-2</v>
      </c>
    </row>
    <row r="1415" spans="1:14">
      <c r="C1415" s="29">
        <v>21</v>
      </c>
      <c r="D1415" s="34" t="s">
        <v>1860</v>
      </c>
      <c r="E1415" s="199">
        <v>5.9232456536441561E-2</v>
      </c>
      <c r="F1415" s="199">
        <v>4.2039494872799163E-2</v>
      </c>
      <c r="G1415" s="199">
        <v>4.0200764157321711E-2</v>
      </c>
      <c r="H1415" s="199">
        <v>3.9030579828573386E-2</v>
      </c>
      <c r="I1415" s="199">
        <v>3.9480205322381293E-2</v>
      </c>
      <c r="J1415" s="199">
        <v>5.8725242585890826E-2</v>
      </c>
      <c r="K1415" s="199">
        <v>3.8066951412294436E-2</v>
      </c>
      <c r="L1415" s="199">
        <v>3.985074862261849E-2</v>
      </c>
      <c r="M1415" s="199">
        <v>3.4071047157156781E-2</v>
      </c>
      <c r="N1415" s="199">
        <v>4.3103779775518013E-2</v>
      </c>
    </row>
    <row r="1416" spans="1:14">
      <c r="C1416" s="29">
        <v>22</v>
      </c>
      <c r="D1416" s="34" t="s">
        <v>1861</v>
      </c>
      <c r="E1416" s="199">
        <v>5.1858680262201078E-2</v>
      </c>
      <c r="F1416" s="199">
        <v>4.0241731231779466E-2</v>
      </c>
      <c r="G1416" s="199">
        <v>3.7587949075760831E-2</v>
      </c>
      <c r="H1416" s="199">
        <v>4.018622771486529E-2</v>
      </c>
      <c r="I1416" s="199">
        <v>4.0880530626495791E-2</v>
      </c>
      <c r="J1416" s="199">
        <v>5.0361961228324439E-2</v>
      </c>
      <c r="K1416" s="199">
        <v>3.7771902735384597E-2</v>
      </c>
      <c r="L1416" s="199">
        <v>3.523628375370657E-2</v>
      </c>
      <c r="M1416" s="199">
        <v>3.4296862809772337E-2</v>
      </c>
      <c r="N1416" s="199">
        <v>4.1875015093956712E-2</v>
      </c>
    </row>
    <row r="1417" spans="1:14">
      <c r="C1417" s="29">
        <v>23</v>
      </c>
      <c r="D1417" s="34" t="s">
        <v>1862</v>
      </c>
      <c r="E1417" s="199">
        <v>4.3070939064801791E-2</v>
      </c>
      <c r="F1417" s="199">
        <v>3.7641659385840957E-2</v>
      </c>
      <c r="G1417" s="199">
        <v>3.4820648628415413E-2</v>
      </c>
      <c r="H1417" s="199">
        <v>3.8532784574016654E-2</v>
      </c>
      <c r="I1417" s="199">
        <v>4.4121397126144817E-2</v>
      </c>
      <c r="J1417" s="199">
        <v>4.038076829529668E-2</v>
      </c>
      <c r="K1417" s="199">
        <v>3.6523642936628888E-2</v>
      </c>
      <c r="L1417" s="199">
        <v>3.1202529214312692E-2</v>
      </c>
      <c r="M1417" s="199">
        <v>3.3674018817107278E-2</v>
      </c>
      <c r="N1417" s="199">
        <v>4.3325175082124086E-2</v>
      </c>
    </row>
    <row r="1418" spans="1:14">
      <c r="C1418" s="29">
        <v>24</v>
      </c>
      <c r="D1418" s="34" t="s">
        <v>1863</v>
      </c>
      <c r="E1418" s="199">
        <v>3.5498905729582371E-2</v>
      </c>
      <c r="F1418" s="199">
        <v>3.598046960142498E-2</v>
      </c>
      <c r="G1418" s="199">
        <v>3.2032801283059228E-2</v>
      </c>
      <c r="H1418" s="199">
        <v>3.5903982733049573E-2</v>
      </c>
      <c r="I1418" s="199">
        <v>4.2562138455974098E-2</v>
      </c>
      <c r="J1418" s="199">
        <v>3.4644903056816223E-2</v>
      </c>
      <c r="K1418" s="199">
        <v>3.4044089637527163E-2</v>
      </c>
      <c r="L1418" s="199">
        <v>2.7810970602674939E-2</v>
      </c>
      <c r="M1418" s="199">
        <v>3.2973064820012901E-2</v>
      </c>
      <c r="N1418" s="199">
        <v>4.5790685455831273E-2</v>
      </c>
    </row>
    <row r="1419" spans="1:14">
      <c r="A1419" s="16" t="s">
        <v>438</v>
      </c>
      <c r="B1419" s="16" t="s">
        <v>310</v>
      </c>
      <c r="C1419" s="29">
        <v>1</v>
      </c>
      <c r="D1419" s="34" t="s">
        <v>1864</v>
      </c>
      <c r="E1419" s="199">
        <v>2.8675099091984211E-2</v>
      </c>
      <c r="F1419" s="199">
        <v>3.3611241612756089E-2</v>
      </c>
      <c r="G1419" s="199">
        <v>3.0363756911629489E-2</v>
      </c>
      <c r="H1419" s="199">
        <v>3.3685326554354432E-2</v>
      </c>
      <c r="I1419" s="199">
        <v>4.1172560133697821E-2</v>
      </c>
      <c r="J1419" s="199">
        <v>2.8246315535694597E-2</v>
      </c>
      <c r="K1419" s="199">
        <v>3.3181146406468708E-2</v>
      </c>
      <c r="L1419" s="199">
        <v>2.7188477594729935E-2</v>
      </c>
      <c r="M1419" s="199">
        <v>3.2279101227880212E-2</v>
      </c>
      <c r="N1419" s="199">
        <v>4.7277162971561773E-2</v>
      </c>
    </row>
    <row r="1420" spans="1:14">
      <c r="C1420" s="29">
        <v>2</v>
      </c>
      <c r="D1420" s="34" t="s">
        <v>1865</v>
      </c>
      <c r="E1420" s="199">
        <v>2.6707187437270793E-2</v>
      </c>
      <c r="F1420" s="199">
        <v>3.1950932361201265E-2</v>
      </c>
      <c r="G1420" s="199">
        <v>2.9599347676466246E-2</v>
      </c>
      <c r="H1420" s="199">
        <v>3.1509044245414855E-2</v>
      </c>
      <c r="I1420" s="199">
        <v>4.1104318735284015E-2</v>
      </c>
      <c r="J1420" s="199">
        <v>2.4910362926129186E-2</v>
      </c>
      <c r="K1420" s="199">
        <v>3.1762556732455913E-2</v>
      </c>
      <c r="L1420" s="199">
        <v>2.5735416227427733E-2</v>
      </c>
      <c r="M1420" s="199">
        <v>3.228648908567143E-2</v>
      </c>
      <c r="N1420" s="199">
        <v>4.3571269606516479E-2</v>
      </c>
    </row>
    <row r="1421" spans="1:14">
      <c r="C1421" s="29">
        <v>3</v>
      </c>
      <c r="D1421" s="34" t="s">
        <v>1866</v>
      </c>
      <c r="E1421" s="199">
        <v>2.5778077471979785E-2</v>
      </c>
      <c r="F1421" s="199">
        <v>3.1233276400605248E-2</v>
      </c>
      <c r="G1421" s="199">
        <v>2.929540932120988E-2</v>
      </c>
      <c r="H1421" s="199">
        <v>3.0821069516308197E-2</v>
      </c>
      <c r="I1421" s="199">
        <v>4.2566840259566308E-2</v>
      </c>
      <c r="J1421" s="199">
        <v>2.3914574612126867E-2</v>
      </c>
      <c r="K1421" s="199">
        <v>3.0854387248909626E-2</v>
      </c>
      <c r="L1421" s="199">
        <v>2.4302409239782073E-2</v>
      </c>
      <c r="M1421" s="199">
        <v>3.1551169215143178E-2</v>
      </c>
      <c r="N1421" s="199">
        <v>4.4825404418919246E-2</v>
      </c>
    </row>
    <row r="1422" spans="1:14">
      <c r="C1422" s="29">
        <v>4</v>
      </c>
      <c r="D1422" s="34" t="s">
        <v>1867</v>
      </c>
      <c r="E1422" s="199">
        <v>2.6125704949372809E-2</v>
      </c>
      <c r="F1422" s="199">
        <v>3.09059162369274E-2</v>
      </c>
      <c r="G1422" s="199">
        <v>2.9001840870097172E-2</v>
      </c>
      <c r="H1422" s="199">
        <v>2.9839248547015799E-2</v>
      </c>
      <c r="I1422" s="199">
        <v>4.1961486030224947E-2</v>
      </c>
      <c r="J1422" s="199">
        <v>2.3114136552317595E-2</v>
      </c>
      <c r="K1422" s="199">
        <v>3.0059556525369034E-2</v>
      </c>
      <c r="L1422" s="199">
        <v>2.3782796275159467E-2</v>
      </c>
      <c r="M1422" s="199">
        <v>3.0963059251713984E-2</v>
      </c>
      <c r="N1422" s="199">
        <v>4.8958624236920711E-2</v>
      </c>
    </row>
    <row r="1423" spans="1:14">
      <c r="C1423" s="29">
        <v>5</v>
      </c>
      <c r="D1423" s="34" t="s">
        <v>1868</v>
      </c>
      <c r="E1423" s="199">
        <v>2.7007017994300584E-2</v>
      </c>
      <c r="F1423" s="199">
        <v>3.1208958775081445E-2</v>
      </c>
      <c r="G1423" s="199">
        <v>3.1151433619215088E-2</v>
      </c>
      <c r="H1423" s="199">
        <v>3.0985406395125585E-2</v>
      </c>
      <c r="I1423" s="199">
        <v>4.1437571915713574E-2</v>
      </c>
      <c r="J1423" s="199">
        <v>2.3661348610204202E-2</v>
      </c>
      <c r="K1423" s="199">
        <v>2.9208699548792013E-2</v>
      </c>
      <c r="L1423" s="199">
        <v>2.5845438747762857E-2</v>
      </c>
      <c r="M1423" s="199">
        <v>3.2745995598660926E-2</v>
      </c>
      <c r="N1423" s="199">
        <v>5.0998057457581243E-2</v>
      </c>
    </row>
    <row r="1424" spans="1:14">
      <c r="C1424" s="29">
        <v>6</v>
      </c>
      <c r="D1424" s="34" t="s">
        <v>1869</v>
      </c>
      <c r="E1424" s="199">
        <v>2.9743727146778979E-2</v>
      </c>
      <c r="F1424" s="199">
        <v>3.3048769214237675E-2</v>
      </c>
      <c r="G1424" s="199">
        <v>3.3501041786495038E-2</v>
      </c>
      <c r="H1424" s="199">
        <v>3.3032821055748639E-2</v>
      </c>
      <c r="I1424" s="199">
        <v>4.8642111444197791E-2</v>
      </c>
      <c r="J1424" s="199">
        <v>2.9670005994707999E-2</v>
      </c>
      <c r="K1424" s="199">
        <v>3.143057953951911E-2</v>
      </c>
      <c r="L1424" s="199">
        <v>3.4274311240113188E-2</v>
      </c>
      <c r="M1424" s="199">
        <v>4.2412961914407389E-2</v>
      </c>
      <c r="N1424" s="199">
        <v>5.8864604197478042E-2</v>
      </c>
    </row>
    <row r="1425" spans="3:14">
      <c r="C1425" s="29">
        <v>7</v>
      </c>
      <c r="D1425" s="34" t="s">
        <v>1870</v>
      </c>
      <c r="E1425" s="199">
        <v>3.6948386765613662E-2</v>
      </c>
      <c r="F1425" s="199">
        <v>3.5324901753584027E-2</v>
      </c>
      <c r="G1425" s="199">
        <v>3.89834981594245E-2</v>
      </c>
      <c r="H1425" s="199">
        <v>4.053806355969429E-2</v>
      </c>
      <c r="I1425" s="199">
        <v>5.483916816501877E-2</v>
      </c>
      <c r="J1425" s="199">
        <v>3.9116163222979623E-2</v>
      </c>
      <c r="K1425" s="199">
        <v>3.2598572317500102E-2</v>
      </c>
      <c r="L1425" s="199">
        <v>4.0285441099232135E-2</v>
      </c>
      <c r="M1425" s="199">
        <v>4.8350154543040029E-2</v>
      </c>
      <c r="N1425" s="199">
        <v>5.8811894779260555E-2</v>
      </c>
    </row>
    <row r="1426" spans="3:14">
      <c r="C1426" s="29">
        <v>8</v>
      </c>
      <c r="D1426" s="34" t="s">
        <v>1871</v>
      </c>
      <c r="E1426" s="199">
        <v>4.1132808414214718E-2</v>
      </c>
      <c r="F1426" s="199">
        <v>3.8687821484799337E-2</v>
      </c>
      <c r="G1426" s="199">
        <v>4.2959178000323776E-2</v>
      </c>
      <c r="H1426" s="199">
        <v>4.4799038223812933E-2</v>
      </c>
      <c r="I1426" s="199">
        <v>5.417848307209866E-2</v>
      </c>
      <c r="J1426" s="199">
        <v>4.1056010460610082E-2</v>
      </c>
      <c r="K1426" s="199">
        <v>3.715000659452497E-2</v>
      </c>
      <c r="L1426" s="199">
        <v>4.4606677529562849E-2</v>
      </c>
      <c r="M1426" s="199">
        <v>5.1724672599329301E-2</v>
      </c>
      <c r="N1426" s="199">
        <v>5.7068168587118384E-2</v>
      </c>
    </row>
    <row r="1427" spans="3:14">
      <c r="C1427" s="29">
        <v>9</v>
      </c>
      <c r="D1427" s="34" t="s">
        <v>1872</v>
      </c>
      <c r="E1427" s="199">
        <v>3.796779112630301E-2</v>
      </c>
      <c r="F1427" s="199">
        <v>4.5832362186240212E-2</v>
      </c>
      <c r="G1427" s="199">
        <v>4.8288701855098065E-2</v>
      </c>
      <c r="H1427" s="199">
        <v>5.0785520946739091E-2</v>
      </c>
      <c r="I1427" s="199">
        <v>5.1175976814523814E-2</v>
      </c>
      <c r="J1427" s="199">
        <v>3.7318319386706073E-2</v>
      </c>
      <c r="K1427" s="199">
        <v>4.4239986686282359E-2</v>
      </c>
      <c r="L1427" s="199">
        <v>5.2517789418208172E-2</v>
      </c>
      <c r="M1427" s="199">
        <v>5.4091614544265858E-2</v>
      </c>
      <c r="N1427" s="199">
        <v>5.1894014819874552E-2</v>
      </c>
    </row>
    <row r="1428" spans="3:14">
      <c r="C1428" s="29">
        <v>10</v>
      </c>
      <c r="D1428" s="34" t="s">
        <v>1873</v>
      </c>
      <c r="E1428" s="199">
        <v>3.835957215539619E-2</v>
      </c>
      <c r="F1428" s="199">
        <v>4.8255363138603805E-2</v>
      </c>
      <c r="G1428" s="199">
        <v>5.0306602713582373E-2</v>
      </c>
      <c r="H1428" s="199">
        <v>5.171507147108282E-2</v>
      </c>
      <c r="I1428" s="199">
        <v>4.333196235749133E-2</v>
      </c>
      <c r="J1428" s="199">
        <v>3.8940359757569237E-2</v>
      </c>
      <c r="K1428" s="199">
        <v>4.8928332800197573E-2</v>
      </c>
      <c r="L1428" s="199">
        <v>5.4136173997406445E-2</v>
      </c>
      <c r="M1428" s="199">
        <v>5.3279041395352916E-2</v>
      </c>
      <c r="N1428" s="199">
        <v>4.8219767655240525E-2</v>
      </c>
    </row>
    <row r="1429" spans="3:14">
      <c r="C1429" s="29">
        <v>11</v>
      </c>
      <c r="D1429" s="34" t="s">
        <v>1874</v>
      </c>
      <c r="E1429" s="199">
        <v>3.9795309943325495E-2</v>
      </c>
      <c r="F1429" s="199">
        <v>5.072560418277669E-2</v>
      </c>
      <c r="G1429" s="199">
        <v>5.1392508437154337E-2</v>
      </c>
      <c r="H1429" s="199">
        <v>4.9462541984076402E-2</v>
      </c>
      <c r="I1429" s="199">
        <v>4.1419589385050484E-2</v>
      </c>
      <c r="J1429" s="199">
        <v>3.9563445509125772E-2</v>
      </c>
      <c r="K1429" s="199">
        <v>5.125598244124862E-2</v>
      </c>
      <c r="L1429" s="199">
        <v>5.5718977810645755E-2</v>
      </c>
      <c r="M1429" s="199">
        <v>5.0777385055877748E-2</v>
      </c>
      <c r="N1429" s="199">
        <v>4.6097828269222027E-2</v>
      </c>
    </row>
    <row r="1430" spans="3:14">
      <c r="C1430" s="29">
        <v>12</v>
      </c>
      <c r="D1430" s="34" t="s">
        <v>1875</v>
      </c>
      <c r="E1430" s="199">
        <v>4.1097941630890041E-2</v>
      </c>
      <c r="F1430" s="199">
        <v>5.277877632424819E-2</v>
      </c>
      <c r="G1430" s="199">
        <v>5.2703888871959231E-2</v>
      </c>
      <c r="H1430" s="199">
        <v>5.2611194579181488E-2</v>
      </c>
      <c r="I1430" s="199">
        <v>4.0084847573845381E-2</v>
      </c>
      <c r="J1430" s="199">
        <v>4.2154316486291997E-2</v>
      </c>
      <c r="K1430" s="199">
        <v>5.2077799761726405E-2</v>
      </c>
      <c r="L1430" s="199">
        <v>5.640009349277187E-2</v>
      </c>
      <c r="M1430" s="199">
        <v>4.9781574792118456E-2</v>
      </c>
      <c r="N1430" s="199">
        <v>3.8370401514250141E-2</v>
      </c>
    </row>
    <row r="1431" spans="3:14">
      <c r="C1431" s="29">
        <v>13</v>
      </c>
      <c r="D1431" s="34" t="s">
        <v>1876</v>
      </c>
      <c r="E1431" s="199">
        <v>4.3508505592766235E-2</v>
      </c>
      <c r="F1431" s="199">
        <v>5.2190786463261023E-2</v>
      </c>
      <c r="G1431" s="199">
        <v>5.2736200550552351E-2</v>
      </c>
      <c r="H1431" s="199">
        <v>5.2392253753408793E-2</v>
      </c>
      <c r="I1431" s="199">
        <v>3.729571095894612E-2</v>
      </c>
      <c r="J1431" s="199">
        <v>4.4731492947946989E-2</v>
      </c>
      <c r="K1431" s="199">
        <v>5.3327568607053281E-2</v>
      </c>
      <c r="L1431" s="199">
        <v>5.6202546919080006E-2</v>
      </c>
      <c r="M1431" s="199">
        <v>5.1456703140186154E-2</v>
      </c>
      <c r="N1431" s="199">
        <v>3.4498365597045638E-2</v>
      </c>
    </row>
    <row r="1432" spans="3:14">
      <c r="C1432" s="29">
        <v>14</v>
      </c>
      <c r="D1432" s="34" t="s">
        <v>1877</v>
      </c>
      <c r="E1432" s="199">
        <v>4.4899423151978965E-2</v>
      </c>
      <c r="F1432" s="199">
        <v>5.3469896356131481E-2</v>
      </c>
      <c r="G1432" s="199">
        <v>5.3060666602420398E-2</v>
      </c>
      <c r="H1432" s="199">
        <v>5.5678407954254938E-2</v>
      </c>
      <c r="I1432" s="199">
        <v>3.8486650161162671E-2</v>
      </c>
      <c r="J1432" s="199">
        <v>4.4862174112070212E-2</v>
      </c>
      <c r="K1432" s="199">
        <v>5.4850072757448416E-2</v>
      </c>
      <c r="L1432" s="199">
        <v>5.721555679589415E-2</v>
      </c>
      <c r="M1432" s="199">
        <v>5.4734996628947867E-2</v>
      </c>
      <c r="N1432" s="199">
        <v>3.1110886436787843E-2</v>
      </c>
    </row>
    <row r="1433" spans="3:14">
      <c r="C1433" s="29">
        <v>15</v>
      </c>
      <c r="D1433" s="34" t="s">
        <v>1878</v>
      </c>
      <c r="E1433" s="199">
        <v>4.6573555299015607E-2</v>
      </c>
      <c r="F1433" s="199">
        <v>5.3846031286780768E-2</v>
      </c>
      <c r="G1433" s="199">
        <v>5.2622644208188171E-2</v>
      </c>
      <c r="H1433" s="199">
        <v>5.2629104207082431E-2</v>
      </c>
      <c r="I1433" s="199">
        <v>3.5826273076716479E-2</v>
      </c>
      <c r="J1433" s="199">
        <v>4.7316776327517372E-2</v>
      </c>
      <c r="K1433" s="199">
        <v>5.7051298478292337E-2</v>
      </c>
      <c r="L1433" s="199">
        <v>5.586274159963972E-2</v>
      </c>
      <c r="M1433" s="199">
        <v>5.2974953520341608E-2</v>
      </c>
      <c r="N1433" s="199">
        <v>3.5525223151949233E-2</v>
      </c>
    </row>
    <row r="1434" spans="3:14">
      <c r="C1434" s="29">
        <v>16</v>
      </c>
      <c r="D1434" s="34" t="s">
        <v>1879</v>
      </c>
      <c r="E1434" s="199">
        <v>4.8983002470730515E-2</v>
      </c>
      <c r="F1434" s="199">
        <v>5.3277713171053814E-2</v>
      </c>
      <c r="G1434" s="199">
        <v>4.8848435107225627E-2</v>
      </c>
      <c r="H1434" s="199">
        <v>4.8281031580566069E-2</v>
      </c>
      <c r="I1434" s="199">
        <v>3.5241783193849616E-2</v>
      </c>
      <c r="J1434" s="199">
        <v>5.0814053662757964E-2</v>
      </c>
      <c r="K1434" s="199">
        <v>5.6897986903758219E-2</v>
      </c>
      <c r="L1434" s="199">
        <v>5.3057675443984542E-2</v>
      </c>
      <c r="M1434" s="199">
        <v>4.7765875320687753E-2</v>
      </c>
      <c r="N1434" s="199">
        <v>4.2213873653161343E-2</v>
      </c>
    </row>
    <row r="1435" spans="3:14">
      <c r="C1435" s="29">
        <v>17</v>
      </c>
      <c r="D1435" s="34" t="s">
        <v>1880</v>
      </c>
      <c r="E1435" s="199">
        <v>5.2468079929088002E-2</v>
      </c>
      <c r="F1435" s="199">
        <v>4.9212707456342056E-2</v>
      </c>
      <c r="G1435" s="199">
        <v>4.7688060509521936E-2</v>
      </c>
      <c r="H1435" s="199">
        <v>4.4258832509276536E-2</v>
      </c>
      <c r="I1435" s="199">
        <v>3.5681605922984513E-2</v>
      </c>
      <c r="J1435" s="199">
        <v>5.5385179030695141E-2</v>
      </c>
      <c r="K1435" s="199">
        <v>5.3535348088512874E-2</v>
      </c>
      <c r="L1435" s="199">
        <v>4.8569906621714336E-2</v>
      </c>
      <c r="M1435" s="199">
        <v>3.9212560160876542E-2</v>
      </c>
      <c r="N1435" s="199">
        <v>3.3931097179933097E-2</v>
      </c>
    </row>
    <row r="1436" spans="3:14">
      <c r="C1436" s="29">
        <v>18</v>
      </c>
      <c r="D1436" s="34" t="s">
        <v>1881</v>
      </c>
      <c r="E1436" s="199">
        <v>5.754879150055936E-2</v>
      </c>
      <c r="F1436" s="199">
        <v>4.0893889127197595E-2</v>
      </c>
      <c r="G1436" s="199">
        <v>4.5337297512007817E-2</v>
      </c>
      <c r="H1436" s="199">
        <v>4.1221371284787693E-2</v>
      </c>
      <c r="I1436" s="199">
        <v>3.7370926351623493E-2</v>
      </c>
      <c r="J1436" s="199">
        <v>6.157976617590144E-2</v>
      </c>
      <c r="K1436" s="199">
        <v>4.4665044139782548E-2</v>
      </c>
      <c r="L1436" s="199">
        <v>4.6212687308742131E-2</v>
      </c>
      <c r="M1436" s="199">
        <v>3.8086595908622602E-2</v>
      </c>
      <c r="N1436" s="199">
        <v>2.9504328028895858E-2</v>
      </c>
    </row>
    <row r="1437" spans="3:14">
      <c r="C1437" s="29">
        <v>19</v>
      </c>
      <c r="D1437" s="34" t="s">
        <v>1882</v>
      </c>
      <c r="E1437" s="199">
        <v>5.9624815237046755E-2</v>
      </c>
      <c r="F1437" s="199">
        <v>3.6188477418915233E-2</v>
      </c>
      <c r="G1437" s="199">
        <v>4.3333325320225588E-2</v>
      </c>
      <c r="H1437" s="199">
        <v>3.9493996424374865E-2</v>
      </c>
      <c r="I1437" s="199">
        <v>3.6804476635735946E-2</v>
      </c>
      <c r="J1437" s="199">
        <v>6.4268723997881777E-2</v>
      </c>
      <c r="K1437" s="199">
        <v>3.7514387492308454E-2</v>
      </c>
      <c r="L1437" s="199">
        <v>4.2296294647847545E-2</v>
      </c>
      <c r="M1437" s="199">
        <v>3.5707705699850857E-2</v>
      </c>
      <c r="N1437" s="199">
        <v>2.7130760250646129E-2</v>
      </c>
    </row>
    <row r="1438" spans="3:14">
      <c r="C1438" s="29">
        <v>20</v>
      </c>
      <c r="D1438" s="34" t="s">
        <v>1883</v>
      </c>
      <c r="E1438" s="199">
        <v>5.9261408321481218E-2</v>
      </c>
      <c r="F1438" s="199">
        <v>4.0956448067443564E-2</v>
      </c>
      <c r="G1438" s="199">
        <v>4.26273646356903E-2</v>
      </c>
      <c r="H1438" s="199">
        <v>3.9360111746744086E-2</v>
      </c>
      <c r="I1438" s="199">
        <v>3.8450800372468931E-2</v>
      </c>
      <c r="J1438" s="199">
        <v>6.2487711574015357E-2</v>
      </c>
      <c r="K1438" s="199">
        <v>3.9691891722352386E-2</v>
      </c>
      <c r="L1438" s="199">
        <v>4.2306173906074759E-2</v>
      </c>
      <c r="M1438" s="199">
        <v>3.5721751750466262E-2</v>
      </c>
      <c r="N1438" s="199">
        <v>2.730676655358287E-2</v>
      </c>
    </row>
    <row r="1439" spans="3:14">
      <c r="C1439" s="29">
        <v>21</v>
      </c>
      <c r="D1439" s="34" t="s">
        <v>1884</v>
      </c>
      <c r="E1439" s="199">
        <v>5.8077627735910846E-2</v>
      </c>
      <c r="F1439" s="199">
        <v>4.2429708319917728E-2</v>
      </c>
      <c r="G1439" s="199">
        <v>4.1584134602864142E-2</v>
      </c>
      <c r="H1439" s="199">
        <v>3.8872701515107841E-2</v>
      </c>
      <c r="I1439" s="199">
        <v>3.771374716054688E-2</v>
      </c>
      <c r="J1439" s="199">
        <v>5.7954277982843166E-2</v>
      </c>
      <c r="K1439" s="199">
        <v>3.9925866259867424E-2</v>
      </c>
      <c r="L1439" s="199">
        <v>3.9879568240397352E-2</v>
      </c>
      <c r="M1439" s="199">
        <v>3.4489073996783644E-2</v>
      </c>
      <c r="N1439" s="199">
        <v>3.132377905773643E-2</v>
      </c>
    </row>
    <row r="1440" spans="3:14">
      <c r="C1440" s="29">
        <v>22</v>
      </c>
      <c r="D1440" s="34" t="s">
        <v>1885</v>
      </c>
      <c r="E1440" s="199">
        <v>5.0696018448592145E-2</v>
      </c>
      <c r="F1440" s="199">
        <v>4.0534579816962374E-2</v>
      </c>
      <c r="G1440" s="199">
        <v>3.8732864646661182E-2</v>
      </c>
      <c r="H1440" s="199">
        <v>3.9448959835646773E-2</v>
      </c>
      <c r="I1440" s="199">
        <v>4.0325594466729217E-2</v>
      </c>
      <c r="J1440" s="199">
        <v>4.9033325520172741E-2</v>
      </c>
      <c r="K1440" s="199">
        <v>3.8517591352969942E-2</v>
      </c>
      <c r="L1440" s="199">
        <v>3.5124544901292971E-2</v>
      </c>
      <c r="M1440" s="199">
        <v>3.4435261205464904E-2</v>
      </c>
      <c r="N1440" s="199">
        <v>3.5850521432800216E-2</v>
      </c>
    </row>
    <row r="1441" spans="1:14">
      <c r="C1441" s="29">
        <v>23</v>
      </c>
      <c r="D1441" s="34" t="s">
        <v>1886</v>
      </c>
      <c r="E1441" s="199">
        <v>4.30177761061123E-2</v>
      </c>
      <c r="F1441" s="199">
        <v>3.7386235576599647E-2</v>
      </c>
      <c r="G1441" s="199">
        <v>3.4166671792698826E-2</v>
      </c>
      <c r="H1441" s="199">
        <v>3.5943106420875774E-2</v>
      </c>
      <c r="I1441" s="199">
        <v>4.1956586943345586E-2</v>
      </c>
      <c r="J1441" s="199">
        <v>3.8483666780735351E-2</v>
      </c>
      <c r="K1441" s="199">
        <v>3.6114473235974463E-2</v>
      </c>
      <c r="L1441" s="199">
        <v>3.0679097380542985E-2</v>
      </c>
      <c r="M1441" s="199">
        <v>3.2749917547858734E-2</v>
      </c>
      <c r="N1441" s="199">
        <v>3.7101060086065334E-2</v>
      </c>
    </row>
    <row r="1442" spans="1:14">
      <c r="C1442" s="29">
        <v>24</v>
      </c>
      <c r="D1442" s="34" t="s">
        <v>1887</v>
      </c>
      <c r="E1442" s="199">
        <v>3.6002372079288004E-2</v>
      </c>
      <c r="F1442" s="199">
        <v>3.6049603268333522E-2</v>
      </c>
      <c r="G1442" s="199">
        <v>3.1715126289288409E-2</v>
      </c>
      <c r="H1442" s="199">
        <v>3.2635775689319399E-2</v>
      </c>
      <c r="I1442" s="199">
        <v>4.2930928869177785E-2</v>
      </c>
      <c r="J1442" s="199">
        <v>3.1417492832999327E-2</v>
      </c>
      <c r="K1442" s="199">
        <v>3.5160864358685165E-2</v>
      </c>
      <c r="L1442" s="199">
        <v>2.7799203561987139E-2</v>
      </c>
      <c r="M1442" s="199">
        <v>3.2421385896451785E-2</v>
      </c>
      <c r="N1442" s="199">
        <v>3.9546140057452231E-2</v>
      </c>
    </row>
    <row r="1443" spans="1:14">
      <c r="A1443" s="16" t="s">
        <v>438</v>
      </c>
      <c r="B1443" s="16" t="s">
        <v>311</v>
      </c>
      <c r="C1443" s="29">
        <v>1</v>
      </c>
      <c r="D1443" s="34" t="s">
        <v>1888</v>
      </c>
      <c r="E1443" s="199">
        <v>3.1525311205128186E-2</v>
      </c>
      <c r="F1443" s="199">
        <v>3.4517479748225416E-2</v>
      </c>
      <c r="G1443" s="199">
        <v>3.1066830513087854E-2</v>
      </c>
      <c r="H1443" s="199">
        <v>3.1270661757765668E-2</v>
      </c>
      <c r="I1443" s="199">
        <v>4.8124866605065361E-2</v>
      </c>
      <c r="J1443" s="199">
        <v>2.8728460307156659E-2</v>
      </c>
      <c r="K1443" s="199">
        <v>3.4403139632237421E-2</v>
      </c>
      <c r="L1443" s="199">
        <v>2.6848771804689763E-2</v>
      </c>
      <c r="M1443" s="199">
        <v>3.2253266158791309E-2</v>
      </c>
      <c r="N1443" s="199">
        <v>3.7045710909608537E-2</v>
      </c>
    </row>
    <row r="1444" spans="1:14">
      <c r="C1444" s="29">
        <v>2</v>
      </c>
      <c r="D1444" s="34" t="s">
        <v>1889</v>
      </c>
      <c r="E1444" s="199">
        <v>2.8993445020321168E-2</v>
      </c>
      <c r="F1444" s="199">
        <v>3.3315912073945263E-2</v>
      </c>
      <c r="G1444" s="199">
        <v>2.9972719734830466E-2</v>
      </c>
      <c r="H1444" s="199">
        <v>3.1155059652264425E-2</v>
      </c>
      <c r="I1444" s="199">
        <v>4.6803058594084485E-2</v>
      </c>
      <c r="J1444" s="199">
        <v>2.596049855243043E-2</v>
      </c>
      <c r="K1444" s="199">
        <v>3.2991067604681235E-2</v>
      </c>
      <c r="L1444" s="199">
        <v>2.5498246395421205E-2</v>
      </c>
      <c r="M1444" s="199">
        <v>3.2463563396727631E-2</v>
      </c>
      <c r="N1444" s="199">
        <v>3.6892334383410164E-2</v>
      </c>
    </row>
    <row r="1445" spans="1:14">
      <c r="C1445" s="29">
        <v>3</v>
      </c>
      <c r="D1445" s="34" t="s">
        <v>1890</v>
      </c>
      <c r="E1445" s="199">
        <v>2.7837446916129587E-2</v>
      </c>
      <c r="F1445" s="199">
        <v>3.2698998395945679E-2</v>
      </c>
      <c r="G1445" s="199">
        <v>2.9451948263554701E-2</v>
      </c>
      <c r="H1445" s="199">
        <v>3.1390705602406491E-2</v>
      </c>
      <c r="I1445" s="199">
        <v>4.572126561279876E-2</v>
      </c>
      <c r="J1445" s="199">
        <v>2.4791049539280054E-2</v>
      </c>
      <c r="K1445" s="199">
        <v>3.2076909404092732E-2</v>
      </c>
      <c r="L1445" s="199">
        <v>2.4504570739357565E-2</v>
      </c>
      <c r="M1445" s="199">
        <v>3.2201130160794809E-2</v>
      </c>
      <c r="N1445" s="199">
        <v>3.5679541129217167E-2</v>
      </c>
    </row>
    <row r="1446" spans="1:14">
      <c r="C1446" s="29">
        <v>4</v>
      </c>
      <c r="D1446" s="34" t="s">
        <v>1891</v>
      </c>
      <c r="E1446" s="199">
        <v>2.7175376313234058E-2</v>
      </c>
      <c r="F1446" s="199">
        <v>3.2034960832401038E-2</v>
      </c>
      <c r="G1446" s="199">
        <v>2.9181938853621022E-2</v>
      </c>
      <c r="H1446" s="199">
        <v>3.0060404730101516E-2</v>
      </c>
      <c r="I1446" s="199">
        <v>4.5447574352898777E-2</v>
      </c>
      <c r="J1446" s="199">
        <v>2.4949386506712544E-2</v>
      </c>
      <c r="K1446" s="199">
        <v>3.0706476667391191E-2</v>
      </c>
      <c r="L1446" s="199">
        <v>2.372672958221175E-2</v>
      </c>
      <c r="M1446" s="199">
        <v>3.139131508395003E-2</v>
      </c>
      <c r="N1446" s="199">
        <v>3.8503676593205201E-2</v>
      </c>
    </row>
    <row r="1447" spans="1:14">
      <c r="C1447" s="29">
        <v>5</v>
      </c>
      <c r="D1447" s="34" t="s">
        <v>1892</v>
      </c>
      <c r="E1447" s="199">
        <v>2.7646696375609667E-2</v>
      </c>
      <c r="F1447" s="199">
        <v>3.2185585702014054E-2</v>
      </c>
      <c r="G1447" s="199">
        <v>3.1041006987060801E-2</v>
      </c>
      <c r="H1447" s="199">
        <v>3.128188299348672E-2</v>
      </c>
      <c r="I1447" s="199">
        <v>4.4559148112789167E-2</v>
      </c>
      <c r="J1447" s="199">
        <v>2.5930994454265492E-2</v>
      </c>
      <c r="K1447" s="199">
        <v>3.1382805696017334E-2</v>
      </c>
      <c r="L1447" s="199">
        <v>2.6792847589635262E-2</v>
      </c>
      <c r="M1447" s="199">
        <v>3.4224283711367001E-2</v>
      </c>
      <c r="N1447" s="199">
        <v>4.5152920160460915E-2</v>
      </c>
    </row>
    <row r="1448" spans="1:14">
      <c r="C1448" s="29">
        <v>6</v>
      </c>
      <c r="D1448" s="34" t="s">
        <v>1893</v>
      </c>
      <c r="E1448" s="199">
        <v>3.0931067313053999E-2</v>
      </c>
      <c r="F1448" s="199">
        <v>3.3882059644270206E-2</v>
      </c>
      <c r="G1448" s="199">
        <v>3.3627814994532858E-2</v>
      </c>
      <c r="H1448" s="199">
        <v>3.3157582676983578E-2</v>
      </c>
      <c r="I1448" s="199">
        <v>4.9869959908032585E-2</v>
      </c>
      <c r="J1448" s="199">
        <v>3.3383668712832583E-2</v>
      </c>
      <c r="K1448" s="199">
        <v>3.1965458698130986E-2</v>
      </c>
      <c r="L1448" s="199">
        <v>3.5386801608796377E-2</v>
      </c>
      <c r="M1448" s="199">
        <v>4.2474228668671773E-2</v>
      </c>
      <c r="N1448" s="199">
        <v>5.3556636451734967E-2</v>
      </c>
    </row>
    <row r="1449" spans="1:14">
      <c r="C1449" s="29">
        <v>7</v>
      </c>
      <c r="D1449" s="34" t="s">
        <v>1894</v>
      </c>
      <c r="E1449" s="199">
        <v>3.864334134379268E-2</v>
      </c>
      <c r="F1449" s="199">
        <v>3.5918441505807128E-2</v>
      </c>
      <c r="G1449" s="199">
        <v>3.907510573239862E-2</v>
      </c>
      <c r="H1449" s="199">
        <v>4.2090855189660804E-2</v>
      </c>
      <c r="I1449" s="199">
        <v>5.2476512906239503E-2</v>
      </c>
      <c r="J1449" s="199">
        <v>4.0765035476316706E-2</v>
      </c>
      <c r="K1449" s="199">
        <v>3.4163627064449809E-2</v>
      </c>
      <c r="L1449" s="199">
        <v>4.1639991175387137E-2</v>
      </c>
      <c r="M1449" s="199">
        <v>4.8315305966332892E-2</v>
      </c>
      <c r="N1449" s="199">
        <v>6.7067466956872768E-2</v>
      </c>
    </row>
    <row r="1450" spans="1:14">
      <c r="C1450" s="29">
        <v>8</v>
      </c>
      <c r="D1450" s="34" t="s">
        <v>1895</v>
      </c>
      <c r="E1450" s="199">
        <v>4.3767342640954353E-2</v>
      </c>
      <c r="F1450" s="199">
        <v>3.8454862496622326E-2</v>
      </c>
      <c r="G1450" s="199">
        <v>4.2759107658226533E-2</v>
      </c>
      <c r="H1450" s="199">
        <v>4.5674695792007378E-2</v>
      </c>
      <c r="I1450" s="199">
        <v>5.2933857839021221E-2</v>
      </c>
      <c r="J1450" s="199">
        <v>4.3193532522931087E-2</v>
      </c>
      <c r="K1450" s="199">
        <v>3.9893683651305349E-2</v>
      </c>
      <c r="L1450" s="199">
        <v>4.4976384193118266E-2</v>
      </c>
      <c r="M1450" s="199">
        <v>5.2631059287211415E-2</v>
      </c>
      <c r="N1450" s="199">
        <v>6.4524469515343769E-2</v>
      </c>
    </row>
    <row r="1451" spans="1:14">
      <c r="C1451" s="29">
        <v>9</v>
      </c>
      <c r="D1451" s="34" t="s">
        <v>1896</v>
      </c>
      <c r="E1451" s="199">
        <v>3.9818537096311453E-2</v>
      </c>
      <c r="F1451" s="199">
        <v>4.3939036514120601E-2</v>
      </c>
      <c r="G1451" s="199">
        <v>4.7017203339576555E-2</v>
      </c>
      <c r="H1451" s="199">
        <v>5.0001241933641E-2</v>
      </c>
      <c r="I1451" s="199">
        <v>5.1863439371922331E-2</v>
      </c>
      <c r="J1451" s="199">
        <v>4.022569446807199E-2</v>
      </c>
      <c r="K1451" s="199">
        <v>4.5274287069490084E-2</v>
      </c>
      <c r="L1451" s="199">
        <v>5.2017204824796347E-2</v>
      </c>
      <c r="M1451" s="199">
        <v>5.2073527075008119E-2</v>
      </c>
      <c r="N1451" s="199">
        <v>6.3010987175024999E-2</v>
      </c>
    </row>
    <row r="1452" spans="1:14">
      <c r="C1452" s="29">
        <v>10</v>
      </c>
      <c r="D1452" s="34" t="s">
        <v>1897</v>
      </c>
      <c r="E1452" s="199">
        <v>3.8424697310120791E-2</v>
      </c>
      <c r="F1452" s="199">
        <v>4.7649771795095892E-2</v>
      </c>
      <c r="G1452" s="199">
        <v>5.0010831386014511E-2</v>
      </c>
      <c r="H1452" s="199">
        <v>5.1502432874947796E-2</v>
      </c>
      <c r="I1452" s="199">
        <v>4.2664652483030883E-2</v>
      </c>
      <c r="J1452" s="199">
        <v>3.9321101865229788E-2</v>
      </c>
      <c r="K1452" s="199">
        <v>4.9117529250240252E-2</v>
      </c>
      <c r="L1452" s="199">
        <v>5.4009768121591986E-2</v>
      </c>
      <c r="M1452" s="199">
        <v>5.1389207497765543E-2</v>
      </c>
      <c r="N1452" s="199">
        <v>4.7329047642596524E-2</v>
      </c>
    </row>
    <row r="1453" spans="1:14">
      <c r="C1453" s="29">
        <v>11</v>
      </c>
      <c r="D1453" s="34" t="s">
        <v>1898</v>
      </c>
      <c r="E1453" s="199">
        <v>3.870969604449967E-2</v>
      </c>
      <c r="F1453" s="199">
        <v>5.1783089218902956E-2</v>
      </c>
      <c r="G1453" s="199">
        <v>5.3143664098979269E-2</v>
      </c>
      <c r="H1453" s="199">
        <v>5.0508067747041786E-2</v>
      </c>
      <c r="I1453" s="199">
        <v>3.851142116247535E-2</v>
      </c>
      <c r="J1453" s="199">
        <v>3.7774904307697872E-2</v>
      </c>
      <c r="K1453" s="199">
        <v>5.2854049086832035E-2</v>
      </c>
      <c r="L1453" s="199">
        <v>5.6234258395515005E-2</v>
      </c>
      <c r="M1453" s="199">
        <v>5.3000255973908755E-2</v>
      </c>
      <c r="N1453" s="199">
        <v>3.6966147490087767E-2</v>
      </c>
    </row>
    <row r="1454" spans="1:14">
      <c r="C1454" s="29">
        <v>12</v>
      </c>
      <c r="D1454" s="34" t="s">
        <v>1899</v>
      </c>
      <c r="E1454" s="199">
        <v>4.0472043676183483E-2</v>
      </c>
      <c r="F1454" s="199">
        <v>5.2397837251311988E-2</v>
      </c>
      <c r="G1454" s="199">
        <v>5.2605094770795967E-2</v>
      </c>
      <c r="H1454" s="199">
        <v>5.2707897499856084E-2</v>
      </c>
      <c r="I1454" s="199">
        <v>3.8432246875523192E-2</v>
      </c>
      <c r="J1454" s="199">
        <v>3.9216633998198962E-2</v>
      </c>
      <c r="K1454" s="199">
        <v>5.4196780059879386E-2</v>
      </c>
      <c r="L1454" s="199">
        <v>5.6508705529802875E-2</v>
      </c>
      <c r="M1454" s="199">
        <v>5.0521166200149466E-2</v>
      </c>
      <c r="N1454" s="199">
        <v>3.3210670447793592E-2</v>
      </c>
    </row>
    <row r="1455" spans="1:14">
      <c r="C1455" s="29">
        <v>13</v>
      </c>
      <c r="D1455" s="34" t="s">
        <v>1900</v>
      </c>
      <c r="E1455" s="199">
        <v>4.1787278122267693E-2</v>
      </c>
      <c r="F1455" s="199">
        <v>5.1573921605176508E-2</v>
      </c>
      <c r="G1455" s="199">
        <v>5.2347328813160829E-2</v>
      </c>
      <c r="H1455" s="199">
        <v>5.0167924039247434E-2</v>
      </c>
      <c r="I1455" s="199">
        <v>3.8201178092941282E-2</v>
      </c>
      <c r="J1455" s="199">
        <v>4.256858392658576E-2</v>
      </c>
      <c r="K1455" s="199">
        <v>5.3406178161702046E-2</v>
      </c>
      <c r="L1455" s="199">
        <v>5.6155051446029641E-2</v>
      </c>
      <c r="M1455" s="199">
        <v>5.2619986154893571E-2</v>
      </c>
      <c r="N1455" s="199">
        <v>3.2917613595077812E-2</v>
      </c>
    </row>
    <row r="1456" spans="1:14">
      <c r="C1456" s="29">
        <v>14</v>
      </c>
      <c r="D1456" s="34" t="s">
        <v>1901</v>
      </c>
      <c r="E1456" s="199">
        <v>4.3074271944456552E-2</v>
      </c>
      <c r="F1456" s="199">
        <v>5.311842066498397E-2</v>
      </c>
      <c r="G1456" s="199">
        <v>5.235266341780135E-2</v>
      </c>
      <c r="H1456" s="199">
        <v>5.3041086379260818E-2</v>
      </c>
      <c r="I1456" s="199">
        <v>3.4823011281217606E-2</v>
      </c>
      <c r="J1456" s="199">
        <v>4.2589008278189788E-2</v>
      </c>
      <c r="K1456" s="199">
        <v>5.5272321457305866E-2</v>
      </c>
      <c r="L1456" s="199">
        <v>5.6656720821892693E-2</v>
      </c>
      <c r="M1456" s="199">
        <v>5.3602357543691373E-2</v>
      </c>
      <c r="N1456" s="199">
        <v>3.2873702115184616E-2</v>
      </c>
    </row>
    <row r="1457" spans="1:14">
      <c r="C1457" s="29">
        <v>15</v>
      </c>
      <c r="D1457" s="34" t="s">
        <v>1902</v>
      </c>
      <c r="E1457" s="199">
        <v>4.2861221549219203E-2</v>
      </c>
      <c r="F1457" s="199">
        <v>5.3902918748844661E-2</v>
      </c>
      <c r="G1457" s="199">
        <v>5.2547008173719247E-2</v>
      </c>
      <c r="H1457" s="199">
        <v>5.0851484315254776E-2</v>
      </c>
      <c r="I1457" s="199">
        <v>3.594065315272138E-2</v>
      </c>
      <c r="J1457" s="199">
        <v>4.5062284522328862E-2</v>
      </c>
      <c r="K1457" s="199">
        <v>5.7014834183035629E-2</v>
      </c>
      <c r="L1457" s="199">
        <v>5.6200133211226647E-2</v>
      </c>
      <c r="M1457" s="199">
        <v>5.3417251681778126E-2</v>
      </c>
      <c r="N1457" s="199">
        <v>3.7066098382416091E-2</v>
      </c>
    </row>
    <row r="1458" spans="1:14">
      <c r="C1458" s="29">
        <v>16</v>
      </c>
      <c r="D1458" s="34" t="s">
        <v>1903</v>
      </c>
      <c r="E1458" s="199">
        <v>4.8028223117960157E-2</v>
      </c>
      <c r="F1458" s="199">
        <v>5.2663227274590566E-2</v>
      </c>
      <c r="G1458" s="199">
        <v>5.0068151653471393E-2</v>
      </c>
      <c r="H1458" s="199">
        <v>4.725642247718715E-2</v>
      </c>
      <c r="I1458" s="199">
        <v>3.644336833872025E-2</v>
      </c>
      <c r="J1458" s="199">
        <v>4.8724174748030431E-2</v>
      </c>
      <c r="K1458" s="199">
        <v>5.6463967655034565E-2</v>
      </c>
      <c r="L1458" s="199">
        <v>5.3740647103023578E-2</v>
      </c>
      <c r="M1458" s="199">
        <v>4.8358768010680425E-2</v>
      </c>
      <c r="N1458" s="199">
        <v>3.9326389534346987E-2</v>
      </c>
    </row>
    <row r="1459" spans="1:14">
      <c r="C1459" s="29">
        <v>17</v>
      </c>
      <c r="D1459" s="34" t="s">
        <v>1904</v>
      </c>
      <c r="E1459" s="199">
        <v>5.1768297628387826E-2</v>
      </c>
      <c r="F1459" s="199">
        <v>4.8629360796344438E-2</v>
      </c>
      <c r="G1459" s="199">
        <v>4.8559266453604852E-2</v>
      </c>
      <c r="H1459" s="199">
        <v>4.520229345693836E-2</v>
      </c>
      <c r="I1459" s="199">
        <v>3.6534620059275276E-2</v>
      </c>
      <c r="J1459" s="199">
        <v>5.3881227043044037E-2</v>
      </c>
      <c r="K1459" s="199">
        <v>5.3012436829333862E-2</v>
      </c>
      <c r="L1459" s="199">
        <v>4.8711031173159294E-2</v>
      </c>
      <c r="M1459" s="199">
        <v>3.9924916780796842E-2</v>
      </c>
      <c r="N1459" s="199">
        <v>3.8114746342722619E-2</v>
      </c>
    </row>
    <row r="1460" spans="1:14">
      <c r="C1460" s="29">
        <v>18</v>
      </c>
      <c r="D1460" s="34" t="s">
        <v>1905</v>
      </c>
      <c r="E1460" s="199">
        <v>5.6524406248462361E-2</v>
      </c>
      <c r="F1460" s="199">
        <v>4.168894480817055E-2</v>
      </c>
      <c r="G1460" s="199">
        <v>4.6535675073484765E-2</v>
      </c>
      <c r="H1460" s="199">
        <v>4.2249530476028779E-2</v>
      </c>
      <c r="I1460" s="199">
        <v>3.5587915409399443E-2</v>
      </c>
      <c r="J1460" s="199">
        <v>5.784295203157705E-2</v>
      </c>
      <c r="K1460" s="199">
        <v>4.3402227132676843E-2</v>
      </c>
      <c r="L1460" s="199">
        <v>4.5865515806345326E-2</v>
      </c>
      <c r="M1460" s="199">
        <v>3.7416206378087312E-2</v>
      </c>
      <c r="N1460" s="199">
        <v>3.043661498111231E-2</v>
      </c>
    </row>
    <row r="1461" spans="1:14">
      <c r="C1461" s="29">
        <v>19</v>
      </c>
      <c r="D1461" s="34" t="s">
        <v>1906</v>
      </c>
      <c r="E1461" s="199">
        <v>5.808418771217104E-2</v>
      </c>
      <c r="F1461" s="199">
        <v>3.669094416311755E-2</v>
      </c>
      <c r="G1461" s="199">
        <v>4.4214331963084483E-2</v>
      </c>
      <c r="H1461" s="199">
        <v>4.0192713034721834E-2</v>
      </c>
      <c r="I1461" s="199">
        <v>3.2471042915147401E-2</v>
      </c>
      <c r="J1461" s="199">
        <v>5.9961986127731653E-2</v>
      </c>
      <c r="K1461" s="199">
        <v>3.4832603614250841E-2</v>
      </c>
      <c r="L1461" s="199">
        <v>4.2728129298104059E-2</v>
      </c>
      <c r="M1461" s="199">
        <v>3.5327075414121313E-2</v>
      </c>
      <c r="N1461" s="199">
        <v>3.0567199358223267E-2</v>
      </c>
    </row>
    <row r="1462" spans="1:14">
      <c r="C1462" s="29">
        <v>20</v>
      </c>
      <c r="D1462" s="34" t="s">
        <v>1907</v>
      </c>
      <c r="E1462" s="199">
        <v>5.982652918847977E-2</v>
      </c>
      <c r="F1462" s="199">
        <v>4.1381760637521053E-2</v>
      </c>
      <c r="G1462" s="199">
        <v>4.227367645755923E-2</v>
      </c>
      <c r="H1462" s="199">
        <v>3.9615871385936585E-2</v>
      </c>
      <c r="I1462" s="199">
        <v>3.4694760438672832E-2</v>
      </c>
      <c r="J1462" s="199">
        <v>6.1555410554959597E-2</v>
      </c>
      <c r="K1462" s="199">
        <v>3.6876939309124446E-2</v>
      </c>
      <c r="L1462" s="199">
        <v>4.1642616189563157E-2</v>
      </c>
      <c r="M1462" s="199">
        <v>3.4293306236148215E-2</v>
      </c>
      <c r="N1462" s="199">
        <v>3.0391762540935698E-2</v>
      </c>
    </row>
    <row r="1463" spans="1:14">
      <c r="C1463" s="29">
        <v>21</v>
      </c>
      <c r="D1463" s="34" t="s">
        <v>1908</v>
      </c>
      <c r="E1463" s="199">
        <v>5.6698147382556428E-2</v>
      </c>
      <c r="F1463" s="199">
        <v>4.2007983779033267E-2</v>
      </c>
      <c r="G1463" s="199">
        <v>4.0398521342642282E-2</v>
      </c>
      <c r="H1463" s="199">
        <v>3.8843067219585269E-2</v>
      </c>
      <c r="I1463" s="199">
        <v>3.7739935152488781E-2</v>
      </c>
      <c r="J1463" s="199">
        <v>5.857513101292252E-2</v>
      </c>
      <c r="K1463" s="199">
        <v>3.6794527181148735E-2</v>
      </c>
      <c r="L1463" s="199">
        <v>3.8584690255365317E-2</v>
      </c>
      <c r="M1463" s="199">
        <v>3.3459868477025381E-2</v>
      </c>
      <c r="N1463" s="199">
        <v>3.6862537307768353E-2</v>
      </c>
    </row>
    <row r="1464" spans="1:14">
      <c r="C1464" s="29">
        <v>22</v>
      </c>
      <c r="D1464" s="34" t="s">
        <v>1909</v>
      </c>
      <c r="E1464" s="199">
        <v>5.1128834464412728E-2</v>
      </c>
      <c r="F1464" s="199">
        <v>3.8197347548218484E-2</v>
      </c>
      <c r="G1464" s="199">
        <v>3.6990136696214232E-2</v>
      </c>
      <c r="H1464" s="199">
        <v>3.9166262185925935E-2</v>
      </c>
      <c r="I1464" s="199">
        <v>3.8776869094678132E-2</v>
      </c>
      <c r="J1464" s="199">
        <v>5.0391852001999825E-2</v>
      </c>
      <c r="K1464" s="199">
        <v>3.5401467624089793E-2</v>
      </c>
      <c r="L1464" s="199">
        <v>3.3577025531002017E-2</v>
      </c>
      <c r="M1464" s="199">
        <v>3.3448795344707537E-2</v>
      </c>
      <c r="N1464" s="199">
        <v>4.0414139621986978E-2</v>
      </c>
    </row>
    <row r="1465" spans="1:14">
      <c r="C1465" s="29">
        <v>23</v>
      </c>
      <c r="D1465" s="34" t="s">
        <v>1910</v>
      </c>
      <c r="E1465" s="199">
        <v>4.1944238341058142E-2</v>
      </c>
      <c r="F1465" s="199">
        <v>3.6464465447300379E-2</v>
      </c>
      <c r="G1465" s="199">
        <v>3.3993633428566906E-2</v>
      </c>
      <c r="H1465" s="199">
        <v>3.7291848269022113E-2</v>
      </c>
      <c r="I1465" s="199">
        <v>4.2573784173066433E-2</v>
      </c>
      <c r="J1465" s="199">
        <v>4.0067032498525459E-2</v>
      </c>
      <c r="K1465" s="199">
        <v>3.4837505266800912E-2</v>
      </c>
      <c r="L1465" s="199">
        <v>3.0347484539585898E-2</v>
      </c>
      <c r="M1465" s="199">
        <v>3.3076738098828086E-2</v>
      </c>
      <c r="N1465" s="199">
        <v>4.4184672028815965E-2</v>
      </c>
    </row>
    <row r="1466" spans="1:14">
      <c r="C1466" s="29">
        <v>24</v>
      </c>
      <c r="D1466" s="34" t="s">
        <v>1911</v>
      </c>
      <c r="E1466" s="199">
        <v>3.4329363045229148E-2</v>
      </c>
      <c r="F1466" s="199">
        <v>3.4902669348035903E-2</v>
      </c>
      <c r="G1466" s="199">
        <v>3.0766340194011133E-2</v>
      </c>
      <c r="H1466" s="199">
        <v>3.5320008310727707E-2</v>
      </c>
      <c r="I1466" s="199">
        <v>3.8804858067789549E-2</v>
      </c>
      <c r="J1466" s="199">
        <v>3.4539396542980952E-2</v>
      </c>
      <c r="K1466" s="199">
        <v>3.3659177700748666E-2</v>
      </c>
      <c r="L1466" s="199">
        <v>2.7646674664378944E-2</v>
      </c>
      <c r="M1466" s="199">
        <v>3.2116420698563325E-2</v>
      </c>
      <c r="N1466" s="199">
        <v>4.790491533605299E-2</v>
      </c>
    </row>
    <row r="1467" spans="1:14">
      <c r="A1467" s="16" t="s">
        <v>438</v>
      </c>
      <c r="B1467" s="16" t="s">
        <v>420</v>
      </c>
      <c r="C1467" s="29">
        <v>1</v>
      </c>
      <c r="D1467" s="34" t="s">
        <v>1912</v>
      </c>
      <c r="E1467" s="199">
        <v>3.0760817287404769E-2</v>
      </c>
      <c r="F1467" s="199">
        <v>3.3966772188642511E-2</v>
      </c>
      <c r="G1467" s="199">
        <v>3.1211253251022527E-2</v>
      </c>
      <c r="H1467" s="199">
        <v>3.3536437079446042E-2</v>
      </c>
      <c r="I1467" s="199">
        <v>4.0582144479435762E-2</v>
      </c>
      <c r="J1467" s="199">
        <v>3.0127193126943553E-2</v>
      </c>
      <c r="K1467" s="199">
        <v>3.4715164066679974E-2</v>
      </c>
      <c r="L1467" s="199">
        <v>2.8357705522813182E-2</v>
      </c>
      <c r="M1467" s="199">
        <v>3.2231456372388091E-2</v>
      </c>
      <c r="N1467" s="199">
        <v>5.4418700745957678E-2</v>
      </c>
    </row>
    <row r="1468" spans="1:14">
      <c r="C1468" s="29">
        <v>2</v>
      </c>
      <c r="D1468" s="34" t="s">
        <v>1913</v>
      </c>
      <c r="E1468" s="199">
        <v>2.8441762227315346E-2</v>
      </c>
      <c r="F1468" s="199">
        <v>3.3026475620255E-2</v>
      </c>
      <c r="G1468" s="199">
        <v>3.053726816679184E-2</v>
      </c>
      <c r="H1468" s="199">
        <v>3.2653404874904826E-2</v>
      </c>
      <c r="I1468" s="199">
        <v>4.3141191726875479E-2</v>
      </c>
      <c r="J1468" s="199">
        <v>2.7031521396726477E-2</v>
      </c>
      <c r="K1468" s="199">
        <v>3.40100332323846E-2</v>
      </c>
      <c r="L1468" s="199">
        <v>2.6609513668572917E-2</v>
      </c>
      <c r="M1468" s="199">
        <v>3.2397476198828039E-2</v>
      </c>
      <c r="N1468" s="199">
        <v>4.7360319663703153E-2</v>
      </c>
    </row>
    <row r="1469" spans="1:14">
      <c r="C1469" s="29">
        <v>3</v>
      </c>
      <c r="D1469" s="34" t="s">
        <v>1914</v>
      </c>
      <c r="E1469" s="199">
        <v>2.7317644249818206E-2</v>
      </c>
      <c r="F1469" s="199">
        <v>3.2910628023730647E-2</v>
      </c>
      <c r="G1469" s="199">
        <v>3.0332782625492341E-2</v>
      </c>
      <c r="H1469" s="199">
        <v>3.2081736176278651E-2</v>
      </c>
      <c r="I1469" s="199">
        <v>4.2479011113050705E-2</v>
      </c>
      <c r="J1469" s="199">
        <v>2.5023126455698208E-2</v>
      </c>
      <c r="K1469" s="199">
        <v>3.288669762600839E-2</v>
      </c>
      <c r="L1469" s="199">
        <v>2.498753361428838E-2</v>
      </c>
      <c r="M1469" s="199">
        <v>3.2256378084483471E-2</v>
      </c>
      <c r="N1469" s="199">
        <v>4.773530776105242E-2</v>
      </c>
    </row>
    <row r="1470" spans="1:14">
      <c r="C1470" s="29">
        <v>4</v>
      </c>
      <c r="D1470" s="34" t="s">
        <v>1915</v>
      </c>
      <c r="E1470" s="199">
        <v>2.7494578301725747E-2</v>
      </c>
      <c r="F1470" s="199">
        <v>3.2035487518198708E-2</v>
      </c>
      <c r="G1470" s="199">
        <v>2.9732623266773804E-2</v>
      </c>
      <c r="H1470" s="199">
        <v>3.1070654793476614E-2</v>
      </c>
      <c r="I1470" s="199">
        <v>4.2042569293145635E-2</v>
      </c>
      <c r="J1470" s="199">
        <v>2.5080682268487857E-2</v>
      </c>
      <c r="K1470" s="199">
        <v>3.1458511069296036E-2</v>
      </c>
      <c r="L1470" s="199">
        <v>2.4412953074782834E-2</v>
      </c>
      <c r="M1470" s="199">
        <v>3.2551691003749127E-2</v>
      </c>
      <c r="N1470" s="199">
        <v>4.6369232892724127E-2</v>
      </c>
    </row>
    <row r="1471" spans="1:14">
      <c r="C1471" s="29">
        <v>5</v>
      </c>
      <c r="D1471" s="34" t="s">
        <v>1916</v>
      </c>
      <c r="E1471" s="199">
        <v>2.7845221566394251E-2</v>
      </c>
      <c r="F1471" s="199">
        <v>3.2561552665474836E-2</v>
      </c>
      <c r="G1471" s="199">
        <v>3.1408374722458908E-2</v>
      </c>
      <c r="H1471" s="199">
        <v>3.2451822505167489E-2</v>
      </c>
      <c r="I1471" s="199">
        <v>4.0850293578425796E-2</v>
      </c>
      <c r="J1471" s="199">
        <v>2.5831445857792377E-2</v>
      </c>
      <c r="K1471" s="199">
        <v>3.2547275422119611E-2</v>
      </c>
      <c r="L1471" s="199">
        <v>2.7622046513510596E-2</v>
      </c>
      <c r="M1471" s="199">
        <v>3.4861071761039371E-2</v>
      </c>
      <c r="N1471" s="199">
        <v>4.2462433487114121E-2</v>
      </c>
    </row>
    <row r="1472" spans="1:14">
      <c r="C1472" s="29">
        <v>6</v>
      </c>
      <c r="D1472" s="34" t="s">
        <v>1917</v>
      </c>
      <c r="E1472" s="199">
        <v>3.2393036190468502E-2</v>
      </c>
      <c r="F1472" s="199">
        <v>3.3377915513049923E-2</v>
      </c>
      <c r="G1472" s="199">
        <v>3.4352836998355042E-2</v>
      </c>
      <c r="H1472" s="199">
        <v>3.4870349918871453E-2</v>
      </c>
      <c r="I1472" s="199">
        <v>4.4875699036787134E-2</v>
      </c>
      <c r="J1472" s="199">
        <v>3.1146281014884591E-2</v>
      </c>
      <c r="K1472" s="199">
        <v>3.2547812401649646E-2</v>
      </c>
      <c r="L1472" s="199">
        <v>3.6422718752410627E-2</v>
      </c>
      <c r="M1472" s="199">
        <v>4.1771787572572772E-2</v>
      </c>
      <c r="N1472" s="199">
        <v>5.547683547610166E-2</v>
      </c>
    </row>
    <row r="1473" spans="3:14">
      <c r="C1473" s="29">
        <v>7</v>
      </c>
      <c r="D1473" s="34" t="s">
        <v>1918</v>
      </c>
      <c r="E1473" s="199">
        <v>3.9690023912796309E-2</v>
      </c>
      <c r="F1473" s="199">
        <v>3.5317096561182981E-2</v>
      </c>
      <c r="G1473" s="199">
        <v>3.9945780216201821E-2</v>
      </c>
      <c r="H1473" s="199">
        <v>4.3162081676243268E-2</v>
      </c>
      <c r="I1473" s="199">
        <v>5.0057644976661188E-2</v>
      </c>
      <c r="J1473" s="199">
        <v>3.7549314017913671E-2</v>
      </c>
      <c r="K1473" s="199">
        <v>3.2206728118263146E-2</v>
      </c>
      <c r="L1473" s="199">
        <v>4.1710319864928035E-2</v>
      </c>
      <c r="M1473" s="199">
        <v>4.5636245688356419E-2</v>
      </c>
      <c r="N1473" s="199">
        <v>6.0777773798094341E-2</v>
      </c>
    </row>
    <row r="1474" spans="3:14">
      <c r="C1474" s="29">
        <v>8</v>
      </c>
      <c r="D1474" s="34" t="s">
        <v>1919</v>
      </c>
      <c r="E1474" s="199">
        <v>4.5861342641902031E-2</v>
      </c>
      <c r="F1474" s="199">
        <v>3.8432896268584975E-2</v>
      </c>
      <c r="G1474" s="199">
        <v>4.4050077327975994E-2</v>
      </c>
      <c r="H1474" s="199">
        <v>4.6327985234350735E-2</v>
      </c>
      <c r="I1474" s="199">
        <v>5.2198050595831082E-2</v>
      </c>
      <c r="J1474" s="199">
        <v>4.0001443398263836E-2</v>
      </c>
      <c r="K1474" s="199">
        <v>3.7880556114412031E-2</v>
      </c>
      <c r="L1474" s="199">
        <v>4.5878583377105916E-2</v>
      </c>
      <c r="M1474" s="199">
        <v>5.0815839415730139E-2</v>
      </c>
      <c r="N1474" s="199">
        <v>6.4143493989270564E-2</v>
      </c>
    </row>
    <row r="1475" spans="3:14">
      <c r="C1475" s="29">
        <v>9</v>
      </c>
      <c r="D1475" s="34" t="s">
        <v>1920</v>
      </c>
      <c r="E1475" s="199">
        <v>4.2454629844934769E-2</v>
      </c>
      <c r="F1475" s="199">
        <v>4.3731190547373254E-2</v>
      </c>
      <c r="G1475" s="199">
        <v>4.7160317521670034E-2</v>
      </c>
      <c r="H1475" s="199">
        <v>4.7864056722443551E-2</v>
      </c>
      <c r="I1475" s="199">
        <v>5.0561983739659797E-2</v>
      </c>
      <c r="J1475" s="199">
        <v>3.9550227931354952E-2</v>
      </c>
      <c r="K1475" s="199">
        <v>4.2831763085858732E-2</v>
      </c>
      <c r="L1475" s="199">
        <v>5.1301202071019472E-2</v>
      </c>
      <c r="M1475" s="199">
        <v>5.0434986935776173E-2</v>
      </c>
      <c r="N1475" s="199">
        <v>5.6553424774810575E-2</v>
      </c>
    </row>
    <row r="1476" spans="3:14">
      <c r="C1476" s="29">
        <v>10</v>
      </c>
      <c r="D1476" s="34" t="s">
        <v>1921</v>
      </c>
      <c r="E1476" s="199">
        <v>3.9487614086474006E-2</v>
      </c>
      <c r="F1476" s="199">
        <v>4.649336097814781E-2</v>
      </c>
      <c r="G1476" s="199">
        <v>4.8903912167048841E-2</v>
      </c>
      <c r="H1476" s="199">
        <v>5.0253482050179141E-2</v>
      </c>
      <c r="I1476" s="199">
        <v>4.5983963240986088E-2</v>
      </c>
      <c r="J1476" s="199">
        <v>4.3548095214220865E-2</v>
      </c>
      <c r="K1476" s="199">
        <v>4.7129875096515686E-2</v>
      </c>
      <c r="L1476" s="199">
        <v>5.27422213363926E-2</v>
      </c>
      <c r="M1476" s="199">
        <v>4.9582402048302388E-2</v>
      </c>
      <c r="N1476" s="199">
        <v>4.5001301647676288E-2</v>
      </c>
    </row>
    <row r="1477" spans="3:14">
      <c r="C1477" s="29">
        <v>11</v>
      </c>
      <c r="D1477" s="34" t="s">
        <v>1922</v>
      </c>
      <c r="E1477" s="199">
        <v>4.0887253405726923E-2</v>
      </c>
      <c r="F1477" s="199">
        <v>4.8907185845277389E-2</v>
      </c>
      <c r="G1477" s="199">
        <v>5.0611660938018568E-2</v>
      </c>
      <c r="H1477" s="199">
        <v>4.8126033124051872E-2</v>
      </c>
      <c r="I1477" s="199">
        <v>4.455772288621207E-2</v>
      </c>
      <c r="J1477" s="199">
        <v>4.3656084000948524E-2</v>
      </c>
      <c r="K1477" s="199">
        <v>4.8607566051806363E-2</v>
      </c>
      <c r="L1477" s="199">
        <v>5.3587272707037566E-2</v>
      </c>
      <c r="M1477" s="199">
        <v>4.9662694932760099E-2</v>
      </c>
      <c r="N1477" s="199">
        <v>3.9720346675076415E-2</v>
      </c>
    </row>
    <row r="1478" spans="3:14">
      <c r="C1478" s="29">
        <v>12</v>
      </c>
      <c r="D1478" s="34" t="s">
        <v>1923</v>
      </c>
      <c r="E1478" s="199">
        <v>4.0315024120318579E-2</v>
      </c>
      <c r="F1478" s="199">
        <v>5.1945510556792869E-2</v>
      </c>
      <c r="G1478" s="199">
        <v>5.285508719968434E-2</v>
      </c>
      <c r="H1478" s="199">
        <v>5.2795102643345353E-2</v>
      </c>
      <c r="I1478" s="199">
        <v>4.3149215298105004E-2</v>
      </c>
      <c r="J1478" s="199">
        <v>4.2147403281596246E-2</v>
      </c>
      <c r="K1478" s="199">
        <v>5.1977317166396871E-2</v>
      </c>
      <c r="L1478" s="199">
        <v>5.6781593028176362E-2</v>
      </c>
      <c r="M1478" s="199">
        <v>5.0263158289223772E-2</v>
      </c>
      <c r="N1478" s="199">
        <v>3.4627650141565103E-2</v>
      </c>
    </row>
    <row r="1479" spans="3:14">
      <c r="C1479" s="29">
        <v>13</v>
      </c>
      <c r="D1479" s="34" t="s">
        <v>1924</v>
      </c>
      <c r="E1479" s="199">
        <v>4.2607252521329575E-2</v>
      </c>
      <c r="F1479" s="199">
        <v>5.2759143972523424E-2</v>
      </c>
      <c r="G1479" s="199">
        <v>5.3238012665003658E-2</v>
      </c>
      <c r="H1479" s="199">
        <v>5.1663751847838391E-2</v>
      </c>
      <c r="I1479" s="199">
        <v>3.9386227816426901E-2</v>
      </c>
      <c r="J1479" s="199">
        <v>4.23103075184358E-2</v>
      </c>
      <c r="K1479" s="199">
        <v>5.213570055730294E-2</v>
      </c>
      <c r="L1479" s="199">
        <v>5.7003559450002267E-2</v>
      </c>
      <c r="M1479" s="199">
        <v>5.2658640751084181E-2</v>
      </c>
      <c r="N1479" s="199">
        <v>3.0257520946481306E-2</v>
      </c>
    </row>
    <row r="1480" spans="3:14">
      <c r="C1480" s="29">
        <v>14</v>
      </c>
      <c r="D1480" s="34" t="s">
        <v>1925</v>
      </c>
      <c r="E1480" s="199">
        <v>4.464617412838727E-2</v>
      </c>
      <c r="F1480" s="199">
        <v>5.3321333953036003E-2</v>
      </c>
      <c r="G1480" s="199">
        <v>5.3493719814521903E-2</v>
      </c>
      <c r="H1480" s="199">
        <v>5.3936077296984429E-2</v>
      </c>
      <c r="I1480" s="199">
        <v>3.6809582652256874E-2</v>
      </c>
      <c r="J1480" s="199">
        <v>4.3071612090523625E-2</v>
      </c>
      <c r="K1480" s="199">
        <v>5.369895025104561E-2</v>
      </c>
      <c r="L1480" s="199">
        <v>5.6855445414050042E-2</v>
      </c>
      <c r="M1480" s="199">
        <v>5.5272703492337594E-2</v>
      </c>
      <c r="N1480" s="199">
        <v>3.0080728363601733E-2</v>
      </c>
    </row>
    <row r="1481" spans="3:14">
      <c r="C1481" s="29">
        <v>15</v>
      </c>
      <c r="D1481" s="34" t="s">
        <v>1926</v>
      </c>
      <c r="E1481" s="199">
        <v>4.5987716310236203E-2</v>
      </c>
      <c r="F1481" s="199">
        <v>5.2961661977030838E-2</v>
      </c>
      <c r="G1481" s="199">
        <v>5.199729641188533E-2</v>
      </c>
      <c r="H1481" s="199">
        <v>5.1320865884448702E-2</v>
      </c>
      <c r="I1481" s="199">
        <v>3.6296074093567381E-2</v>
      </c>
      <c r="J1481" s="199">
        <v>4.4867324794461837E-2</v>
      </c>
      <c r="K1481" s="199">
        <v>5.4926869013509294E-2</v>
      </c>
      <c r="L1481" s="199">
        <v>5.6215290187266245E-2</v>
      </c>
      <c r="M1481" s="199">
        <v>5.3764096694743871E-2</v>
      </c>
      <c r="N1481" s="199">
        <v>2.6404010472585459E-2</v>
      </c>
    </row>
    <row r="1482" spans="3:14">
      <c r="C1482" s="29">
        <v>16</v>
      </c>
      <c r="D1482" s="34" t="s">
        <v>1927</v>
      </c>
      <c r="E1482" s="199">
        <v>4.8593340856350892E-2</v>
      </c>
      <c r="F1482" s="199">
        <v>5.2142423738689048E-2</v>
      </c>
      <c r="G1482" s="199">
        <v>4.8696928762856063E-2</v>
      </c>
      <c r="H1482" s="199">
        <v>4.6856029617970869E-2</v>
      </c>
      <c r="I1482" s="199">
        <v>3.6398425195470048E-2</v>
      </c>
      <c r="J1482" s="199">
        <v>5.1829991877609893E-2</v>
      </c>
      <c r="K1482" s="199">
        <v>5.5005293595347983E-2</v>
      </c>
      <c r="L1482" s="199">
        <v>5.3172608855070067E-2</v>
      </c>
      <c r="M1482" s="199">
        <v>4.6947914746008394E-2</v>
      </c>
      <c r="N1482" s="199">
        <v>2.9001955092281574E-2</v>
      </c>
    </row>
    <row r="1483" spans="3:14">
      <c r="C1483" s="29">
        <v>17</v>
      </c>
      <c r="D1483" s="34" t="s">
        <v>1928</v>
      </c>
      <c r="E1483" s="199">
        <v>5.1851961216401496E-2</v>
      </c>
      <c r="F1483" s="199">
        <v>4.8684934194492935E-2</v>
      </c>
      <c r="G1483" s="199">
        <v>4.6318889277712605E-2</v>
      </c>
      <c r="H1483" s="199">
        <v>4.3916546051486607E-2</v>
      </c>
      <c r="I1483" s="199">
        <v>3.639053647417715E-2</v>
      </c>
      <c r="J1483" s="199">
        <v>5.5278940040525873E-2</v>
      </c>
      <c r="K1483" s="199">
        <v>5.229561817543766E-2</v>
      </c>
      <c r="L1483" s="199">
        <v>4.8041452285384804E-2</v>
      </c>
      <c r="M1483" s="199">
        <v>4.0326703033628189E-2</v>
      </c>
      <c r="N1483" s="199">
        <v>3.2496311270259613E-2</v>
      </c>
    </row>
    <row r="1484" spans="3:14">
      <c r="C1484" s="29">
        <v>18</v>
      </c>
      <c r="D1484" s="34" t="s">
        <v>1929</v>
      </c>
      <c r="E1484" s="199">
        <v>5.3778027098628098E-2</v>
      </c>
      <c r="F1484" s="199">
        <v>4.067924786841956E-2</v>
      </c>
      <c r="G1484" s="199">
        <v>4.4479247178415615E-2</v>
      </c>
      <c r="H1484" s="199">
        <v>4.1303812638350167E-2</v>
      </c>
      <c r="I1484" s="199">
        <v>3.9530382398685053E-2</v>
      </c>
      <c r="J1484" s="199">
        <v>6.086189481697727E-2</v>
      </c>
      <c r="K1484" s="199">
        <v>4.5592758406567964E-2</v>
      </c>
      <c r="L1484" s="199">
        <v>4.5666109244418947E-2</v>
      </c>
      <c r="M1484" s="199">
        <v>3.8914691293065844E-2</v>
      </c>
      <c r="N1484" s="199">
        <v>3.6395357573099744E-2</v>
      </c>
    </row>
    <row r="1485" spans="3:14">
      <c r="C1485" s="29">
        <v>19</v>
      </c>
      <c r="D1485" s="34" t="s">
        <v>1930</v>
      </c>
      <c r="E1485" s="199">
        <v>5.4302843516245071E-2</v>
      </c>
      <c r="F1485" s="199">
        <v>3.8873400295686505E-2</v>
      </c>
      <c r="G1485" s="199">
        <v>4.3479516102652008E-2</v>
      </c>
      <c r="H1485" s="199">
        <v>4.0580985976367494E-2</v>
      </c>
      <c r="I1485" s="199">
        <v>3.7261060240096268E-2</v>
      </c>
      <c r="J1485" s="199">
        <v>5.8959953568096572E-2</v>
      </c>
      <c r="K1485" s="199">
        <v>3.9105125147426451E-2</v>
      </c>
      <c r="L1485" s="199">
        <v>4.264717843817678E-2</v>
      </c>
      <c r="M1485" s="199">
        <v>3.7393623639424424E-2</v>
      </c>
      <c r="N1485" s="199">
        <v>3.7941719380485586E-2</v>
      </c>
    </row>
    <row r="1486" spans="3:14">
      <c r="C1486" s="29">
        <v>20</v>
      </c>
      <c r="D1486" s="34" t="s">
        <v>1931</v>
      </c>
      <c r="E1486" s="199">
        <v>5.4126723633882295E-2</v>
      </c>
      <c r="F1486" s="199">
        <v>4.2201541043057782E-2</v>
      </c>
      <c r="G1486" s="199">
        <v>4.1649859287365393E-2</v>
      </c>
      <c r="H1486" s="199">
        <v>3.9433384115032645E-2</v>
      </c>
      <c r="I1486" s="199">
        <v>3.5010010247920935E-2</v>
      </c>
      <c r="J1486" s="199">
        <v>5.763373419053424E-2</v>
      </c>
      <c r="K1486" s="199">
        <v>4.1120153619103962E-2</v>
      </c>
      <c r="L1486" s="199">
        <v>4.2196987812811698E-2</v>
      </c>
      <c r="M1486" s="199">
        <v>3.6050755596329719E-2</v>
      </c>
      <c r="N1486" s="199">
        <v>4.0242425327792444E-2</v>
      </c>
    </row>
    <row r="1487" spans="3:14">
      <c r="C1487" s="29">
        <v>21</v>
      </c>
      <c r="D1487" s="34" t="s">
        <v>1932</v>
      </c>
      <c r="E1487" s="199">
        <v>5.3194663248719243E-2</v>
      </c>
      <c r="F1487" s="199">
        <v>4.2146295591017381E-2</v>
      </c>
      <c r="G1487" s="199">
        <v>4.0813241742313516E-2</v>
      </c>
      <c r="H1487" s="199">
        <v>3.7535928109895006E-2</v>
      </c>
      <c r="I1487" s="199">
        <v>3.8990780377257533E-2</v>
      </c>
      <c r="J1487" s="199">
        <v>5.1639855062919481E-2</v>
      </c>
      <c r="K1487" s="199">
        <v>3.9936804157633052E-2</v>
      </c>
      <c r="L1487" s="199">
        <v>3.7668109727852388E-2</v>
      </c>
      <c r="M1487" s="199">
        <v>3.4935368444090661E-2</v>
      </c>
      <c r="N1487" s="199">
        <v>3.9495506694749639E-2</v>
      </c>
    </row>
    <row r="1488" spans="3:14">
      <c r="C1488" s="29">
        <v>22</v>
      </c>
      <c r="D1488" s="34" t="s">
        <v>1933</v>
      </c>
      <c r="E1488" s="199">
        <v>4.9095719852938056E-2</v>
      </c>
      <c r="F1488" s="199">
        <v>3.9085215883535994E-2</v>
      </c>
      <c r="G1488" s="199">
        <v>3.7714590398931713E-2</v>
      </c>
      <c r="H1488" s="199">
        <v>3.7372092010077046E-2</v>
      </c>
      <c r="I1488" s="199">
        <v>3.875250053923119E-2</v>
      </c>
      <c r="J1488" s="199">
        <v>4.5946199499315596E-2</v>
      </c>
      <c r="K1488" s="199">
        <v>3.6529132060040652E-2</v>
      </c>
      <c r="L1488" s="199">
        <v>3.3107955936397766E-2</v>
      </c>
      <c r="M1488" s="199">
        <v>3.3943090801976945E-2</v>
      </c>
      <c r="N1488" s="199">
        <v>3.8522328499182752E-2</v>
      </c>
    </row>
    <row r="1489" spans="1:14">
      <c r="C1489" s="29">
        <v>23</v>
      </c>
      <c r="D1489" s="34" t="s">
        <v>1934</v>
      </c>
      <c r="E1489" s="199">
        <v>4.2705216675827898E-2</v>
      </c>
      <c r="F1489" s="199">
        <v>3.7647505904293839E-2</v>
      </c>
      <c r="G1489" s="199">
        <v>3.4552172624800523E-2</v>
      </c>
      <c r="H1489" s="199">
        <v>3.6764232994642682E-2</v>
      </c>
      <c r="I1489" s="199">
        <v>4.0815637144711717E-2</v>
      </c>
      <c r="J1489" s="199">
        <v>4.2246652263181236E-2</v>
      </c>
      <c r="K1489" s="199">
        <v>3.5908307011960537E-2</v>
      </c>
      <c r="L1489" s="199">
        <v>2.9734430701807191E-2</v>
      </c>
      <c r="M1489" s="199">
        <v>3.3837126680248061E-2</v>
      </c>
      <c r="N1489" s="199">
        <v>3.2867368216908659E-2</v>
      </c>
    </row>
    <row r="1490" spans="1:14">
      <c r="C1490" s="29">
        <v>24</v>
      </c>
      <c r="D1490" s="34" t="s">
        <v>1935</v>
      </c>
      <c r="E1490" s="199">
        <v>3.616141310577449E-2</v>
      </c>
      <c r="F1490" s="199">
        <v>3.6791223291505935E-2</v>
      </c>
      <c r="G1490" s="199">
        <v>3.2464551332047689E-2</v>
      </c>
      <c r="H1490" s="199">
        <v>3.4123146658146954E-2</v>
      </c>
      <c r="I1490" s="199">
        <v>4.3879292855023309E-2</v>
      </c>
      <c r="J1490" s="199">
        <v>3.4660716312587381E-2</v>
      </c>
      <c r="K1490" s="199">
        <v>3.4945988553232929E-2</v>
      </c>
      <c r="L1490" s="199">
        <v>2.7277208415723616E-2</v>
      </c>
      <c r="M1490" s="199">
        <v>3.3490096523852139E-2</v>
      </c>
      <c r="N1490" s="199">
        <v>3.1647947109424888E-2</v>
      </c>
    </row>
    <row r="1491" spans="1:14">
      <c r="A1491" s="16" t="s">
        <v>438</v>
      </c>
      <c r="B1491" s="16" t="s">
        <v>424</v>
      </c>
      <c r="C1491" s="29">
        <v>1</v>
      </c>
      <c r="D1491" s="34" t="s">
        <v>1936</v>
      </c>
      <c r="E1491" s="199">
        <v>3.1273053108277972E-2</v>
      </c>
      <c r="F1491" s="199">
        <v>4.1343100944582246E-2</v>
      </c>
      <c r="G1491" s="199">
        <v>3.7460661456011013E-2</v>
      </c>
      <c r="H1491" s="199">
        <v>4.2631508924555583E-2</v>
      </c>
      <c r="I1491" s="199">
        <v>4.5850131366581073E-2</v>
      </c>
      <c r="J1491" s="199">
        <v>2.8088889266892628E-2</v>
      </c>
      <c r="K1491" s="199">
        <v>4.1658954734816005E-2</v>
      </c>
      <c r="L1491" s="199">
        <v>3.2213674438104807E-2</v>
      </c>
      <c r="M1491" s="199">
        <v>4.0279900478804448E-2</v>
      </c>
      <c r="N1491" s="199">
        <v>3.9815755713221587E-2</v>
      </c>
    </row>
    <row r="1492" spans="1:14">
      <c r="C1492" s="29">
        <v>2</v>
      </c>
      <c r="D1492" s="34" t="s">
        <v>1937</v>
      </c>
      <c r="E1492" s="199">
        <v>2.8506968327271738E-2</v>
      </c>
      <c r="F1492" s="199">
        <v>4.0601595647461013E-2</v>
      </c>
      <c r="G1492" s="199">
        <v>3.6015271672019497E-2</v>
      </c>
      <c r="H1492" s="199">
        <v>4.0277646587840166E-2</v>
      </c>
      <c r="I1492" s="199">
        <v>4.0707189682050629E-2</v>
      </c>
      <c r="J1492" s="199">
        <v>2.6197261278971682E-2</v>
      </c>
      <c r="K1492" s="199">
        <v>4.1226541686428496E-2</v>
      </c>
      <c r="L1492" s="199">
        <v>3.20024371753376E-2</v>
      </c>
      <c r="M1492" s="199">
        <v>4.0969789526743725E-2</v>
      </c>
      <c r="N1492" s="199">
        <v>3.6893649321673758E-2</v>
      </c>
    </row>
    <row r="1493" spans="1:14">
      <c r="C1493" s="29">
        <v>3</v>
      </c>
      <c r="D1493" s="34" t="s">
        <v>1938</v>
      </c>
      <c r="E1493" s="199">
        <v>2.6848173227647903E-2</v>
      </c>
      <c r="F1493" s="199">
        <v>3.9879477255417933E-2</v>
      </c>
      <c r="G1493" s="199">
        <v>3.5556449100986855E-2</v>
      </c>
      <c r="H1493" s="199">
        <v>3.9243606383025764E-2</v>
      </c>
      <c r="I1493" s="199">
        <v>4.0755939621113207E-2</v>
      </c>
      <c r="J1493" s="199">
        <v>2.4284656625912567E-2</v>
      </c>
      <c r="K1493" s="199">
        <v>3.9659908834906478E-2</v>
      </c>
      <c r="L1493" s="199">
        <v>3.1341509373126866E-2</v>
      </c>
      <c r="M1493" s="199">
        <v>4.0366871945473268E-2</v>
      </c>
      <c r="N1493" s="199">
        <v>4.1385625549539853E-2</v>
      </c>
    </row>
    <row r="1494" spans="1:14">
      <c r="C1494" s="29">
        <v>4</v>
      </c>
      <c r="D1494" s="34" t="s">
        <v>1939</v>
      </c>
      <c r="E1494" s="199">
        <v>2.6808009728062514E-2</v>
      </c>
      <c r="F1494" s="199">
        <v>3.9283531506008267E-2</v>
      </c>
      <c r="G1494" s="199">
        <v>3.48483993985979E-2</v>
      </c>
      <c r="H1494" s="199">
        <v>3.878346130548882E-2</v>
      </c>
      <c r="I1494" s="199">
        <v>4.3028790553634448E-2</v>
      </c>
      <c r="J1494" s="199">
        <v>2.3572203264190301E-2</v>
      </c>
      <c r="K1494" s="199">
        <v>3.8138604539343673E-2</v>
      </c>
      <c r="L1494" s="199">
        <v>3.0300191820027737E-2</v>
      </c>
      <c r="M1494" s="199">
        <v>4.0684306264137188E-2</v>
      </c>
      <c r="N1494" s="199">
        <v>3.8947626677436981E-2</v>
      </c>
    </row>
    <row r="1495" spans="1:14">
      <c r="C1495" s="29">
        <v>5</v>
      </c>
      <c r="D1495" s="34" t="s">
        <v>1940</v>
      </c>
      <c r="E1495" s="199">
        <v>2.6552986138014628E-2</v>
      </c>
      <c r="F1495" s="199">
        <v>3.9079302906491468E-2</v>
      </c>
      <c r="G1495" s="199">
        <v>3.5556711761318006E-2</v>
      </c>
      <c r="H1495" s="199">
        <v>3.9931733892410143E-2</v>
      </c>
      <c r="I1495" s="199">
        <v>4.2571998671794113E-2</v>
      </c>
      <c r="J1495" s="199">
        <v>2.2700155620157751E-2</v>
      </c>
      <c r="K1495" s="199">
        <v>3.836917663224295E-2</v>
      </c>
      <c r="L1495" s="199">
        <v>3.1973382901074814E-2</v>
      </c>
      <c r="M1495" s="199">
        <v>4.1178451838685223E-2</v>
      </c>
      <c r="N1495" s="199">
        <v>4.7763925588144455E-2</v>
      </c>
    </row>
    <row r="1496" spans="1:14">
      <c r="C1496" s="29">
        <v>6</v>
      </c>
      <c r="D1496" s="34" t="s">
        <v>1941</v>
      </c>
      <c r="E1496" s="199">
        <v>2.7236013936991526E-2</v>
      </c>
      <c r="F1496" s="199">
        <v>3.9508707078010047E-2</v>
      </c>
      <c r="G1496" s="199">
        <v>3.7283478301198526E-2</v>
      </c>
      <c r="H1496" s="199">
        <v>4.04914806036068E-2</v>
      </c>
      <c r="I1496" s="199">
        <v>4.9563334272247253E-2</v>
      </c>
      <c r="J1496" s="199">
        <v>2.3859783808386784E-2</v>
      </c>
      <c r="K1496" s="199">
        <v>3.8192043197548008E-2</v>
      </c>
      <c r="L1496" s="199">
        <v>3.8142682254810802E-2</v>
      </c>
      <c r="M1496" s="199">
        <v>4.3734536323275473E-2</v>
      </c>
      <c r="N1496" s="199">
        <v>5.2510735204448121E-2</v>
      </c>
    </row>
    <row r="1497" spans="1:14">
      <c r="C1497" s="29">
        <v>7</v>
      </c>
      <c r="D1497" s="34" t="s">
        <v>1942</v>
      </c>
      <c r="E1497" s="199">
        <v>2.8799592544001468E-2</v>
      </c>
      <c r="F1497" s="199">
        <v>3.934467212527825E-2</v>
      </c>
      <c r="G1497" s="199">
        <v>3.9474425682867145E-2</v>
      </c>
      <c r="H1497" s="199">
        <v>3.9961397332943176E-2</v>
      </c>
      <c r="I1497" s="199">
        <v>5.646226432782997E-2</v>
      </c>
      <c r="J1497" s="199">
        <v>3.1110930669413818E-2</v>
      </c>
      <c r="K1497" s="199">
        <v>3.5271683395691013E-2</v>
      </c>
      <c r="L1497" s="199">
        <v>4.0845624489740405E-2</v>
      </c>
      <c r="M1497" s="199">
        <v>4.2529854628462274E-2</v>
      </c>
      <c r="N1497" s="199">
        <v>5.7104189276170683E-2</v>
      </c>
    </row>
    <row r="1498" spans="1:14">
      <c r="C1498" s="29">
        <v>8</v>
      </c>
      <c r="D1498" s="34" t="s">
        <v>1943</v>
      </c>
      <c r="E1498" s="199">
        <v>3.3817440515054802E-2</v>
      </c>
      <c r="F1498" s="199">
        <v>3.6824269292034577E-2</v>
      </c>
      <c r="G1498" s="199">
        <v>4.1613501401424197E-2</v>
      </c>
      <c r="H1498" s="199">
        <v>4.0638833141539231E-2</v>
      </c>
      <c r="I1498" s="199">
        <v>5.5705472820989158E-2</v>
      </c>
      <c r="J1498" s="199">
        <v>3.5612046265674956E-2</v>
      </c>
      <c r="K1498" s="199">
        <v>3.1602836599420293E-2</v>
      </c>
      <c r="L1498" s="199">
        <v>4.3475410469709361E-2</v>
      </c>
      <c r="M1498" s="199">
        <v>4.2821912657116719E-2</v>
      </c>
      <c r="N1498" s="199">
        <v>4.5743605472363544E-2</v>
      </c>
    </row>
    <row r="1499" spans="1:14">
      <c r="C1499" s="29">
        <v>9</v>
      </c>
      <c r="D1499" s="34" t="s">
        <v>1944</v>
      </c>
      <c r="E1499" s="199">
        <v>4.1030579791553827E-2</v>
      </c>
      <c r="F1499" s="199">
        <v>3.7292920552585686E-2</v>
      </c>
      <c r="G1499" s="199">
        <v>4.2652863340944099E-2</v>
      </c>
      <c r="H1499" s="199">
        <v>4.0803630033389458E-2</v>
      </c>
      <c r="I1499" s="199">
        <v>5.3560404747607274E-2</v>
      </c>
      <c r="J1499" s="199">
        <v>4.0841881673988223E-2</v>
      </c>
      <c r="K1499" s="199">
        <v>3.6306601598079927E-2</v>
      </c>
      <c r="L1499" s="199">
        <v>4.6492190923607402E-2</v>
      </c>
      <c r="M1499" s="199">
        <v>4.3181448547841797E-2</v>
      </c>
      <c r="N1499" s="199">
        <v>4.6347917420316805E-2</v>
      </c>
    </row>
    <row r="1500" spans="1:14">
      <c r="C1500" s="29">
        <v>10</v>
      </c>
      <c r="D1500" s="34" t="s">
        <v>1945</v>
      </c>
      <c r="E1500" s="199">
        <v>4.5527397474929912E-2</v>
      </c>
      <c r="F1500" s="199">
        <v>3.9012938690735688E-2</v>
      </c>
      <c r="G1500" s="199">
        <v>4.4789500070711918E-2</v>
      </c>
      <c r="H1500" s="199">
        <v>4.2270161593401051E-2</v>
      </c>
      <c r="I1500" s="199">
        <v>5.0636540477909303E-2</v>
      </c>
      <c r="J1500" s="199">
        <v>4.3177089850799086E-2</v>
      </c>
      <c r="K1500" s="199">
        <v>4.16829392619983E-2</v>
      </c>
      <c r="L1500" s="199">
        <v>4.9225017090127568E-2</v>
      </c>
      <c r="M1500" s="199">
        <v>4.4289238953527932E-2</v>
      </c>
      <c r="N1500" s="199">
        <v>4.7464932888602249E-2</v>
      </c>
    </row>
    <row r="1501" spans="1:14">
      <c r="C1501" s="29">
        <v>11</v>
      </c>
      <c r="D1501" s="34" t="s">
        <v>1946</v>
      </c>
      <c r="E1501" s="199">
        <v>4.7447179943243982E-2</v>
      </c>
      <c r="F1501" s="199">
        <v>4.0287548819811635E-2</v>
      </c>
      <c r="G1501" s="199">
        <v>4.5410376561482835E-2</v>
      </c>
      <c r="H1501" s="199">
        <v>4.2672667953154275E-2</v>
      </c>
      <c r="I1501" s="199">
        <v>4.5455462048596969E-2</v>
      </c>
      <c r="J1501" s="199">
        <v>4.7261198878961248E-2</v>
      </c>
      <c r="K1501" s="199">
        <v>4.5393248170134598E-2</v>
      </c>
      <c r="L1501" s="199">
        <v>4.9652469559628626E-2</v>
      </c>
      <c r="M1501" s="199">
        <v>4.2595371595395809E-2</v>
      </c>
      <c r="N1501" s="199">
        <v>4.5636180672570352E-2</v>
      </c>
    </row>
    <row r="1502" spans="1:14">
      <c r="C1502" s="29">
        <v>12</v>
      </c>
      <c r="D1502" s="34" t="s">
        <v>1947</v>
      </c>
      <c r="E1502" s="199">
        <v>4.7499408455235176E-2</v>
      </c>
      <c r="F1502" s="199">
        <v>4.3632140522738616E-2</v>
      </c>
      <c r="G1502" s="199">
        <v>4.682513264628145E-2</v>
      </c>
      <c r="H1502" s="199">
        <v>4.4588411723731278E-2</v>
      </c>
      <c r="I1502" s="199">
        <v>4.2739616386800267E-2</v>
      </c>
      <c r="J1502" s="199">
        <v>4.9631094832032409E-2</v>
      </c>
      <c r="K1502" s="199">
        <v>4.6769387922410588E-2</v>
      </c>
      <c r="L1502" s="199">
        <v>5.1937508518221931E-2</v>
      </c>
      <c r="M1502" s="199">
        <v>4.4363752968737555E-2</v>
      </c>
      <c r="N1502" s="199">
        <v>4.4369858650979858E-2</v>
      </c>
    </row>
    <row r="1503" spans="1:14">
      <c r="C1503" s="29">
        <v>13</v>
      </c>
      <c r="D1503" s="34" t="s">
        <v>1948</v>
      </c>
      <c r="E1503" s="199">
        <v>4.8311391328007845E-2</v>
      </c>
      <c r="F1503" s="199">
        <v>4.3923224560467225E-2</v>
      </c>
      <c r="G1503" s="199">
        <v>4.7543958926828424E-2</v>
      </c>
      <c r="H1503" s="199">
        <v>4.5383134686088053E-2</v>
      </c>
      <c r="I1503" s="199">
        <v>3.8561131043869212E-2</v>
      </c>
      <c r="J1503" s="199">
        <v>4.9290119140211502E-2</v>
      </c>
      <c r="K1503" s="199">
        <v>4.7653420501634347E-2</v>
      </c>
      <c r="L1503" s="199">
        <v>5.3986192745144462E-2</v>
      </c>
      <c r="M1503" s="199">
        <v>4.4017366610108292E-2</v>
      </c>
      <c r="N1503" s="199">
        <v>4.2279819966664148E-2</v>
      </c>
    </row>
    <row r="1504" spans="1:14">
      <c r="C1504" s="29">
        <v>14</v>
      </c>
      <c r="D1504" s="34" t="s">
        <v>1949</v>
      </c>
      <c r="E1504" s="199">
        <v>4.7776721945086094E-2</v>
      </c>
      <c r="F1504" s="199">
        <v>4.1916381894474691E-2</v>
      </c>
      <c r="G1504" s="199">
        <v>4.6949926321900967E-2</v>
      </c>
      <c r="H1504" s="199">
        <v>4.2931600045178465E-2</v>
      </c>
      <c r="I1504" s="199">
        <v>3.6496227964620702E-2</v>
      </c>
      <c r="J1504" s="199">
        <v>5.0684352258315343E-2</v>
      </c>
      <c r="K1504" s="199">
        <v>4.717303839888224E-2</v>
      </c>
      <c r="L1504" s="199">
        <v>5.2576653748630943E-2</v>
      </c>
      <c r="M1504" s="199">
        <v>4.4875661946292229E-2</v>
      </c>
      <c r="N1504" s="199">
        <v>4.5749425897322886E-2</v>
      </c>
    </row>
    <row r="1505" spans="1:14">
      <c r="C1505" s="29">
        <v>15</v>
      </c>
      <c r="D1505" s="34" t="s">
        <v>1950</v>
      </c>
      <c r="E1505" s="199">
        <v>4.797295908365428E-2</v>
      </c>
      <c r="F1505" s="199">
        <v>4.1616901538904835E-2</v>
      </c>
      <c r="G1505" s="199">
        <v>4.5908530640959871E-2</v>
      </c>
      <c r="H1505" s="199">
        <v>4.2582712966822367E-2</v>
      </c>
      <c r="I1505" s="199">
        <v>3.5212809757572704E-2</v>
      </c>
      <c r="J1505" s="199">
        <v>5.448505700561309E-2</v>
      </c>
      <c r="K1505" s="199">
        <v>4.6704790014992996E-2</v>
      </c>
      <c r="L1505" s="199">
        <v>5.1437794522250932E-2</v>
      </c>
      <c r="M1505" s="199">
        <v>4.3451013955806035E-2</v>
      </c>
      <c r="N1505" s="199">
        <v>4.9120211134650087E-2</v>
      </c>
    </row>
    <row r="1506" spans="1:14">
      <c r="C1506" s="29">
        <v>16</v>
      </c>
      <c r="D1506" s="34" t="s">
        <v>1951</v>
      </c>
      <c r="E1506" s="199">
        <v>5.0697492511755378E-2</v>
      </c>
      <c r="F1506" s="199">
        <v>4.1616533433112203E-2</v>
      </c>
      <c r="G1506" s="199">
        <v>4.5129990410271305E-2</v>
      </c>
      <c r="H1506" s="199">
        <v>4.1969346974228577E-2</v>
      </c>
      <c r="I1506" s="199">
        <v>3.455613605011295E-2</v>
      </c>
      <c r="J1506" s="199">
        <v>5.4290765412194707E-2</v>
      </c>
      <c r="K1506" s="199">
        <v>4.5191941601228407E-2</v>
      </c>
      <c r="L1506" s="199">
        <v>4.8840267571320678E-2</v>
      </c>
      <c r="M1506" s="199">
        <v>4.2518089257639696E-2</v>
      </c>
      <c r="N1506" s="199">
        <v>4.6535562859767107E-2</v>
      </c>
    </row>
    <row r="1507" spans="1:14">
      <c r="C1507" s="29">
        <v>17</v>
      </c>
      <c r="D1507" s="34" t="s">
        <v>1952</v>
      </c>
      <c r="E1507" s="199">
        <v>5.2843503939259802E-2</v>
      </c>
      <c r="F1507" s="199">
        <v>4.2579936407796143E-2</v>
      </c>
      <c r="G1507" s="199">
        <v>4.5760772947817004E-2</v>
      </c>
      <c r="H1507" s="199">
        <v>4.3209905820586023E-2</v>
      </c>
      <c r="I1507" s="199">
        <v>3.2730100596808212E-2</v>
      </c>
      <c r="J1507" s="199">
        <v>5.6520375149730483E-2</v>
      </c>
      <c r="K1507" s="199">
        <v>4.3457228452401367E-2</v>
      </c>
      <c r="L1507" s="199">
        <v>4.5966399659079171E-2</v>
      </c>
      <c r="M1507" s="199">
        <v>4.1409837464862487E-2</v>
      </c>
      <c r="N1507" s="199">
        <v>3.8763144512421098E-2</v>
      </c>
    </row>
    <row r="1508" spans="1:14">
      <c r="C1508" s="29">
        <v>18</v>
      </c>
      <c r="D1508" s="34" t="s">
        <v>1953</v>
      </c>
      <c r="E1508" s="199">
        <v>5.5916463929231087E-2</v>
      </c>
      <c r="F1508" s="199">
        <v>4.0995784364818648E-2</v>
      </c>
      <c r="G1508" s="199">
        <v>4.3726866425852169E-2</v>
      </c>
      <c r="H1508" s="199">
        <v>4.2188888589664186E-2</v>
      </c>
      <c r="I1508" s="199">
        <v>3.1507319106417152E-2</v>
      </c>
      <c r="J1508" s="199">
        <v>5.7846500850069815E-2</v>
      </c>
      <c r="K1508" s="199">
        <v>3.9179400994135076E-2</v>
      </c>
      <c r="L1508" s="199">
        <v>4.4195618101378981E-2</v>
      </c>
      <c r="M1508" s="199">
        <v>4.023283899551415E-2</v>
      </c>
      <c r="N1508" s="199">
        <v>3.0437026608072699E-2</v>
      </c>
    </row>
    <row r="1509" spans="1:14">
      <c r="C1509" s="29">
        <v>19</v>
      </c>
      <c r="D1509" s="34" t="s">
        <v>1954</v>
      </c>
      <c r="E1509" s="199">
        <v>5.5239355568534862E-2</v>
      </c>
      <c r="F1509" s="199">
        <v>4.0346323044700469E-2</v>
      </c>
      <c r="G1509" s="199">
        <v>4.3447350806023882E-2</v>
      </c>
      <c r="H1509" s="199">
        <v>4.1252922632682605E-2</v>
      </c>
      <c r="I1509" s="199">
        <v>3.0847602949930272E-2</v>
      </c>
      <c r="J1509" s="199">
        <v>5.7353987822321234E-2</v>
      </c>
      <c r="K1509" s="199">
        <v>3.8954204201561059E-2</v>
      </c>
      <c r="L1509" s="199">
        <v>4.2350753024645929E-2</v>
      </c>
      <c r="M1509" s="199">
        <v>3.9402342231567869E-2</v>
      </c>
      <c r="N1509" s="199">
        <v>2.6837599894624999E-2</v>
      </c>
    </row>
    <row r="1510" spans="1:14">
      <c r="C1510" s="29">
        <v>20</v>
      </c>
      <c r="D1510" s="34" t="s">
        <v>1955</v>
      </c>
      <c r="E1510" s="199">
        <v>5.4654541670619596E-2</v>
      </c>
      <c r="F1510" s="199">
        <v>4.7769702218365018E-2</v>
      </c>
      <c r="G1510" s="199">
        <v>4.2673230773479523E-2</v>
      </c>
      <c r="H1510" s="199">
        <v>4.1995714476924621E-2</v>
      </c>
      <c r="I1510" s="199">
        <v>3.4517079495160058E-2</v>
      </c>
      <c r="J1510" s="199">
        <v>5.5490134846012777E-2</v>
      </c>
      <c r="K1510" s="199">
        <v>4.4337928974113559E-2</v>
      </c>
      <c r="L1510" s="199">
        <v>4.3187682054879654E-2</v>
      </c>
      <c r="M1510" s="199">
        <v>3.9555638092579622E-2</v>
      </c>
      <c r="N1510" s="199">
        <v>2.9885731139640468E-2</v>
      </c>
    </row>
    <row r="1511" spans="1:14">
      <c r="C1511" s="29">
        <v>21</v>
      </c>
      <c r="D1511" s="34" t="s">
        <v>1956</v>
      </c>
      <c r="E1511" s="199">
        <v>5.1378214611926321E-2</v>
      </c>
      <c r="F1511" s="199">
        <v>4.8362703121433696E-2</v>
      </c>
      <c r="G1511" s="199">
        <v>4.2881317792396956E-2</v>
      </c>
      <c r="H1511" s="199">
        <v>4.2746545193939819E-2</v>
      </c>
      <c r="I1511" s="199">
        <v>3.7184741254922479E-2</v>
      </c>
      <c r="J1511" s="199">
        <v>5.1736932710405199E-2</v>
      </c>
      <c r="K1511" s="199">
        <v>4.5168302853599206E-2</v>
      </c>
      <c r="L1511" s="199">
        <v>4.0623097380199195E-2</v>
      </c>
      <c r="M1511" s="199">
        <v>3.9565903955356176E-2</v>
      </c>
      <c r="N1511" s="199">
        <v>3.0550777956734755E-2</v>
      </c>
    </row>
    <row r="1512" spans="1:14">
      <c r="C1512" s="29">
        <v>22</v>
      </c>
      <c r="D1512" s="34" t="s">
        <v>1957</v>
      </c>
      <c r="E1512" s="199">
        <v>4.6454953500351413E-2</v>
      </c>
      <c r="F1512" s="199">
        <v>4.7302786313693418E-2</v>
      </c>
      <c r="G1512" s="199">
        <v>4.1993188166971972E-2</v>
      </c>
      <c r="H1512" s="199">
        <v>4.249139137211902E-2</v>
      </c>
      <c r="I1512" s="199">
        <v>3.9125045433315853E-2</v>
      </c>
      <c r="J1512" s="199">
        <v>4.597021862757613E-2</v>
      </c>
      <c r="K1512" s="199">
        <v>4.3966813210136894E-2</v>
      </c>
      <c r="L1512" s="199">
        <v>3.6804298574996841E-2</v>
      </c>
      <c r="M1512" s="199">
        <v>3.9399112521930298E-2</v>
      </c>
      <c r="N1512" s="199">
        <v>3.5232677181643947E-2</v>
      </c>
    </row>
    <row r="1513" spans="1:14">
      <c r="C1513" s="29">
        <v>23</v>
      </c>
      <c r="D1513" s="34" t="s">
        <v>1958</v>
      </c>
      <c r="E1513" s="199">
        <v>4.1717842095068604E-2</v>
      </c>
      <c r="F1513" s="199">
        <v>4.4608181796302625E-2</v>
      </c>
      <c r="G1513" s="199">
        <v>3.9499866212084185E-2</v>
      </c>
      <c r="H1513" s="199">
        <v>4.1212245936450294E-2</v>
      </c>
      <c r="I1513" s="199">
        <v>4.2133107710973852E-2</v>
      </c>
      <c r="J1513" s="199">
        <v>3.7535291808867798E-2</v>
      </c>
      <c r="K1513" s="199">
        <v>4.2892539007705725E-2</v>
      </c>
      <c r="L1513" s="199">
        <v>3.2341376595418844E-2</v>
      </c>
      <c r="M1513" s="199">
        <v>3.9326790095403311E-2</v>
      </c>
      <c r="N1513" s="199">
        <v>3.9809429164352726E-2</v>
      </c>
    </row>
    <row r="1514" spans="1:14">
      <c r="C1514" s="29">
        <v>24</v>
      </c>
      <c r="D1514" s="34" t="s">
        <v>1959</v>
      </c>
      <c r="E1514" s="199">
        <v>3.5689756626219211E-2</v>
      </c>
      <c r="F1514" s="199">
        <v>4.2871335964775568E-2</v>
      </c>
      <c r="G1514" s="199">
        <v>3.6998229181570294E-2</v>
      </c>
      <c r="H1514" s="199">
        <v>3.9741051830230259E-2</v>
      </c>
      <c r="I1514" s="199">
        <v>4.0091553659142826E-2</v>
      </c>
      <c r="J1514" s="199">
        <v>3.2459072333300448E-2</v>
      </c>
      <c r="K1514" s="199">
        <v>4.1048465216588767E-2</v>
      </c>
      <c r="L1514" s="199">
        <v>3.0087767008536458E-2</v>
      </c>
      <c r="M1514" s="199">
        <v>3.924996914473828E-2</v>
      </c>
      <c r="N1514" s="199">
        <v>4.0814591248636782E-2</v>
      </c>
    </row>
    <row r="1515" spans="1:14">
      <c r="A1515" s="16" t="s">
        <v>439</v>
      </c>
      <c r="B1515" s="16" t="s">
        <v>423</v>
      </c>
      <c r="C1515" s="29">
        <v>1</v>
      </c>
      <c r="D1515" s="34" t="s">
        <v>1960</v>
      </c>
      <c r="E1515" s="199">
        <v>3.1961778509514108E-2</v>
      </c>
      <c r="F1515" s="199">
        <v>4.2288259584026933E-2</v>
      </c>
      <c r="G1515" s="199">
        <v>3.7516702128944562E-2</v>
      </c>
      <c r="H1515" s="199">
        <v>4.0959115656449045E-2</v>
      </c>
      <c r="I1515" s="199">
        <v>3.7737908369587521E-2</v>
      </c>
      <c r="J1515" s="199">
        <v>2.9498864425188471E-2</v>
      </c>
      <c r="K1515" s="199">
        <v>4.372519491142756E-2</v>
      </c>
      <c r="L1515" s="199">
        <v>3.594199212808908E-2</v>
      </c>
      <c r="M1515" s="199">
        <v>4.2346342708925046E-2</v>
      </c>
      <c r="N1515" s="199">
        <v>2.8330639570213683E-2</v>
      </c>
    </row>
    <row r="1516" spans="1:14">
      <c r="C1516" s="29">
        <v>2</v>
      </c>
      <c r="D1516" s="34" t="s">
        <v>1961</v>
      </c>
      <c r="E1516" s="199">
        <v>2.9321004389343333E-2</v>
      </c>
      <c r="F1516" s="199">
        <v>4.2423343944707849E-2</v>
      </c>
      <c r="G1516" s="199">
        <v>3.6954113934397133E-2</v>
      </c>
      <c r="H1516" s="199">
        <v>4.0439731843617481E-2</v>
      </c>
      <c r="I1516" s="199">
        <v>3.6122605676542331E-2</v>
      </c>
      <c r="J1516" s="199">
        <v>2.906345269818443E-2</v>
      </c>
      <c r="K1516" s="199">
        <v>4.4408148333929046E-2</v>
      </c>
      <c r="L1516" s="199">
        <v>3.61963276797043E-2</v>
      </c>
      <c r="M1516" s="199">
        <v>4.1931446903970743E-2</v>
      </c>
      <c r="N1516" s="199">
        <v>3.3846807179001792E-2</v>
      </c>
    </row>
    <row r="1517" spans="1:14">
      <c r="C1517" s="29">
        <v>3</v>
      </c>
      <c r="D1517" s="34" t="s">
        <v>1962</v>
      </c>
      <c r="E1517" s="199">
        <v>2.8554260622623055E-2</v>
      </c>
      <c r="F1517" s="199">
        <v>4.2676911168107498E-2</v>
      </c>
      <c r="G1517" s="199">
        <v>3.7092163666075803E-2</v>
      </c>
      <c r="H1517" s="199">
        <v>4.016998762324886E-2</v>
      </c>
      <c r="I1517" s="199">
        <v>4.1153632038640871E-2</v>
      </c>
      <c r="J1517" s="199">
        <v>2.7884596815611545E-2</v>
      </c>
      <c r="K1517" s="199">
        <v>4.4083379389199089E-2</v>
      </c>
      <c r="L1517" s="199">
        <v>3.5749918725140779E-2</v>
      </c>
      <c r="M1517" s="199">
        <v>4.2355372514531156E-2</v>
      </c>
      <c r="N1517" s="199">
        <v>4.8088969312933084E-2</v>
      </c>
    </row>
    <row r="1518" spans="1:14">
      <c r="C1518" s="29">
        <v>4</v>
      </c>
      <c r="D1518" s="34" t="s">
        <v>1963</v>
      </c>
      <c r="E1518" s="199">
        <v>2.9186065434061801E-2</v>
      </c>
      <c r="F1518" s="199">
        <v>4.3450965400581472E-2</v>
      </c>
      <c r="G1518" s="199">
        <v>3.7233243262415637E-2</v>
      </c>
      <c r="H1518" s="199">
        <v>4.0305843576926424E-2</v>
      </c>
      <c r="I1518" s="199">
        <v>4.1217056341399355E-2</v>
      </c>
      <c r="J1518" s="199">
        <v>2.7681294472632349E-2</v>
      </c>
      <c r="K1518" s="199">
        <v>4.4468753097507266E-2</v>
      </c>
      <c r="L1518" s="199">
        <v>3.5518880643151153E-2</v>
      </c>
      <c r="M1518" s="199">
        <v>4.347970212572317E-2</v>
      </c>
      <c r="N1518" s="199">
        <v>4.0250193550679457E-2</v>
      </c>
    </row>
    <row r="1519" spans="1:14">
      <c r="C1519" s="29">
        <v>5</v>
      </c>
      <c r="D1519" s="34" t="s">
        <v>1964</v>
      </c>
      <c r="E1519" s="199">
        <v>3.0091105357794395E-2</v>
      </c>
      <c r="F1519" s="199">
        <v>4.3567682945643595E-2</v>
      </c>
      <c r="G1519" s="199">
        <v>3.7903501312414718E-2</v>
      </c>
      <c r="H1519" s="199">
        <v>4.1098821432491536E-2</v>
      </c>
      <c r="I1519" s="199">
        <v>4.4645778630806009E-2</v>
      </c>
      <c r="J1519" s="199">
        <v>2.9255716389862754E-2</v>
      </c>
      <c r="K1519" s="199">
        <v>4.4340441205181873E-2</v>
      </c>
      <c r="L1519" s="199">
        <v>3.6445008317661461E-2</v>
      </c>
      <c r="M1519" s="199">
        <v>4.3575584403672228E-2</v>
      </c>
      <c r="N1519" s="199">
        <v>3.4902907872873215E-2</v>
      </c>
    </row>
    <row r="1520" spans="1:14">
      <c r="C1520" s="29">
        <v>6</v>
      </c>
      <c r="D1520" s="34" t="s">
        <v>1965</v>
      </c>
      <c r="E1520" s="199">
        <v>3.232083161525743E-2</v>
      </c>
      <c r="F1520" s="199">
        <v>4.5319216100553394E-2</v>
      </c>
      <c r="G1520" s="199">
        <v>3.9631864457924028E-2</v>
      </c>
      <c r="H1520" s="199">
        <v>4.1444278826036886E-2</v>
      </c>
      <c r="I1520" s="199">
        <v>3.9588194742640762E-2</v>
      </c>
      <c r="J1520" s="199">
        <v>3.1923427014713485E-2</v>
      </c>
      <c r="K1520" s="199">
        <v>4.5625531269429802E-2</v>
      </c>
      <c r="L1520" s="199">
        <v>3.6950367810496258E-2</v>
      </c>
      <c r="M1520" s="199">
        <v>4.3616812595058008E-2</v>
      </c>
      <c r="N1520" s="199">
        <v>4.3527872903183135E-2</v>
      </c>
    </row>
    <row r="1521" spans="3:14">
      <c r="C1521" s="29">
        <v>7</v>
      </c>
      <c r="D1521" s="34" t="s">
        <v>1966</v>
      </c>
      <c r="E1521" s="199">
        <v>3.5219459382649344E-2</v>
      </c>
      <c r="F1521" s="199">
        <v>4.62748726919575E-2</v>
      </c>
      <c r="G1521" s="199">
        <v>4.1560011842953035E-2</v>
      </c>
      <c r="H1521" s="199">
        <v>4.1625733786836705E-2</v>
      </c>
      <c r="I1521" s="199">
        <v>4.3076643451429537E-2</v>
      </c>
      <c r="J1521" s="199">
        <v>3.8454595085387178E-2</v>
      </c>
      <c r="K1521" s="199">
        <v>4.9067049581141907E-2</v>
      </c>
      <c r="L1521" s="199">
        <v>4.0925404155420349E-2</v>
      </c>
      <c r="M1521" s="199">
        <v>4.3214154552964623E-2</v>
      </c>
      <c r="N1521" s="199">
        <v>4.335321174262393E-2</v>
      </c>
    </row>
    <row r="1522" spans="3:14">
      <c r="C1522" s="29">
        <v>8</v>
      </c>
      <c r="D1522" s="34" t="s">
        <v>1967</v>
      </c>
      <c r="E1522" s="199">
        <v>4.0262771909693233E-2</v>
      </c>
      <c r="F1522" s="199">
        <v>4.2778435713337719E-2</v>
      </c>
      <c r="G1522" s="199">
        <v>4.3834132406661556E-2</v>
      </c>
      <c r="H1522" s="199">
        <v>4.1948434452624993E-2</v>
      </c>
      <c r="I1522" s="199">
        <v>4.7341423555113699E-2</v>
      </c>
      <c r="J1522" s="199">
        <v>4.4970666292287423E-2</v>
      </c>
      <c r="K1522" s="199">
        <v>4.3913266792619435E-2</v>
      </c>
      <c r="L1522" s="199">
        <v>4.2537538701541588E-2</v>
      </c>
      <c r="M1522" s="199">
        <v>4.3209877276624897E-2</v>
      </c>
      <c r="N1522" s="199">
        <v>3.923797219248773E-2</v>
      </c>
    </row>
    <row r="1523" spans="3:14">
      <c r="C1523" s="29">
        <v>9</v>
      </c>
      <c r="D1523" s="34" t="s">
        <v>1968</v>
      </c>
      <c r="E1523" s="199">
        <v>4.8228444803665865E-2</v>
      </c>
      <c r="F1523" s="199">
        <v>3.7845649901413578E-2</v>
      </c>
      <c r="G1523" s="199">
        <v>4.4073109935698726E-2</v>
      </c>
      <c r="H1523" s="199">
        <v>4.1752863476487129E-2</v>
      </c>
      <c r="I1523" s="199">
        <v>4.4653622625846816E-2</v>
      </c>
      <c r="J1523" s="199">
        <v>4.6941962586806468E-2</v>
      </c>
      <c r="K1523" s="199">
        <v>3.7940772156625981E-2</v>
      </c>
      <c r="L1523" s="199">
        <v>4.3697454450299898E-2</v>
      </c>
      <c r="M1523" s="199">
        <v>4.2189509243134762E-2</v>
      </c>
      <c r="N1523" s="199">
        <v>4.3204878183472566E-2</v>
      </c>
    </row>
    <row r="1524" spans="3:14">
      <c r="C1524" s="29">
        <v>10</v>
      </c>
      <c r="D1524" s="34" t="s">
        <v>1969</v>
      </c>
      <c r="E1524" s="199">
        <v>4.9535621922020288E-2</v>
      </c>
      <c r="F1524" s="199">
        <v>3.6657159179087476E-2</v>
      </c>
      <c r="G1524" s="199">
        <v>4.4100183766571627E-2</v>
      </c>
      <c r="H1524" s="199">
        <v>4.0663107092390863E-2</v>
      </c>
      <c r="I1524" s="199">
        <v>4.5906420690934938E-2</v>
      </c>
      <c r="J1524" s="199">
        <v>5.1029757704737701E-2</v>
      </c>
      <c r="K1524" s="199">
        <v>3.9989757575939602E-2</v>
      </c>
      <c r="L1524" s="199">
        <v>4.4041920029876544E-2</v>
      </c>
      <c r="M1524" s="199">
        <v>4.2315094828998645E-2</v>
      </c>
      <c r="N1524" s="199">
        <v>4.7713747481486671E-2</v>
      </c>
    </row>
    <row r="1525" spans="3:14">
      <c r="C1525" s="29">
        <v>11</v>
      </c>
      <c r="D1525" s="34" t="s">
        <v>1970</v>
      </c>
      <c r="E1525" s="199">
        <v>4.9645636889849187E-2</v>
      </c>
      <c r="F1525" s="199">
        <v>3.5808041386257379E-2</v>
      </c>
      <c r="G1525" s="199">
        <v>4.5337676345129342E-2</v>
      </c>
      <c r="H1525" s="199">
        <v>4.0290615390682967E-2</v>
      </c>
      <c r="I1525" s="199">
        <v>4.7914035193092272E-2</v>
      </c>
      <c r="J1525" s="199">
        <v>4.8384563108161416E-2</v>
      </c>
      <c r="K1525" s="199">
        <v>4.0463394597646939E-2</v>
      </c>
      <c r="L1525" s="199">
        <v>4.6220126926086354E-2</v>
      </c>
      <c r="M1525" s="199">
        <v>4.0646719430038676E-2</v>
      </c>
      <c r="N1525" s="199">
        <v>5.2722199069629661E-2</v>
      </c>
    </row>
    <row r="1526" spans="3:14">
      <c r="C1526" s="29">
        <v>12</v>
      </c>
      <c r="D1526" s="34" t="s">
        <v>1971</v>
      </c>
      <c r="E1526" s="199">
        <v>4.8278650575580999E-2</v>
      </c>
      <c r="F1526" s="199">
        <v>3.7396827277207667E-2</v>
      </c>
      <c r="G1526" s="199">
        <v>4.5664276260492957E-2</v>
      </c>
      <c r="H1526" s="199">
        <v>4.0616224811146968E-2</v>
      </c>
      <c r="I1526" s="199">
        <v>4.3497978042192624E-2</v>
      </c>
      <c r="J1526" s="199">
        <v>4.6615104126250202E-2</v>
      </c>
      <c r="K1526" s="199">
        <v>4.3408498258387419E-2</v>
      </c>
      <c r="L1526" s="199">
        <v>4.6355922318451093E-2</v>
      </c>
      <c r="M1526" s="199">
        <v>4.0791077506504729E-2</v>
      </c>
      <c r="N1526" s="199">
        <v>5.016670936875188E-2</v>
      </c>
    </row>
    <row r="1527" spans="3:14">
      <c r="C1527" s="29">
        <v>13</v>
      </c>
      <c r="D1527" s="34" t="s">
        <v>1972</v>
      </c>
      <c r="E1527" s="199">
        <v>4.5471082147197861E-2</v>
      </c>
      <c r="F1527" s="199">
        <v>3.7733458330343403E-2</v>
      </c>
      <c r="G1527" s="199">
        <v>4.5849609751400913E-2</v>
      </c>
      <c r="H1527" s="199">
        <v>4.055958964657861E-2</v>
      </c>
      <c r="I1527" s="199">
        <v>4.2424695406466859E-2</v>
      </c>
      <c r="J1527" s="199">
        <v>4.734572339027926E-2</v>
      </c>
      <c r="K1527" s="199">
        <v>4.047143560138447E-2</v>
      </c>
      <c r="L1527" s="199">
        <v>4.6492879679375702E-2</v>
      </c>
      <c r="M1527" s="199">
        <v>4.0257130843427802E-2</v>
      </c>
      <c r="N1527" s="199">
        <v>5.5093823651732501E-2</v>
      </c>
    </row>
    <row r="1528" spans="3:14">
      <c r="C1528" s="29">
        <v>14</v>
      </c>
      <c r="D1528" s="34" t="s">
        <v>1973</v>
      </c>
      <c r="E1528" s="199">
        <v>4.4420049624389828E-2</v>
      </c>
      <c r="F1528" s="199">
        <v>3.6891758627666089E-2</v>
      </c>
      <c r="G1528" s="199">
        <v>4.4214506327539309E-2</v>
      </c>
      <c r="H1528" s="199">
        <v>4.0771672083081564E-2</v>
      </c>
      <c r="I1528" s="199">
        <v>4.1681644961958871E-2</v>
      </c>
      <c r="J1528" s="199">
        <v>4.6138342504593199E-2</v>
      </c>
      <c r="K1528" s="199">
        <v>3.7835050165851168E-2</v>
      </c>
      <c r="L1528" s="199">
        <v>4.6578071340957629E-2</v>
      </c>
      <c r="M1528" s="199">
        <v>4.0905494648592645E-2</v>
      </c>
      <c r="N1528" s="199">
        <v>6.1258549246420574E-2</v>
      </c>
    </row>
    <row r="1529" spans="3:14">
      <c r="C1529" s="29">
        <v>15</v>
      </c>
      <c r="D1529" s="34" t="s">
        <v>1974</v>
      </c>
      <c r="E1529" s="199">
        <v>4.4084679635618143E-2</v>
      </c>
      <c r="F1529" s="199">
        <v>3.7027256147798553E-2</v>
      </c>
      <c r="G1529" s="199">
        <v>4.4955157962400259E-2</v>
      </c>
      <c r="H1529" s="199">
        <v>4.1822074727447547E-2</v>
      </c>
      <c r="I1529" s="199">
        <v>4.5131433980903683E-2</v>
      </c>
      <c r="J1529" s="199">
        <v>4.1730959237253479E-2</v>
      </c>
      <c r="K1529" s="199">
        <v>3.7093494408717759E-2</v>
      </c>
      <c r="L1529" s="199">
        <v>4.6996651148512009E-2</v>
      </c>
      <c r="M1529" s="199">
        <v>4.1754177562335071E-2</v>
      </c>
      <c r="N1529" s="199">
        <v>6.0309471322499635E-2</v>
      </c>
    </row>
    <row r="1530" spans="3:14">
      <c r="C1530" s="29">
        <v>16</v>
      </c>
      <c r="D1530" s="34" t="s">
        <v>1975</v>
      </c>
      <c r="E1530" s="199">
        <v>4.3241188410283397E-2</v>
      </c>
      <c r="F1530" s="199">
        <v>3.6397169204213771E-2</v>
      </c>
      <c r="G1530" s="199">
        <v>4.3207973914961E-2</v>
      </c>
      <c r="H1530" s="199">
        <v>4.0383866643522108E-2</v>
      </c>
      <c r="I1530" s="199">
        <v>4.4720072469549607E-2</v>
      </c>
      <c r="J1530" s="199">
        <v>4.2448393227940188E-2</v>
      </c>
      <c r="K1530" s="199">
        <v>3.3818772170642983E-2</v>
      </c>
      <c r="L1530" s="199">
        <v>4.527387782934747E-2</v>
      </c>
      <c r="M1530" s="199">
        <v>4.1319558760925322E-2</v>
      </c>
      <c r="N1530" s="199">
        <v>6.0994203004642866E-2</v>
      </c>
    </row>
    <row r="1531" spans="3:14">
      <c r="C1531" s="29">
        <v>17</v>
      </c>
      <c r="D1531" s="34" t="s">
        <v>1976</v>
      </c>
      <c r="E1531" s="199">
        <v>4.5380224544801041E-2</v>
      </c>
      <c r="F1531" s="199">
        <v>3.672503000899166E-2</v>
      </c>
      <c r="G1531" s="199">
        <v>4.3045035429068519E-2</v>
      </c>
      <c r="H1531" s="199">
        <v>3.9926849953002233E-2</v>
      </c>
      <c r="I1531" s="199">
        <v>4.5208865417663599E-2</v>
      </c>
      <c r="J1531" s="199">
        <v>4.424268721668162E-2</v>
      </c>
      <c r="K1531" s="199">
        <v>3.3219733036172872E-2</v>
      </c>
      <c r="L1531" s="199">
        <v>4.5641563413979062E-2</v>
      </c>
      <c r="M1531" s="199">
        <v>4.0010949827429726E-2</v>
      </c>
      <c r="N1531" s="199">
        <v>4.1663964341725417E-2</v>
      </c>
    </row>
    <row r="1532" spans="3:14">
      <c r="C1532" s="29">
        <v>18</v>
      </c>
      <c r="D1532" s="34" t="s">
        <v>1977</v>
      </c>
      <c r="E1532" s="199">
        <v>4.9196525515454448E-2</v>
      </c>
      <c r="F1532" s="199">
        <v>3.8406551416839255E-2</v>
      </c>
      <c r="G1532" s="199">
        <v>4.2137635639344376E-2</v>
      </c>
      <c r="H1532" s="199">
        <v>3.9370336742251232E-2</v>
      </c>
      <c r="I1532" s="199">
        <v>4.1338414150387762E-2</v>
      </c>
      <c r="J1532" s="199">
        <v>4.9682055113267412E-2</v>
      </c>
      <c r="K1532" s="199">
        <v>3.2594286869973267E-2</v>
      </c>
      <c r="L1532" s="199">
        <v>4.5251219442429789E-2</v>
      </c>
      <c r="M1532" s="199">
        <v>3.9651064548733683E-2</v>
      </c>
      <c r="N1532" s="199">
        <v>2.6762327899359215E-2</v>
      </c>
    </row>
    <row r="1533" spans="3:14">
      <c r="C1533" s="29">
        <v>19</v>
      </c>
      <c r="D1533" s="34" t="s">
        <v>1978</v>
      </c>
      <c r="E1533" s="199">
        <v>5.2585993685103541E-2</v>
      </c>
      <c r="F1533" s="199">
        <v>4.6920547014850662E-2</v>
      </c>
      <c r="G1533" s="199">
        <v>4.3312069667327119E-2</v>
      </c>
      <c r="H1533" s="199">
        <v>4.1115332892856626E-2</v>
      </c>
      <c r="I1533" s="199">
        <v>3.6529709019159966E-2</v>
      </c>
      <c r="J1533" s="199">
        <v>5.5704528600820383E-2</v>
      </c>
      <c r="K1533" s="199">
        <v>4.0432231797169954E-2</v>
      </c>
      <c r="L1533" s="199">
        <v>4.3774996485529273E-2</v>
      </c>
      <c r="M1533" s="199">
        <v>3.9913047724542454E-2</v>
      </c>
      <c r="N1533" s="199">
        <v>2.5256089435076026E-2</v>
      </c>
    </row>
    <row r="1534" spans="3:14">
      <c r="C1534" s="29">
        <v>20</v>
      </c>
      <c r="D1534" s="34" t="s">
        <v>1979</v>
      </c>
      <c r="E1534" s="199">
        <v>5.3609669962062123E-2</v>
      </c>
      <c r="F1534" s="199">
        <v>4.9199083830184183E-2</v>
      </c>
      <c r="G1534" s="199">
        <v>4.1901809819391719E-2</v>
      </c>
      <c r="H1534" s="199">
        <v>4.2337694269522302E-2</v>
      </c>
      <c r="I1534" s="199">
        <v>3.6674934984486811E-2</v>
      </c>
      <c r="J1534" s="199">
        <v>5.4544796456945467E-2</v>
      </c>
      <c r="K1534" s="199">
        <v>4.2688061869047146E-2</v>
      </c>
      <c r="L1534" s="199">
        <v>4.3488958558371954E-2</v>
      </c>
      <c r="M1534" s="199">
        <v>4.0020336072730811E-2</v>
      </c>
      <c r="N1534" s="199">
        <v>2.8813954399310091E-2</v>
      </c>
    </row>
    <row r="1535" spans="3:14">
      <c r="C1535" s="29">
        <v>21</v>
      </c>
      <c r="D1535" s="34" t="s">
        <v>1980</v>
      </c>
      <c r="E1535" s="199">
        <v>5.1598709931668867E-2</v>
      </c>
      <c r="F1535" s="199">
        <v>4.8598857046961222E-2</v>
      </c>
      <c r="G1535" s="199">
        <v>4.1246546756428755E-2</v>
      </c>
      <c r="H1535" s="199">
        <v>4.3621995010459123E-2</v>
      </c>
      <c r="I1535" s="199">
        <v>3.7841673218270144E-2</v>
      </c>
      <c r="J1535" s="199">
        <v>5.0936779199671142E-2</v>
      </c>
      <c r="K1535" s="199">
        <v>4.4649691325577917E-2</v>
      </c>
      <c r="L1535" s="199">
        <v>4.2427074223782259E-2</v>
      </c>
      <c r="M1535" s="199">
        <v>4.0925692897974722E-2</v>
      </c>
      <c r="N1535" s="199">
        <v>2.7273468648642753E-2</v>
      </c>
    </row>
    <row r="1536" spans="3:14">
      <c r="C1536" s="29">
        <v>22</v>
      </c>
      <c r="D1536" s="34" t="s">
        <v>1981</v>
      </c>
      <c r="E1536" s="199">
        <v>4.6158946898649189E-2</v>
      </c>
      <c r="F1536" s="199">
        <v>4.5948589405085498E-2</v>
      </c>
      <c r="G1536" s="199">
        <v>4.0423885701677958E-2</v>
      </c>
      <c r="H1536" s="199">
        <v>4.5545280712364286E-2</v>
      </c>
      <c r="I1536" s="199">
        <v>3.6342013423540771E-2</v>
      </c>
      <c r="J1536" s="199">
        <v>4.5813991047880989E-2</v>
      </c>
      <c r="K1536" s="199">
        <v>4.4330835803830036E-2</v>
      </c>
      <c r="L1536" s="199">
        <v>3.9424295705195733E-2</v>
      </c>
      <c r="M1536" s="199">
        <v>4.1506808414020394E-2</v>
      </c>
      <c r="N1536" s="199">
        <v>2.77221081002752E-2</v>
      </c>
    </row>
    <row r="1537" spans="1:14">
      <c r="C1537" s="29">
        <v>23</v>
      </c>
      <c r="D1537" s="34" t="s">
        <v>1982</v>
      </c>
      <c r="E1537" s="199">
        <v>3.8713548920521278E-2</v>
      </c>
      <c r="F1537" s="199">
        <v>4.5226236443980168E-2</v>
      </c>
      <c r="G1537" s="199">
        <v>4.0399857981389307E-2</v>
      </c>
      <c r="H1537" s="199">
        <v>4.7970412147438621E-2</v>
      </c>
      <c r="I1537" s="199">
        <v>4.0783395472714992E-2</v>
      </c>
      <c r="J1537" s="199">
        <v>3.7758000564154209E-2</v>
      </c>
      <c r="K1537" s="199">
        <v>4.6049608174715921E-2</v>
      </c>
      <c r="L1537" s="199">
        <v>3.8049435139002143E-2</v>
      </c>
      <c r="M1537" s="199">
        <v>4.2523136797634101E-2</v>
      </c>
      <c r="N1537" s="199">
        <v>3.451398712687314E-2</v>
      </c>
    </row>
    <row r="1538" spans="1:14">
      <c r="C1538" s="29">
        <v>24</v>
      </c>
      <c r="D1538" s="34" t="s">
        <v>1983</v>
      </c>
      <c r="E1538" s="199">
        <v>3.29337493121971E-2</v>
      </c>
      <c r="F1538" s="199">
        <v>4.4438097230203449E-2</v>
      </c>
      <c r="G1538" s="199">
        <v>3.8404931729391759E-2</v>
      </c>
      <c r="H1538" s="199">
        <v>4.5260137202535994E-2</v>
      </c>
      <c r="I1538" s="199">
        <v>3.8467848136670188E-2</v>
      </c>
      <c r="J1538" s="199">
        <v>3.1949742720689095E-2</v>
      </c>
      <c r="K1538" s="199">
        <v>4.5382611607880353E-2</v>
      </c>
      <c r="L1538" s="199">
        <v>3.6020115147598383E-2</v>
      </c>
      <c r="M1538" s="199">
        <v>4.1540907811506607E-2</v>
      </c>
      <c r="N1538" s="199">
        <v>4.4991944396105828E-2</v>
      </c>
    </row>
    <row r="1539" spans="1:14">
      <c r="A1539" s="16" t="s">
        <v>439</v>
      </c>
      <c r="B1539" s="16" t="s">
        <v>308</v>
      </c>
      <c r="C1539" s="29">
        <v>1</v>
      </c>
      <c r="D1539" s="34" t="s">
        <v>1984</v>
      </c>
      <c r="E1539" s="199">
        <v>3.0687219444840722E-2</v>
      </c>
      <c r="F1539" s="199">
        <v>3.4636592527383846E-2</v>
      </c>
      <c r="G1539" s="199">
        <v>3.083614913140692E-2</v>
      </c>
      <c r="H1539" s="199">
        <v>3.221142791676828E-2</v>
      </c>
      <c r="I1539" s="199">
        <v>3.784728067239982E-2</v>
      </c>
      <c r="J1539" s="199">
        <v>3.102247805627031E-2</v>
      </c>
      <c r="K1539" s="199">
        <v>3.4997507282741792E-2</v>
      </c>
      <c r="L1539" s="199">
        <v>2.4612300455471026E-2</v>
      </c>
      <c r="M1539" s="199">
        <v>3.137135812023014E-2</v>
      </c>
      <c r="N1539" s="199">
        <v>4.8740789050283437E-2</v>
      </c>
    </row>
    <row r="1540" spans="1:14">
      <c r="C1540" s="29">
        <v>2</v>
      </c>
      <c r="D1540" s="34" t="s">
        <v>1985</v>
      </c>
      <c r="E1540" s="199">
        <v>2.9136755181490795E-2</v>
      </c>
      <c r="F1540" s="199">
        <v>3.481537051200001E-2</v>
      </c>
      <c r="G1540" s="199">
        <v>3.0652094957251626E-2</v>
      </c>
      <c r="H1540" s="199">
        <v>3.1130489298547278E-2</v>
      </c>
      <c r="I1540" s="199">
        <v>3.6696762144571307E-2</v>
      </c>
      <c r="J1540" s="199">
        <v>2.9722809942403585E-2</v>
      </c>
      <c r="K1540" s="199">
        <v>3.5279661450707892E-2</v>
      </c>
      <c r="L1540" s="199">
        <v>2.3770494145953038E-2</v>
      </c>
      <c r="M1540" s="199">
        <v>3.2081465452171769E-2</v>
      </c>
      <c r="N1540" s="199">
        <v>5.0166111884183386E-2</v>
      </c>
    </row>
    <row r="1541" spans="1:14">
      <c r="C1541" s="29">
        <v>3</v>
      </c>
      <c r="D1541" s="34" t="s">
        <v>1986</v>
      </c>
      <c r="E1541" s="199">
        <v>3.0538404561761084E-2</v>
      </c>
      <c r="F1541" s="199">
        <v>3.4564825829061674E-2</v>
      </c>
      <c r="G1541" s="199">
        <v>2.9845891384747747E-2</v>
      </c>
      <c r="H1541" s="199">
        <v>2.988970181554626E-2</v>
      </c>
      <c r="I1541" s="199">
        <v>3.5612550759312356E-2</v>
      </c>
      <c r="J1541" s="199">
        <v>2.972711593659378E-2</v>
      </c>
      <c r="K1541" s="199">
        <v>3.5028306674252947E-2</v>
      </c>
      <c r="L1541" s="199">
        <v>2.2738599955814884E-2</v>
      </c>
      <c r="M1541" s="199">
        <v>3.129732640110737E-2</v>
      </c>
      <c r="N1541" s="199">
        <v>3.4826995037629434E-2</v>
      </c>
    </row>
    <row r="1542" spans="1:14">
      <c r="C1542" s="29">
        <v>4</v>
      </c>
      <c r="D1542" s="34" t="s">
        <v>1987</v>
      </c>
      <c r="E1542" s="199">
        <v>3.2175984799423796E-2</v>
      </c>
      <c r="F1542" s="199">
        <v>3.4180787572406585E-2</v>
      </c>
      <c r="G1542" s="199">
        <v>3.0691368877737109E-2</v>
      </c>
      <c r="H1542" s="199">
        <v>2.9040855605392563E-2</v>
      </c>
      <c r="I1542" s="199">
        <v>3.4152598899492584E-2</v>
      </c>
      <c r="J1542" s="199">
        <v>2.9380328453733968E-2</v>
      </c>
      <c r="K1542" s="199">
        <v>3.4133537234232493E-2</v>
      </c>
      <c r="L1542" s="199">
        <v>2.3717873739176994E-2</v>
      </c>
      <c r="M1542" s="199">
        <v>3.1416145993009049E-2</v>
      </c>
      <c r="N1542" s="199">
        <v>2.5252665484996124E-2</v>
      </c>
    </row>
    <row r="1543" spans="1:14">
      <c r="C1543" s="29">
        <v>5</v>
      </c>
      <c r="D1543" s="34" t="s">
        <v>1988</v>
      </c>
      <c r="E1543" s="199">
        <v>3.3478645275602258E-2</v>
      </c>
      <c r="F1543" s="199">
        <v>3.5203617077666657E-2</v>
      </c>
      <c r="G1543" s="199">
        <v>3.2718693518876678E-2</v>
      </c>
      <c r="H1543" s="199">
        <v>3.145055719143755E-2</v>
      </c>
      <c r="I1543" s="199">
        <v>4.0434692900559947E-2</v>
      </c>
      <c r="J1543" s="199">
        <v>3.0631896655226046E-2</v>
      </c>
      <c r="K1543" s="199">
        <v>3.4809363173728014E-2</v>
      </c>
      <c r="L1543" s="199">
        <v>2.8532894712415723E-2</v>
      </c>
      <c r="M1543" s="199">
        <v>3.4733083159399776E-2</v>
      </c>
      <c r="N1543" s="199">
        <v>2.4995668284199309E-2</v>
      </c>
    </row>
    <row r="1544" spans="1:14">
      <c r="C1544" s="29">
        <v>6</v>
      </c>
      <c r="D1544" s="34" t="s">
        <v>1989</v>
      </c>
      <c r="E1544" s="199">
        <v>3.9032000733066168E-2</v>
      </c>
      <c r="F1544" s="199">
        <v>3.7531172673261268E-2</v>
      </c>
      <c r="G1544" s="199">
        <v>3.6072389127398123E-2</v>
      </c>
      <c r="H1544" s="199">
        <v>3.4239614497101341E-2</v>
      </c>
      <c r="I1544" s="199">
        <v>4.4908095313590364E-2</v>
      </c>
      <c r="J1544" s="199">
        <v>3.5174614507093423E-2</v>
      </c>
      <c r="K1544" s="199">
        <v>3.6333437089093465E-2</v>
      </c>
      <c r="L1544" s="199">
        <v>3.8447781338009808E-2</v>
      </c>
      <c r="M1544" s="199">
        <v>4.4264557222259637E-2</v>
      </c>
      <c r="N1544" s="199">
        <v>3.989117438465422E-2</v>
      </c>
    </row>
    <row r="1545" spans="1:14">
      <c r="C1545" s="29">
        <v>7</v>
      </c>
      <c r="D1545" s="34" t="s">
        <v>1990</v>
      </c>
      <c r="E1545" s="199">
        <v>4.9211638238173233E-2</v>
      </c>
      <c r="F1545" s="199">
        <v>4.3002680783018415E-2</v>
      </c>
      <c r="G1545" s="199">
        <v>4.2271106472584731E-2</v>
      </c>
      <c r="H1545" s="199">
        <v>4.1698775764987248E-2</v>
      </c>
      <c r="I1545" s="199">
        <v>4.612563781796216E-2</v>
      </c>
      <c r="J1545" s="199">
        <v>4.5957223568670005E-2</v>
      </c>
      <c r="K1545" s="199">
        <v>4.1367773698966256E-2</v>
      </c>
      <c r="L1545" s="199">
        <v>4.4452904962977803E-2</v>
      </c>
      <c r="M1545" s="199">
        <v>4.8081625634681477E-2</v>
      </c>
      <c r="N1545" s="199">
        <v>4.3622369088015096E-2</v>
      </c>
    </row>
    <row r="1546" spans="1:14">
      <c r="C1546" s="29">
        <v>8</v>
      </c>
      <c r="D1546" s="34" t="s">
        <v>1991</v>
      </c>
      <c r="E1546" s="199">
        <v>5.1581047720678216E-2</v>
      </c>
      <c r="F1546" s="199">
        <v>4.880052822694713E-2</v>
      </c>
      <c r="G1546" s="199">
        <v>4.7092987868014413E-2</v>
      </c>
      <c r="H1546" s="199">
        <v>4.8323650580376E-2</v>
      </c>
      <c r="I1546" s="199">
        <v>5.0764628878923024E-2</v>
      </c>
      <c r="J1546" s="199">
        <v>5.0803636340327064E-2</v>
      </c>
      <c r="K1546" s="199">
        <v>4.4944371636865155E-2</v>
      </c>
      <c r="L1546" s="199">
        <v>5.0059342196301523E-2</v>
      </c>
      <c r="M1546" s="199">
        <v>5.4850917418100324E-2</v>
      </c>
      <c r="N1546" s="199">
        <v>4.658192646737546E-2</v>
      </c>
    </row>
    <row r="1547" spans="1:14">
      <c r="C1547" s="29">
        <v>9</v>
      </c>
      <c r="D1547" s="34" t="s">
        <v>1992</v>
      </c>
      <c r="E1547" s="199">
        <v>5.1692770361345598E-2</v>
      </c>
      <c r="F1547" s="199">
        <v>4.8338410808452539E-2</v>
      </c>
      <c r="G1547" s="199">
        <v>4.7666559378442906E-2</v>
      </c>
      <c r="H1547" s="199">
        <v>4.9611510500207262E-2</v>
      </c>
      <c r="I1547" s="199">
        <v>4.948782809938998E-2</v>
      </c>
      <c r="J1547" s="199">
        <v>4.6543809258288764E-2</v>
      </c>
      <c r="K1547" s="199">
        <v>4.6125957310555472E-2</v>
      </c>
      <c r="L1547" s="199">
        <v>5.2570283835275483E-2</v>
      </c>
      <c r="M1547" s="199">
        <v>5.3729464211459875E-2</v>
      </c>
      <c r="N1547" s="199">
        <v>5.1689153921736397E-2</v>
      </c>
    </row>
    <row r="1548" spans="1:14">
      <c r="C1548" s="29">
        <v>10</v>
      </c>
      <c r="D1548" s="34" t="s">
        <v>1993</v>
      </c>
      <c r="E1548" s="199">
        <v>4.5568517754907924E-2</v>
      </c>
      <c r="F1548" s="199">
        <v>4.7879194117240897E-2</v>
      </c>
      <c r="G1548" s="199">
        <v>5.0331281404136625E-2</v>
      </c>
      <c r="H1548" s="199">
        <v>5.1496875728951841E-2</v>
      </c>
      <c r="I1548" s="199">
        <v>4.1843271658929433E-2</v>
      </c>
      <c r="J1548" s="199">
        <v>4.7630534542041136E-2</v>
      </c>
      <c r="K1548" s="199">
        <v>4.9603585545136337E-2</v>
      </c>
      <c r="L1548" s="199">
        <v>5.5095075058469431E-2</v>
      </c>
      <c r="M1548" s="199">
        <v>5.5594747383663719E-2</v>
      </c>
      <c r="N1548" s="199">
        <v>5.8135177514251631E-2</v>
      </c>
    </row>
    <row r="1549" spans="1:14">
      <c r="C1549" s="29">
        <v>11</v>
      </c>
      <c r="D1549" s="34" t="s">
        <v>1994</v>
      </c>
      <c r="E1549" s="199">
        <v>4.3219364374677834E-2</v>
      </c>
      <c r="F1549" s="199">
        <v>4.948265002869616E-2</v>
      </c>
      <c r="G1549" s="199">
        <v>5.1796745040855512E-2</v>
      </c>
      <c r="H1549" s="199">
        <v>4.9257449274822271E-2</v>
      </c>
      <c r="I1549" s="199">
        <v>4.0379018795267313E-2</v>
      </c>
      <c r="J1549" s="199">
        <v>4.3325486365713671E-2</v>
      </c>
      <c r="K1549" s="199">
        <v>5.0060542378772409E-2</v>
      </c>
      <c r="L1549" s="199">
        <v>5.5872441402836544E-2</v>
      </c>
      <c r="M1549" s="199">
        <v>5.3880074411098752E-2</v>
      </c>
      <c r="N1549" s="199">
        <v>5.457983432935893E-2</v>
      </c>
    </row>
    <row r="1550" spans="1:14">
      <c r="C1550" s="29">
        <v>12</v>
      </c>
      <c r="D1550" s="34" t="s">
        <v>1995</v>
      </c>
      <c r="E1550" s="199">
        <v>4.1565874721311853E-2</v>
      </c>
      <c r="F1550" s="199">
        <v>4.8535825590119902E-2</v>
      </c>
      <c r="G1550" s="199">
        <v>5.0709752333844359E-2</v>
      </c>
      <c r="H1550" s="199">
        <v>5.0757289395110546E-2</v>
      </c>
      <c r="I1550" s="199">
        <v>4.5576901411075725E-2</v>
      </c>
      <c r="J1550" s="199">
        <v>4.2744576759345641E-2</v>
      </c>
      <c r="K1550" s="199">
        <v>5.0396558284550273E-2</v>
      </c>
      <c r="L1550" s="199">
        <v>5.561915561235236E-2</v>
      </c>
      <c r="M1550" s="199">
        <v>5.0592117632976732E-2</v>
      </c>
      <c r="N1550" s="199">
        <v>4.4521644050267289E-2</v>
      </c>
    </row>
    <row r="1551" spans="1:14">
      <c r="C1551" s="29">
        <v>13</v>
      </c>
      <c r="D1551" s="34" t="s">
        <v>1996</v>
      </c>
      <c r="E1551" s="199">
        <v>4.083909011449785E-2</v>
      </c>
      <c r="F1551" s="199">
        <v>4.674412299877246E-2</v>
      </c>
      <c r="G1551" s="199">
        <v>4.977712658334376E-2</v>
      </c>
      <c r="H1551" s="199">
        <v>4.8114940156002858E-2</v>
      </c>
      <c r="I1551" s="199">
        <v>4.7453931171274444E-2</v>
      </c>
      <c r="J1551" s="199">
        <v>4.015258844972841E-2</v>
      </c>
      <c r="K1551" s="199">
        <v>4.701328728402733E-2</v>
      </c>
      <c r="L1551" s="199">
        <v>5.5872574957168457E-2</v>
      </c>
      <c r="M1551" s="199">
        <v>5.1166544056205784E-2</v>
      </c>
      <c r="N1551" s="199">
        <v>3.8728875486578149E-2</v>
      </c>
    </row>
    <row r="1552" spans="1:14">
      <c r="C1552" s="29">
        <v>14</v>
      </c>
      <c r="D1552" s="34" t="s">
        <v>1997</v>
      </c>
      <c r="E1552" s="199">
        <v>3.7525441493846894E-2</v>
      </c>
      <c r="F1552" s="199">
        <v>4.6914243890564845E-2</v>
      </c>
      <c r="G1552" s="199">
        <v>5.1010641983155587E-2</v>
      </c>
      <c r="H1552" s="199">
        <v>5.1254110278195632E-2</v>
      </c>
      <c r="I1552" s="199">
        <v>4.8450808284067927E-2</v>
      </c>
      <c r="J1552" s="199">
        <v>3.8661140488557129E-2</v>
      </c>
      <c r="K1552" s="199">
        <v>4.8800619122325473E-2</v>
      </c>
      <c r="L1552" s="199">
        <v>5.6451332654538999E-2</v>
      </c>
      <c r="M1552" s="199">
        <v>5.4025591087950998E-2</v>
      </c>
      <c r="N1552" s="199">
        <v>4.7918354959626264E-2</v>
      </c>
    </row>
    <row r="1553" spans="1:14">
      <c r="C1553" s="29">
        <v>15</v>
      </c>
      <c r="D1553" s="34" t="s">
        <v>1998</v>
      </c>
      <c r="E1553" s="199">
        <v>3.5999172880993781E-2</v>
      </c>
      <c r="F1553" s="199">
        <v>4.6937855510054721E-2</v>
      </c>
      <c r="G1553" s="199">
        <v>4.9771215440782834E-2</v>
      </c>
      <c r="H1553" s="199">
        <v>4.9819357210143141E-2</v>
      </c>
      <c r="I1553" s="199">
        <v>4.2681967408187603E-2</v>
      </c>
      <c r="J1553" s="199">
        <v>3.7882261168236127E-2</v>
      </c>
      <c r="K1553" s="199">
        <v>4.7748777745242513E-2</v>
      </c>
      <c r="L1553" s="199">
        <v>5.4395317136380378E-2</v>
      </c>
      <c r="M1553" s="199">
        <v>5.4687836869570065E-2</v>
      </c>
      <c r="N1553" s="199">
        <v>5.3020201400570177E-2</v>
      </c>
    </row>
    <row r="1554" spans="1:14">
      <c r="C1554" s="29">
        <v>16</v>
      </c>
      <c r="D1554" s="34" t="s">
        <v>1999</v>
      </c>
      <c r="E1554" s="199">
        <v>3.634453864927905E-2</v>
      </c>
      <c r="F1554" s="199">
        <v>4.6368922191041655E-2</v>
      </c>
      <c r="G1554" s="199">
        <v>4.7909757854417534E-2</v>
      </c>
      <c r="H1554" s="199">
        <v>4.516011137227504E-2</v>
      </c>
      <c r="I1554" s="199">
        <v>4.2397384320618799E-2</v>
      </c>
      <c r="J1554" s="199">
        <v>3.9508809697125016E-2</v>
      </c>
      <c r="K1554" s="199">
        <v>4.7570255346298239E-2</v>
      </c>
      <c r="L1554" s="199">
        <v>5.1256883824318686E-2</v>
      </c>
      <c r="M1554" s="199">
        <v>4.8674933219964397E-2</v>
      </c>
      <c r="N1554" s="199">
        <v>5.1456694142121187E-2</v>
      </c>
    </row>
    <row r="1555" spans="1:14">
      <c r="C1555" s="29">
        <v>17</v>
      </c>
      <c r="D1555" s="34" t="s">
        <v>2000</v>
      </c>
      <c r="E1555" s="199">
        <v>4.1072465694057349E-2</v>
      </c>
      <c r="F1555" s="199">
        <v>4.2956674947717023E-2</v>
      </c>
      <c r="G1555" s="199">
        <v>4.601740320587891E-2</v>
      </c>
      <c r="H1555" s="199">
        <v>4.1949006176236855E-2</v>
      </c>
      <c r="I1555" s="199">
        <v>4.0430511369046553E-2</v>
      </c>
      <c r="J1555" s="199">
        <v>4.2202086733716331E-2</v>
      </c>
      <c r="K1555" s="199">
        <v>4.4278217003882805E-2</v>
      </c>
      <c r="L1555" s="199">
        <v>4.6539811598109271E-2</v>
      </c>
      <c r="M1555" s="199">
        <v>3.5181664442055949E-2</v>
      </c>
      <c r="N1555" s="199">
        <v>4.8413192953455329E-2</v>
      </c>
    </row>
    <row r="1556" spans="1:14">
      <c r="C1556" s="29">
        <v>18</v>
      </c>
      <c r="D1556" s="34" t="s">
        <v>2001</v>
      </c>
      <c r="E1556" s="199">
        <v>4.8005523835988349E-2</v>
      </c>
      <c r="F1556" s="199">
        <v>3.7948877402008849E-2</v>
      </c>
      <c r="G1556" s="199">
        <v>4.2624900519054217E-2</v>
      </c>
      <c r="H1556" s="199">
        <v>4.1070731981328219E-2</v>
      </c>
      <c r="I1556" s="199">
        <v>4.0615574006596544E-2</v>
      </c>
      <c r="J1556" s="199">
        <v>4.7999341313373585E-2</v>
      </c>
      <c r="K1556" s="199">
        <v>3.8121512874046456E-2</v>
      </c>
      <c r="L1556" s="199">
        <v>4.2551077921019552E-2</v>
      </c>
      <c r="M1556" s="199">
        <v>3.4141092864492704E-2</v>
      </c>
      <c r="N1556" s="199">
        <v>3.6501566413005705E-2</v>
      </c>
    </row>
    <row r="1557" spans="1:14">
      <c r="C1557" s="29">
        <v>19</v>
      </c>
      <c r="D1557" s="34" t="s">
        <v>2002</v>
      </c>
      <c r="E1557" s="199">
        <v>5.4239990732445453E-2</v>
      </c>
      <c r="F1557" s="199">
        <v>4.0760719186783957E-2</v>
      </c>
      <c r="G1557" s="199">
        <v>4.2837701651247763E-2</v>
      </c>
      <c r="H1557" s="199">
        <v>4.1816734479560531E-2</v>
      </c>
      <c r="I1557" s="199">
        <v>4.0964433207142673E-2</v>
      </c>
      <c r="J1557" s="199">
        <v>5.4765795263383571E-2</v>
      </c>
      <c r="K1557" s="199">
        <v>3.9538160892450311E-2</v>
      </c>
      <c r="L1557" s="199">
        <v>4.1529814655702137E-2</v>
      </c>
      <c r="M1557" s="199">
        <v>3.3507300554992001E-2</v>
      </c>
      <c r="N1557" s="199">
        <v>3.6055157539929814E-2</v>
      </c>
    </row>
    <row r="1558" spans="1:14">
      <c r="C1558" s="29">
        <v>20</v>
      </c>
      <c r="D1558" s="34" t="s">
        <v>2003</v>
      </c>
      <c r="E1558" s="199">
        <v>5.4901396675312887E-2</v>
      </c>
      <c r="F1558" s="199">
        <v>4.0943059204384923E-2</v>
      </c>
      <c r="G1558" s="199">
        <v>4.100999478208521E-2</v>
      </c>
      <c r="H1558" s="199">
        <v>4.1345208090709261E-2</v>
      </c>
      <c r="I1558" s="199">
        <v>4.0024305450602427E-2</v>
      </c>
      <c r="J1558" s="199">
        <v>5.5804069957204133E-2</v>
      </c>
      <c r="K1558" s="199">
        <v>4.0531329676686739E-2</v>
      </c>
      <c r="L1558" s="199">
        <v>4.1060384534440421E-2</v>
      </c>
      <c r="M1558" s="199">
        <v>3.3978627051471186E-2</v>
      </c>
      <c r="N1558" s="199">
        <v>3.6175046518861005E-2</v>
      </c>
    </row>
    <row r="1559" spans="1:14">
      <c r="C1559" s="29">
        <v>21</v>
      </c>
      <c r="D1559" s="34" t="s">
        <v>2004</v>
      </c>
      <c r="E1559" s="199">
        <v>5.102911158627646E-2</v>
      </c>
      <c r="F1559" s="199">
        <v>4.1609520084740913E-2</v>
      </c>
      <c r="G1559" s="199">
        <v>4.1017700965713041E-2</v>
      </c>
      <c r="H1559" s="199">
        <v>4.0373159185470388E-2</v>
      </c>
      <c r="I1559" s="199">
        <v>3.6892218874740305E-2</v>
      </c>
      <c r="J1559" s="199">
        <v>5.4366610029250917E-2</v>
      </c>
      <c r="K1559" s="199">
        <v>3.9964987886564607E-2</v>
      </c>
      <c r="L1559" s="199">
        <v>3.8914727348697838E-2</v>
      </c>
      <c r="M1559" s="199">
        <v>3.2867360890403985E-2</v>
      </c>
      <c r="N1559" s="199">
        <v>3.6551717458052316E-2</v>
      </c>
    </row>
    <row r="1560" spans="1:14">
      <c r="C1560" s="29">
        <v>22</v>
      </c>
      <c r="D1560" s="34" t="s">
        <v>2005</v>
      </c>
      <c r="E1560" s="199">
        <v>4.5962247681630153E-2</v>
      </c>
      <c r="F1560" s="199">
        <v>3.8232472340362984E-2</v>
      </c>
      <c r="G1560" s="199">
        <v>3.8599892427725782E-2</v>
      </c>
      <c r="H1560" s="199">
        <v>4.1898355493880858E-2</v>
      </c>
      <c r="I1560" s="199">
        <v>3.9832791307288923E-2</v>
      </c>
      <c r="J1560" s="199">
        <v>5.0257492743869703E-2</v>
      </c>
      <c r="K1560" s="199">
        <v>3.8323172013956838E-2</v>
      </c>
      <c r="L1560" s="199">
        <v>3.5479536311112364E-2</v>
      </c>
      <c r="M1560" s="199">
        <v>3.3751614010033008E-2</v>
      </c>
      <c r="N1560" s="199">
        <v>3.0727093294934432E-2</v>
      </c>
    </row>
    <row r="1561" spans="1:14">
      <c r="C1561" s="29">
        <v>23</v>
      </c>
      <c r="D1561" s="34" t="s">
        <v>2006</v>
      </c>
      <c r="E1561" s="199">
        <v>4.0714924550361825E-2</v>
      </c>
      <c r="F1561" s="199">
        <v>3.6576322388212956E-2</v>
      </c>
      <c r="G1561" s="199">
        <v>3.5458018240339395E-2</v>
      </c>
      <c r="H1561" s="199">
        <v>3.9426774937795589E-2</v>
      </c>
      <c r="I1561" s="199">
        <v>3.7858152654334648E-2</v>
      </c>
      <c r="J1561" s="199">
        <v>4.069638332208203E-2</v>
      </c>
      <c r="K1561" s="199">
        <v>3.731549626995067E-2</v>
      </c>
      <c r="L1561" s="199">
        <v>3.1665865652301929E-2</v>
      </c>
      <c r="M1561" s="199">
        <v>3.2965894210517578E-2</v>
      </c>
      <c r="N1561" s="199">
        <v>3.1808892232291899E-2</v>
      </c>
    </row>
    <row r="1562" spans="1:14">
      <c r="C1562" s="29">
        <v>24</v>
      </c>
      <c r="D1562" s="34" t="s">
        <v>2007</v>
      </c>
      <c r="E1562" s="199">
        <v>3.5477872938030369E-2</v>
      </c>
      <c r="F1562" s="199">
        <v>3.703555410909963E-2</v>
      </c>
      <c r="G1562" s="199">
        <v>3.3280626850959394E-2</v>
      </c>
      <c r="H1562" s="199">
        <v>3.8663313069153112E-2</v>
      </c>
      <c r="I1562" s="199">
        <v>3.8568654594625003E-2</v>
      </c>
      <c r="J1562" s="199">
        <v>3.5038910447765831E-2</v>
      </c>
      <c r="K1562" s="199">
        <v>3.7713582124965589E-2</v>
      </c>
      <c r="L1562" s="199">
        <v>2.8793525991155446E-2</v>
      </c>
      <c r="M1562" s="199">
        <v>3.3158657702183653E-2</v>
      </c>
      <c r="N1562" s="199">
        <v>2.9639698103623258E-2</v>
      </c>
    </row>
    <row r="1563" spans="1:14">
      <c r="A1563" s="16" t="s">
        <v>439</v>
      </c>
      <c r="B1563" s="16" t="s">
        <v>309</v>
      </c>
      <c r="C1563" s="29">
        <v>1</v>
      </c>
      <c r="D1563" s="34" t="s">
        <v>2008</v>
      </c>
      <c r="E1563" s="199">
        <v>3.3152671955056022E-2</v>
      </c>
      <c r="F1563" s="199">
        <v>3.3270691035572154E-2</v>
      </c>
      <c r="G1563" s="199">
        <v>3.216362233138479E-2</v>
      </c>
      <c r="H1563" s="199">
        <v>3.4593399124687958E-2</v>
      </c>
      <c r="I1563" s="199">
        <v>3.7358475999687231E-2</v>
      </c>
      <c r="J1563" s="199">
        <v>3.1060449720493592E-2</v>
      </c>
      <c r="K1563" s="199">
        <v>3.5887758930069388E-2</v>
      </c>
      <c r="L1563" s="199">
        <v>2.7461071451108092E-2</v>
      </c>
      <c r="M1563" s="199">
        <v>3.2733009534886864E-2</v>
      </c>
      <c r="N1563" s="199">
        <v>2.6319387136635387E-2</v>
      </c>
    </row>
    <row r="1564" spans="1:14">
      <c r="C1564" s="29">
        <v>2</v>
      </c>
      <c r="D1564" s="34" t="s">
        <v>2009</v>
      </c>
      <c r="E1564" s="199">
        <v>3.1223890270756827E-2</v>
      </c>
      <c r="F1564" s="199">
        <v>3.2529815799885821E-2</v>
      </c>
      <c r="G1564" s="199">
        <v>3.0923657170025886E-2</v>
      </c>
      <c r="H1564" s="199">
        <v>3.2783735862602033E-2</v>
      </c>
      <c r="I1564" s="199">
        <v>3.2116483444698377E-2</v>
      </c>
      <c r="J1564" s="199">
        <v>3.0572866654760399E-2</v>
      </c>
      <c r="K1564" s="199">
        <v>3.5237183263306902E-2</v>
      </c>
      <c r="L1564" s="199">
        <v>2.5567866341609534E-2</v>
      </c>
      <c r="M1564" s="199">
        <v>3.2264257846204659E-2</v>
      </c>
      <c r="N1564" s="199">
        <v>3.3967434930603342E-2</v>
      </c>
    </row>
    <row r="1565" spans="1:14">
      <c r="C1565" s="29">
        <v>3</v>
      </c>
      <c r="D1565" s="34" t="s">
        <v>2010</v>
      </c>
      <c r="E1565" s="199">
        <v>3.0720995027606116E-2</v>
      </c>
      <c r="F1565" s="199">
        <v>3.2979661926602018E-2</v>
      </c>
      <c r="G1565" s="199">
        <v>3.0890587874863828E-2</v>
      </c>
      <c r="H1565" s="199">
        <v>3.2032366096204273E-2</v>
      </c>
      <c r="I1565" s="199">
        <v>3.289631916352994E-2</v>
      </c>
      <c r="J1565" s="199">
        <v>2.9580039321147226E-2</v>
      </c>
      <c r="K1565" s="199">
        <v>3.5290453530605496E-2</v>
      </c>
      <c r="L1565" s="199">
        <v>2.4514409663935699E-2</v>
      </c>
      <c r="M1565" s="199">
        <v>3.1503136772432709E-2</v>
      </c>
      <c r="N1565" s="199">
        <v>4.2016513255523809E-2</v>
      </c>
    </row>
    <row r="1566" spans="1:14">
      <c r="C1566" s="29">
        <v>4</v>
      </c>
      <c r="D1566" s="34" t="s">
        <v>2011</v>
      </c>
      <c r="E1566" s="199">
        <v>3.1751247772626279E-2</v>
      </c>
      <c r="F1566" s="199">
        <v>3.3776126600819703E-2</v>
      </c>
      <c r="G1566" s="199">
        <v>3.1501446448145301E-2</v>
      </c>
      <c r="H1566" s="199">
        <v>3.2143082025238676E-2</v>
      </c>
      <c r="I1566" s="199">
        <v>3.4963739965021716E-2</v>
      </c>
      <c r="J1566" s="199">
        <v>2.9423602154900311E-2</v>
      </c>
      <c r="K1566" s="199">
        <v>3.4716545419311115E-2</v>
      </c>
      <c r="L1566" s="199">
        <v>2.4908986481811158E-2</v>
      </c>
      <c r="M1566" s="199">
        <v>3.2497009023752556E-2</v>
      </c>
      <c r="N1566" s="199">
        <v>4.4272909965583869E-2</v>
      </c>
    </row>
    <row r="1567" spans="1:14">
      <c r="C1567" s="29">
        <v>5</v>
      </c>
      <c r="D1567" s="34" t="s">
        <v>2012</v>
      </c>
      <c r="E1567" s="199">
        <v>3.374002940646003E-2</v>
      </c>
      <c r="F1567" s="199">
        <v>3.3940248353042456E-2</v>
      </c>
      <c r="G1567" s="199">
        <v>3.2772754458312292E-2</v>
      </c>
      <c r="H1567" s="199">
        <v>3.2931682873278932E-2</v>
      </c>
      <c r="I1567" s="199">
        <v>4.366367394770676E-2</v>
      </c>
      <c r="J1567" s="199">
        <v>3.1262368912335886E-2</v>
      </c>
      <c r="K1567" s="199">
        <v>3.4309752535131834E-2</v>
      </c>
      <c r="L1567" s="199">
        <v>2.829452943715292E-2</v>
      </c>
      <c r="M1567" s="199">
        <v>3.5066878702165308E-2</v>
      </c>
      <c r="N1567" s="199">
        <v>3.7104840933383253E-2</v>
      </c>
    </row>
    <row r="1568" spans="1:14">
      <c r="C1568" s="29">
        <v>6</v>
      </c>
      <c r="D1568" s="34" t="s">
        <v>2013</v>
      </c>
      <c r="E1568" s="199">
        <v>4.0042293768600426E-2</v>
      </c>
      <c r="F1568" s="199">
        <v>3.7353583814769907E-2</v>
      </c>
      <c r="G1568" s="199">
        <v>3.6650175093050241E-2</v>
      </c>
      <c r="H1568" s="199">
        <v>3.6965670569244151E-2</v>
      </c>
      <c r="I1568" s="199">
        <v>4.2594035083204584E-2</v>
      </c>
      <c r="J1568" s="199">
        <v>3.5291406947674096E-2</v>
      </c>
      <c r="K1568" s="199">
        <v>3.7434273423137945E-2</v>
      </c>
      <c r="L1568" s="199">
        <v>3.8089817571960748E-2</v>
      </c>
      <c r="M1568" s="199">
        <v>4.4634117621213741E-2</v>
      </c>
      <c r="N1568" s="199">
        <v>3.7061146315070632E-2</v>
      </c>
    </row>
    <row r="1569" spans="3:14">
      <c r="C1569" s="29">
        <v>7</v>
      </c>
      <c r="D1569" s="34" t="s">
        <v>2014</v>
      </c>
      <c r="E1569" s="199">
        <v>4.8808196508033773E-2</v>
      </c>
      <c r="F1569" s="199">
        <v>4.2950705505309154E-2</v>
      </c>
      <c r="G1569" s="199">
        <v>4.3839830142790727E-2</v>
      </c>
      <c r="H1569" s="199">
        <v>4.6074533926194865E-2</v>
      </c>
      <c r="I1569" s="199">
        <v>4.4505172016180677E-2</v>
      </c>
      <c r="J1569" s="199">
        <v>4.7207658275283268E-2</v>
      </c>
      <c r="K1569" s="199">
        <v>4.2108816470149045E-2</v>
      </c>
      <c r="L1569" s="199">
        <v>4.4233601034745995E-2</v>
      </c>
      <c r="M1569" s="199">
        <v>4.8722768200524E-2</v>
      </c>
      <c r="N1569" s="199">
        <v>3.9939032766660477E-2</v>
      </c>
    </row>
    <row r="1570" spans="3:14">
      <c r="C1570" s="29">
        <v>8</v>
      </c>
      <c r="D1570" s="34" t="s">
        <v>2015</v>
      </c>
      <c r="E1570" s="199">
        <v>5.2379124483689851E-2</v>
      </c>
      <c r="F1570" s="199">
        <v>4.8380199907932096E-2</v>
      </c>
      <c r="G1570" s="199">
        <v>4.7915776413268996E-2</v>
      </c>
      <c r="H1570" s="199">
        <v>4.9761248708139638E-2</v>
      </c>
      <c r="I1570" s="199">
        <v>4.6233895288818327E-2</v>
      </c>
      <c r="J1570" s="199">
        <v>4.9515585581013911E-2</v>
      </c>
      <c r="K1570" s="199">
        <v>4.6690367824064737E-2</v>
      </c>
      <c r="L1570" s="199">
        <v>4.8717051064889536E-2</v>
      </c>
      <c r="M1570" s="199">
        <v>5.4538934044814961E-2</v>
      </c>
      <c r="N1570" s="199">
        <v>4.2499636705730315E-2</v>
      </c>
    </row>
    <row r="1571" spans="3:14">
      <c r="C1571" s="29">
        <v>9</v>
      </c>
      <c r="D1571" s="34" t="s">
        <v>2016</v>
      </c>
      <c r="E1571" s="199">
        <v>4.8532800270967368E-2</v>
      </c>
      <c r="F1571" s="199">
        <v>5.0851242732136516E-2</v>
      </c>
      <c r="G1571" s="199">
        <v>4.9172414861082814E-2</v>
      </c>
      <c r="H1571" s="199">
        <v>5.0778262242056657E-2</v>
      </c>
      <c r="I1571" s="199">
        <v>4.823529877536397E-2</v>
      </c>
      <c r="J1571" s="199">
        <v>4.8441842245443269E-2</v>
      </c>
      <c r="K1571" s="199">
        <v>4.8048721094399491E-2</v>
      </c>
      <c r="L1571" s="199">
        <v>5.2751824357067149E-2</v>
      </c>
      <c r="M1571" s="199">
        <v>5.3784099725155833E-2</v>
      </c>
      <c r="N1571" s="199">
        <v>5.3292869468617166E-2</v>
      </c>
    </row>
    <row r="1572" spans="3:14">
      <c r="C1572" s="29">
        <v>10</v>
      </c>
      <c r="D1572" s="34" t="s">
        <v>2017</v>
      </c>
      <c r="E1572" s="199">
        <v>4.5669881330629519E-2</v>
      </c>
      <c r="F1572" s="199">
        <v>4.9681635838033943E-2</v>
      </c>
      <c r="G1572" s="199">
        <v>5.0149327146307654E-2</v>
      </c>
      <c r="H1572" s="199">
        <v>5.1471504982240068E-2</v>
      </c>
      <c r="I1572" s="199">
        <v>5.0333897169371526E-2</v>
      </c>
      <c r="J1572" s="199">
        <v>4.3416518142366529E-2</v>
      </c>
      <c r="K1572" s="199">
        <v>4.9908034588284356E-2</v>
      </c>
      <c r="L1572" s="199">
        <v>5.5113923259127735E-2</v>
      </c>
      <c r="M1572" s="199">
        <v>5.3270705018503901E-2</v>
      </c>
      <c r="N1572" s="199">
        <v>5.5739106054452092E-2</v>
      </c>
    </row>
    <row r="1573" spans="3:14">
      <c r="C1573" s="29">
        <v>11</v>
      </c>
      <c r="D1573" s="34" t="s">
        <v>2018</v>
      </c>
      <c r="E1573" s="199">
        <v>4.1514074232143032E-2</v>
      </c>
      <c r="F1573" s="199">
        <v>5.1227669940767356E-2</v>
      </c>
      <c r="G1573" s="199">
        <v>5.1910490766964905E-2</v>
      </c>
      <c r="H1573" s="199">
        <v>4.9295999804164499E-2</v>
      </c>
      <c r="I1573" s="199">
        <v>4.7858891206038361E-2</v>
      </c>
      <c r="J1573" s="199">
        <v>4.2730061145956455E-2</v>
      </c>
      <c r="K1573" s="199">
        <v>5.0678237081791554E-2</v>
      </c>
      <c r="L1573" s="199">
        <v>5.6205675503066925E-2</v>
      </c>
      <c r="M1573" s="199">
        <v>5.1798474353115964E-2</v>
      </c>
      <c r="N1573" s="199">
        <v>6.4158264555686961E-2</v>
      </c>
    </row>
    <row r="1574" spans="3:14">
      <c r="C1574" s="29">
        <v>12</v>
      </c>
      <c r="D1574" s="34" t="s">
        <v>2019</v>
      </c>
      <c r="E1574" s="199">
        <v>3.9261511118729019E-2</v>
      </c>
      <c r="F1574" s="199">
        <v>5.0193351187421277E-2</v>
      </c>
      <c r="G1574" s="199">
        <v>5.023661732029578E-2</v>
      </c>
      <c r="H1574" s="199">
        <v>5.0454491448323049E-2</v>
      </c>
      <c r="I1574" s="199">
        <v>4.7265230253943968E-2</v>
      </c>
      <c r="J1574" s="199">
        <v>4.1897831960441216E-2</v>
      </c>
      <c r="K1574" s="199">
        <v>4.9533234701107848E-2</v>
      </c>
      <c r="L1574" s="199">
        <v>5.5265540736681718E-2</v>
      </c>
      <c r="M1574" s="199">
        <v>4.9253257227347899E-2</v>
      </c>
      <c r="N1574" s="199">
        <v>5.635182377033579E-2</v>
      </c>
    </row>
    <row r="1575" spans="3:14">
      <c r="C1575" s="29">
        <v>13</v>
      </c>
      <c r="D1575" s="34" t="s">
        <v>2020</v>
      </c>
      <c r="E1575" s="199">
        <v>3.7804767560677056E-2</v>
      </c>
      <c r="F1575" s="199">
        <v>4.9228620799912637E-2</v>
      </c>
      <c r="G1575" s="199">
        <v>5.0452470199443274E-2</v>
      </c>
      <c r="H1575" s="199">
        <v>4.9565552835256224E-2</v>
      </c>
      <c r="I1575" s="199">
        <v>4.5417339294357054E-2</v>
      </c>
      <c r="J1575" s="199">
        <v>3.9726554186445218E-2</v>
      </c>
      <c r="K1575" s="199">
        <v>4.8887862714580746E-2</v>
      </c>
      <c r="L1575" s="199">
        <v>5.5263297874587725E-2</v>
      </c>
      <c r="M1575" s="199">
        <v>5.1055295251755894E-2</v>
      </c>
      <c r="N1575" s="199">
        <v>4.6763006679649256E-2</v>
      </c>
    </row>
    <row r="1576" spans="3:14">
      <c r="C1576" s="29">
        <v>14</v>
      </c>
      <c r="D1576" s="34" t="s">
        <v>2021</v>
      </c>
      <c r="E1576" s="199">
        <v>3.7124797025050345E-2</v>
      </c>
      <c r="F1576" s="199">
        <v>4.9141899418566282E-2</v>
      </c>
      <c r="G1576" s="199">
        <v>4.9325325691488862E-2</v>
      </c>
      <c r="H1576" s="199">
        <v>5.0717389423571173E-2</v>
      </c>
      <c r="I1576" s="199">
        <v>4.1609021112673845E-2</v>
      </c>
      <c r="J1576" s="199">
        <v>3.8272192583576212E-2</v>
      </c>
      <c r="K1576" s="199">
        <v>4.8693630531572323E-2</v>
      </c>
      <c r="L1576" s="199">
        <v>5.4201433072040596E-2</v>
      </c>
      <c r="M1576" s="199">
        <v>5.2697480191250125E-2</v>
      </c>
      <c r="N1576" s="199">
        <v>4.1970998028114832E-2</v>
      </c>
    </row>
    <row r="1577" spans="3:14">
      <c r="C1577" s="29">
        <v>15</v>
      </c>
      <c r="D1577" s="34" t="s">
        <v>2022</v>
      </c>
      <c r="E1577" s="199">
        <v>3.5678114453720759E-2</v>
      </c>
      <c r="F1577" s="199">
        <v>4.7998676904038091E-2</v>
      </c>
      <c r="G1577" s="199">
        <v>4.9199310802615498E-2</v>
      </c>
      <c r="H1577" s="199">
        <v>4.8262464977768621E-2</v>
      </c>
      <c r="I1577" s="199">
        <v>3.9377992182837281E-2</v>
      </c>
      <c r="J1577" s="199">
        <v>3.6586325501507914E-2</v>
      </c>
      <c r="K1577" s="199">
        <v>4.9911041159087011E-2</v>
      </c>
      <c r="L1577" s="199">
        <v>5.392211850196299E-2</v>
      </c>
      <c r="M1577" s="199">
        <v>5.291638638221248E-2</v>
      </c>
      <c r="N1577" s="199">
        <v>3.3616388394841781E-2</v>
      </c>
    </row>
    <row r="1578" spans="3:14">
      <c r="C1578" s="29">
        <v>16</v>
      </c>
      <c r="D1578" s="34" t="s">
        <v>2023</v>
      </c>
      <c r="E1578" s="199">
        <v>3.7411564039069742E-2</v>
      </c>
      <c r="F1578" s="199">
        <v>4.7108224406937065E-2</v>
      </c>
      <c r="G1578" s="199">
        <v>4.6346457604127748E-2</v>
      </c>
      <c r="H1578" s="199">
        <v>4.3556735491268539E-2</v>
      </c>
      <c r="I1578" s="199">
        <v>3.7031754625418543E-2</v>
      </c>
      <c r="J1578" s="199">
        <v>3.9554667570234153E-2</v>
      </c>
      <c r="K1578" s="199">
        <v>4.9244507539602661E-2</v>
      </c>
      <c r="L1578" s="199">
        <v>5.0602672170935385E-2</v>
      </c>
      <c r="M1578" s="199">
        <v>4.7741540095116476E-2</v>
      </c>
      <c r="N1578" s="199">
        <v>3.6356736104697598E-2</v>
      </c>
    </row>
    <row r="1579" spans="3:14">
      <c r="C1579" s="29">
        <v>17</v>
      </c>
      <c r="D1579" s="34" t="s">
        <v>2024</v>
      </c>
      <c r="E1579" s="199">
        <v>4.1164151573008956E-2</v>
      </c>
      <c r="F1579" s="199">
        <v>4.3212134892363446E-2</v>
      </c>
      <c r="G1579" s="199">
        <v>4.4718287900938403E-2</v>
      </c>
      <c r="H1579" s="199">
        <v>4.0214733986481302E-2</v>
      </c>
      <c r="I1579" s="199">
        <v>3.6678210623937856E-2</v>
      </c>
      <c r="J1579" s="199">
        <v>4.1921248968713111E-2</v>
      </c>
      <c r="K1579" s="199">
        <v>4.4209946911861517E-2</v>
      </c>
      <c r="L1579" s="199">
        <v>4.6373510542667168E-2</v>
      </c>
      <c r="M1579" s="199">
        <v>3.6311232190384957E-2</v>
      </c>
      <c r="N1579" s="199">
        <v>3.6161930931387205E-2</v>
      </c>
    </row>
    <row r="1580" spans="3:14">
      <c r="C1580" s="29">
        <v>18</v>
      </c>
      <c r="D1580" s="34" t="s">
        <v>2025</v>
      </c>
      <c r="E1580" s="199">
        <v>4.7620887715336832E-2</v>
      </c>
      <c r="F1580" s="199">
        <v>3.6849761724560122E-2</v>
      </c>
      <c r="G1580" s="199">
        <v>4.2412456613879969E-2</v>
      </c>
      <c r="H1580" s="199">
        <v>3.8663454430994358E-2</v>
      </c>
      <c r="I1580" s="199">
        <v>4.0226022699266874E-2</v>
      </c>
      <c r="J1580" s="199">
        <v>4.9756804393240768E-2</v>
      </c>
      <c r="K1580" s="199">
        <v>3.7453816133355293E-2</v>
      </c>
      <c r="L1580" s="199">
        <v>4.2582197322813403E-2</v>
      </c>
      <c r="M1580" s="199">
        <v>3.5562331436405352E-2</v>
      </c>
      <c r="N1580" s="199">
        <v>3.0147135006771009E-2</v>
      </c>
    </row>
    <row r="1581" spans="3:14">
      <c r="C1581" s="29">
        <v>19</v>
      </c>
      <c r="D1581" s="34" t="s">
        <v>2026</v>
      </c>
      <c r="E1581" s="199">
        <v>5.3142353376254961E-2</v>
      </c>
      <c r="F1581" s="199">
        <v>3.9641108363096131E-2</v>
      </c>
      <c r="G1581" s="199">
        <v>4.3081758012071321E-2</v>
      </c>
      <c r="H1581" s="199">
        <v>3.9794441613589492E-2</v>
      </c>
      <c r="I1581" s="199">
        <v>3.887271723111306E-2</v>
      </c>
      <c r="J1581" s="199">
        <v>5.6959477103455745E-2</v>
      </c>
      <c r="K1581" s="199">
        <v>3.8609669150974288E-2</v>
      </c>
      <c r="L1581" s="199">
        <v>4.2084094163445877E-2</v>
      </c>
      <c r="M1581" s="199">
        <v>3.5612413556247981E-2</v>
      </c>
      <c r="N1581" s="199">
        <v>2.9890760144020114E-2</v>
      </c>
    </row>
    <row r="1582" spans="3:14">
      <c r="C1582" s="29">
        <v>20</v>
      </c>
      <c r="D1582" s="34" t="s">
        <v>2027</v>
      </c>
      <c r="E1582" s="199">
        <v>5.4497543247652241E-2</v>
      </c>
      <c r="F1582" s="199">
        <v>4.0880489346781484E-2</v>
      </c>
      <c r="G1582" s="199">
        <v>4.1463915597072118E-2</v>
      </c>
      <c r="H1582" s="199">
        <v>3.9379268514423527E-2</v>
      </c>
      <c r="I1582" s="199">
        <v>4.2204562617967595E-2</v>
      </c>
      <c r="J1582" s="199">
        <v>5.7337903307760049E-2</v>
      </c>
      <c r="K1582" s="199">
        <v>3.6857339468151118E-2</v>
      </c>
      <c r="L1582" s="199">
        <v>4.1137814998114794E-2</v>
      </c>
      <c r="M1582" s="199">
        <v>3.4818445958178679E-2</v>
      </c>
      <c r="N1582" s="199">
        <v>3.1575320087905631E-2</v>
      </c>
    </row>
    <row r="1583" spans="3:14">
      <c r="C1583" s="29">
        <v>21</v>
      </c>
      <c r="D1583" s="34" t="s">
        <v>2028</v>
      </c>
      <c r="E1583" s="199">
        <v>5.1936627263575161E-2</v>
      </c>
      <c r="F1583" s="199">
        <v>4.0417178248527114E-2</v>
      </c>
      <c r="G1583" s="199">
        <v>4.0235983243634858E-2</v>
      </c>
      <c r="H1583" s="199">
        <v>3.8313296108146606E-2</v>
      </c>
      <c r="I1583" s="199">
        <v>4.3899930815437561E-2</v>
      </c>
      <c r="J1583" s="199">
        <v>5.5281538201318071E-2</v>
      </c>
      <c r="K1583" s="199">
        <v>3.7067471785212129E-2</v>
      </c>
      <c r="L1583" s="199">
        <v>3.8516378646488221E-2</v>
      </c>
      <c r="M1583" s="199">
        <v>3.4133189759880604E-2</v>
      </c>
      <c r="N1583" s="199">
        <v>3.3428534638081119E-2</v>
      </c>
    </row>
    <row r="1584" spans="3:14">
      <c r="C1584" s="29">
        <v>22</v>
      </c>
      <c r="D1584" s="34" t="s">
        <v>2029</v>
      </c>
      <c r="E1584" s="199">
        <v>4.8662048958405063E-2</v>
      </c>
      <c r="F1584" s="199">
        <v>3.7685623048261077E-2</v>
      </c>
      <c r="G1584" s="199">
        <v>3.744352950925816E-2</v>
      </c>
      <c r="H1584" s="199">
        <v>3.9029901352060685E-2</v>
      </c>
      <c r="I1584" s="199">
        <v>4.2780308826425924E-2</v>
      </c>
      <c r="J1584" s="199">
        <v>4.8941022243243856E-2</v>
      </c>
      <c r="K1584" s="199">
        <v>3.6511236913828314E-2</v>
      </c>
      <c r="L1584" s="199">
        <v>3.4393925094310523E-2</v>
      </c>
      <c r="M1584" s="199">
        <v>3.3551276497167541E-2</v>
      </c>
      <c r="N1584" s="199">
        <v>4.2708344712140182E-2</v>
      </c>
    </row>
    <row r="1585" spans="1:14">
      <c r="C1585" s="29">
        <v>23</v>
      </c>
      <c r="D1585" s="34" t="s">
        <v>2030</v>
      </c>
      <c r="E1585" s="199">
        <v>4.2372250075346653E-2</v>
      </c>
      <c r="F1585" s="199">
        <v>3.5694606459392923E-2</v>
      </c>
      <c r="G1585" s="199">
        <v>3.485612528517755E-2</v>
      </c>
      <c r="H1585" s="199">
        <v>3.7460052794604543E-2</v>
      </c>
      <c r="I1585" s="199">
        <v>4.0400320287902795E-2</v>
      </c>
      <c r="J1585" s="199">
        <v>4.0032471672311207E-2</v>
      </c>
      <c r="K1585" s="199">
        <v>3.6244423027981067E-2</v>
      </c>
      <c r="L1585" s="199">
        <v>3.1205795730907083E-2</v>
      </c>
      <c r="M1585" s="199">
        <v>3.2964559871761522E-2</v>
      </c>
      <c r="N1585" s="199">
        <v>5.3065458841490158E-2</v>
      </c>
    </row>
    <row r="1586" spans="1:14">
      <c r="C1586" s="29">
        <v>24</v>
      </c>
      <c r="D1586" s="34" t="s">
        <v>2031</v>
      </c>
      <c r="E1586" s="199">
        <v>3.5788178566604233E-2</v>
      </c>
      <c r="F1586" s="199">
        <v>3.500674374527115E-2</v>
      </c>
      <c r="G1586" s="199">
        <v>3.2337679513799227E-2</v>
      </c>
      <c r="H1586" s="199">
        <v>3.575673080946002E-2</v>
      </c>
      <c r="I1586" s="199">
        <v>4.3476707369096181E-2</v>
      </c>
      <c r="J1586" s="199">
        <v>3.5229563206377532E-2</v>
      </c>
      <c r="K1586" s="199">
        <v>3.6465675802433997E-2</v>
      </c>
      <c r="L1586" s="199">
        <v>2.8592464978569033E-2</v>
      </c>
      <c r="M1586" s="199">
        <v>3.256920073952007E-2</v>
      </c>
      <c r="N1586" s="199">
        <v>5.1592420572617967E-2</v>
      </c>
    </row>
    <row r="1587" spans="1:14">
      <c r="A1587" s="16" t="s">
        <v>439</v>
      </c>
      <c r="B1587" s="16" t="s">
        <v>310</v>
      </c>
      <c r="C1587" s="29">
        <v>1</v>
      </c>
      <c r="D1587" s="34" t="s">
        <v>2032</v>
      </c>
      <c r="E1587" s="199">
        <v>3.3007214688599427E-2</v>
      </c>
      <c r="F1587" s="199">
        <v>3.3538972099258817E-2</v>
      </c>
      <c r="G1587" s="199">
        <v>3.1233762805317349E-2</v>
      </c>
      <c r="H1587" s="199">
        <v>3.4145512744426815E-2</v>
      </c>
      <c r="I1587" s="199">
        <v>3.871562378021489E-2</v>
      </c>
      <c r="J1587" s="199">
        <v>3.3497544927685689E-2</v>
      </c>
      <c r="K1587" s="199">
        <v>3.5884054623123454E-2</v>
      </c>
      <c r="L1587" s="199">
        <v>2.784977391995359E-2</v>
      </c>
      <c r="M1587" s="199">
        <v>3.3052499011330942E-2</v>
      </c>
      <c r="N1587" s="199">
        <v>4.1740252453729185E-2</v>
      </c>
    </row>
    <row r="1588" spans="1:14">
      <c r="C1588" s="29">
        <v>2</v>
      </c>
      <c r="D1588" s="34" t="s">
        <v>2033</v>
      </c>
      <c r="E1588" s="199">
        <v>3.2528572950119745E-2</v>
      </c>
      <c r="F1588" s="199">
        <v>3.3104433579236862E-2</v>
      </c>
      <c r="G1588" s="199">
        <v>3.0294674142053259E-2</v>
      </c>
      <c r="H1588" s="199">
        <v>3.2879812290877983E-2</v>
      </c>
      <c r="I1588" s="199">
        <v>4.0037270111403275E-2</v>
      </c>
      <c r="J1588" s="199">
        <v>3.1553279544909503E-2</v>
      </c>
      <c r="K1588" s="199">
        <v>3.5745311552673013E-2</v>
      </c>
      <c r="L1588" s="199">
        <v>2.594457959691247E-2</v>
      </c>
      <c r="M1588" s="199">
        <v>3.3266140787339055E-2</v>
      </c>
      <c r="N1588" s="199">
        <v>3.441743076183619E-2</v>
      </c>
    </row>
    <row r="1589" spans="1:14">
      <c r="C1589" s="29">
        <v>3</v>
      </c>
      <c r="D1589" s="34" t="s">
        <v>2034</v>
      </c>
      <c r="E1589" s="199">
        <v>3.2289803489293854E-2</v>
      </c>
      <c r="F1589" s="199">
        <v>3.3049060796895853E-2</v>
      </c>
      <c r="G1589" s="199">
        <v>3.0755233758158047E-2</v>
      </c>
      <c r="H1589" s="199">
        <v>3.2408741931738719E-2</v>
      </c>
      <c r="I1589" s="199">
        <v>3.7300311958605802E-2</v>
      </c>
      <c r="J1589" s="199">
        <v>3.1229664494612262E-2</v>
      </c>
      <c r="K1589" s="199">
        <v>3.6036679799554876E-2</v>
      </c>
      <c r="L1589" s="199">
        <v>2.4652949206159618E-2</v>
      </c>
      <c r="M1589" s="199">
        <v>3.254963464233071E-2</v>
      </c>
      <c r="N1589" s="199">
        <v>2.3288865726119073E-2</v>
      </c>
    </row>
    <row r="1590" spans="1:14">
      <c r="C1590" s="29">
        <v>4</v>
      </c>
      <c r="D1590" s="34" t="s">
        <v>2035</v>
      </c>
      <c r="E1590" s="199">
        <v>3.2895894306240389E-2</v>
      </c>
      <c r="F1590" s="199">
        <v>3.3697879539948822E-2</v>
      </c>
      <c r="G1590" s="199">
        <v>3.1525941623359949E-2</v>
      </c>
      <c r="H1590" s="199">
        <v>3.2364034723185477E-2</v>
      </c>
      <c r="I1590" s="199">
        <v>4.0587357907481428E-2</v>
      </c>
      <c r="J1590" s="199">
        <v>3.0676299397588858E-2</v>
      </c>
      <c r="K1590" s="199">
        <v>3.5411517094253733E-2</v>
      </c>
      <c r="L1590" s="199">
        <v>2.5337429297802794E-2</v>
      </c>
      <c r="M1590" s="199">
        <v>3.2870313251534264E-2</v>
      </c>
      <c r="N1590" s="199">
        <v>2.1108148240908352E-2</v>
      </c>
    </row>
    <row r="1591" spans="1:14">
      <c r="C1591" s="29">
        <v>5</v>
      </c>
      <c r="D1591" s="34" t="s">
        <v>2036</v>
      </c>
      <c r="E1591" s="199">
        <v>3.5438605207800497E-2</v>
      </c>
      <c r="F1591" s="199">
        <v>3.4706417834571797E-2</v>
      </c>
      <c r="G1591" s="199">
        <v>3.3490578764134304E-2</v>
      </c>
      <c r="H1591" s="199">
        <v>3.3833396201397588E-2</v>
      </c>
      <c r="I1591" s="199">
        <v>3.8521902536942945E-2</v>
      </c>
      <c r="J1591" s="199">
        <v>3.0921830068860248E-2</v>
      </c>
      <c r="K1591" s="199">
        <v>3.5092833074226691E-2</v>
      </c>
      <c r="L1591" s="199">
        <v>2.9006247192596868E-2</v>
      </c>
      <c r="M1591" s="199">
        <v>3.5993168645852343E-2</v>
      </c>
      <c r="N1591" s="199">
        <v>2.3474249731899124E-2</v>
      </c>
    </row>
    <row r="1592" spans="1:14">
      <c r="C1592" s="29">
        <v>6</v>
      </c>
      <c r="D1592" s="34" t="s">
        <v>2037</v>
      </c>
      <c r="E1592" s="199">
        <v>4.0813843426253639E-2</v>
      </c>
      <c r="F1592" s="199">
        <v>3.5898101519558932E-2</v>
      </c>
      <c r="G1592" s="199">
        <v>3.5703286998793902E-2</v>
      </c>
      <c r="H1592" s="199">
        <v>3.5830163754397404E-2</v>
      </c>
      <c r="I1592" s="199">
        <v>3.9963125559640364E-2</v>
      </c>
      <c r="J1592" s="199">
        <v>3.9819117859522427E-2</v>
      </c>
      <c r="K1592" s="199">
        <v>3.6621833963461366E-2</v>
      </c>
      <c r="L1592" s="199">
        <v>3.638200904956318E-2</v>
      </c>
      <c r="M1592" s="199">
        <v>4.3524689085712547E-2</v>
      </c>
      <c r="N1592" s="199">
        <v>3.4744461652827324E-2</v>
      </c>
    </row>
    <row r="1593" spans="1:14">
      <c r="C1593" s="29">
        <v>7</v>
      </c>
      <c r="D1593" s="34" t="s">
        <v>2038</v>
      </c>
      <c r="E1593" s="199">
        <v>5.092675067867556E-2</v>
      </c>
      <c r="F1593" s="199">
        <v>4.2175439722812756E-2</v>
      </c>
      <c r="G1593" s="199">
        <v>4.3562894105962063E-2</v>
      </c>
      <c r="H1593" s="199">
        <v>4.4512025683156264E-2</v>
      </c>
      <c r="I1593" s="199">
        <v>4.501405901503646E-2</v>
      </c>
      <c r="J1593" s="199">
        <v>4.718075940155303E-2</v>
      </c>
      <c r="K1593" s="199">
        <v>4.1582132700142931E-2</v>
      </c>
      <c r="L1593" s="199">
        <v>4.4761645745388275E-2</v>
      </c>
      <c r="M1593" s="199">
        <v>4.6572467535159846E-2</v>
      </c>
      <c r="N1593" s="199">
        <v>4.3124340490260892E-2</v>
      </c>
    </row>
    <row r="1594" spans="1:14">
      <c r="C1594" s="29">
        <v>8</v>
      </c>
      <c r="D1594" s="34" t="s">
        <v>2039</v>
      </c>
      <c r="E1594" s="199">
        <v>5.2846588071155456E-2</v>
      </c>
      <c r="F1594" s="199">
        <v>4.7149092583036192E-2</v>
      </c>
      <c r="G1594" s="199">
        <v>4.7123552360301552E-2</v>
      </c>
      <c r="H1594" s="199">
        <v>4.7569767104630518E-2</v>
      </c>
      <c r="I1594" s="199">
        <v>4.8380501786165882E-2</v>
      </c>
      <c r="J1594" s="199">
        <v>5.1915937180885982E-2</v>
      </c>
      <c r="K1594" s="199">
        <v>4.4308816182355354E-2</v>
      </c>
      <c r="L1594" s="199">
        <v>4.844470337061639E-2</v>
      </c>
      <c r="M1594" s="199">
        <v>5.3149726174299167E-2</v>
      </c>
      <c r="N1594" s="199">
        <v>5.0217120274319217E-2</v>
      </c>
    </row>
    <row r="1595" spans="1:14">
      <c r="C1595" s="29">
        <v>9</v>
      </c>
      <c r="D1595" s="34" t="s">
        <v>2040</v>
      </c>
      <c r="E1595" s="199">
        <v>4.9782780189104953E-2</v>
      </c>
      <c r="F1595" s="199">
        <v>4.9006540640958843E-2</v>
      </c>
      <c r="G1595" s="199">
        <v>4.7849925301643108E-2</v>
      </c>
      <c r="H1595" s="199">
        <v>4.9704455237799261E-2</v>
      </c>
      <c r="I1595" s="199">
        <v>4.8479069395711394E-2</v>
      </c>
      <c r="J1595" s="199">
        <v>4.8153856097620455E-2</v>
      </c>
      <c r="K1595" s="199">
        <v>4.6973303150411379E-2</v>
      </c>
      <c r="L1595" s="199">
        <v>5.1841281892968043E-2</v>
      </c>
      <c r="M1595" s="199">
        <v>5.2958686661655784E-2</v>
      </c>
      <c r="N1595" s="199">
        <v>5.9429078647629807E-2</v>
      </c>
    </row>
    <row r="1596" spans="1:14">
      <c r="C1596" s="29">
        <v>10</v>
      </c>
      <c r="D1596" s="34" t="s">
        <v>2041</v>
      </c>
      <c r="E1596" s="199">
        <v>4.5768302525199527E-2</v>
      </c>
      <c r="F1596" s="199">
        <v>4.977560706236165E-2</v>
      </c>
      <c r="G1596" s="199">
        <v>5.0034450445872965E-2</v>
      </c>
      <c r="H1596" s="199">
        <v>5.0619354672524097E-2</v>
      </c>
      <c r="I1596" s="199">
        <v>4.7272447788273275E-2</v>
      </c>
      <c r="J1596" s="199">
        <v>4.3879980968434755E-2</v>
      </c>
      <c r="K1596" s="199">
        <v>4.8791937023280302E-2</v>
      </c>
      <c r="L1596" s="199">
        <v>5.4481124939122806E-2</v>
      </c>
      <c r="M1596" s="199">
        <v>5.1524954554334479E-2</v>
      </c>
      <c r="N1596" s="199">
        <v>5.4594822384320695E-2</v>
      </c>
    </row>
    <row r="1597" spans="1:14">
      <c r="C1597" s="29">
        <v>11</v>
      </c>
      <c r="D1597" s="34" t="s">
        <v>2042</v>
      </c>
      <c r="E1597" s="199">
        <v>4.1990055278725562E-2</v>
      </c>
      <c r="F1597" s="199">
        <v>5.2541129206996842E-2</v>
      </c>
      <c r="G1597" s="199">
        <v>5.186019627730705E-2</v>
      </c>
      <c r="H1597" s="199">
        <v>5.0672540035652726E-2</v>
      </c>
      <c r="I1597" s="199">
        <v>4.4955933888270724E-2</v>
      </c>
      <c r="J1597" s="199">
        <v>4.1897228028974845E-2</v>
      </c>
      <c r="K1597" s="199">
        <v>5.0508619306016377E-2</v>
      </c>
      <c r="L1597" s="199">
        <v>5.6583582948867589E-2</v>
      </c>
      <c r="M1597" s="199">
        <v>5.1569367282028884E-2</v>
      </c>
      <c r="N1597" s="199">
        <v>5.2987598301096776E-2</v>
      </c>
    </row>
    <row r="1598" spans="1:14">
      <c r="C1598" s="29">
        <v>12</v>
      </c>
      <c r="D1598" s="34" t="s">
        <v>2043</v>
      </c>
      <c r="E1598" s="199">
        <v>3.986816517289006E-2</v>
      </c>
      <c r="F1598" s="199">
        <v>5.1285000954282033E-2</v>
      </c>
      <c r="G1598" s="199">
        <v>5.0788299060387225E-2</v>
      </c>
      <c r="H1598" s="199">
        <v>5.1357741708712289E-2</v>
      </c>
      <c r="I1598" s="199">
        <v>4.0750003217015669E-2</v>
      </c>
      <c r="J1598" s="199">
        <v>4.1619469228663615E-2</v>
      </c>
      <c r="K1598" s="199">
        <v>4.9817243634547495E-2</v>
      </c>
      <c r="L1598" s="199">
        <v>5.5959755110954176E-2</v>
      </c>
      <c r="M1598" s="199">
        <v>5.0620576092823041E-2</v>
      </c>
      <c r="N1598" s="199">
        <v>4.9564439664565439E-2</v>
      </c>
    </row>
    <row r="1599" spans="1:14">
      <c r="C1599" s="29">
        <v>13</v>
      </c>
      <c r="D1599" s="34" t="s">
        <v>2044</v>
      </c>
      <c r="E1599" s="199">
        <v>3.7948372662490376E-2</v>
      </c>
      <c r="F1599" s="199">
        <v>4.8738562426735146E-2</v>
      </c>
      <c r="G1599" s="199">
        <v>5.0655624761101456E-2</v>
      </c>
      <c r="H1599" s="199">
        <v>4.9455114101598675E-2</v>
      </c>
      <c r="I1599" s="199">
        <v>3.909019820405614E-2</v>
      </c>
      <c r="J1599" s="199">
        <v>3.7531983743949476E-2</v>
      </c>
      <c r="K1599" s="199">
        <v>4.9141816787084847E-2</v>
      </c>
      <c r="L1599" s="199">
        <v>5.6191116726742776E-2</v>
      </c>
      <c r="M1599" s="199">
        <v>5.1342408885885503E-2</v>
      </c>
      <c r="N1599" s="199">
        <v>4.6630062533339962E-2</v>
      </c>
    </row>
    <row r="1600" spans="1:14">
      <c r="C1600" s="29">
        <v>14</v>
      </c>
      <c r="D1600" s="34" t="s">
        <v>2045</v>
      </c>
      <c r="E1600" s="199">
        <v>3.5521220294005777E-2</v>
      </c>
      <c r="F1600" s="199">
        <v>4.8252244947044602E-2</v>
      </c>
      <c r="G1600" s="199">
        <v>4.9395007209072396E-2</v>
      </c>
      <c r="H1600" s="199">
        <v>5.1108678544792868E-2</v>
      </c>
      <c r="I1600" s="199">
        <v>3.7164190615050503E-2</v>
      </c>
      <c r="J1600" s="199">
        <v>3.823517893811941E-2</v>
      </c>
      <c r="K1600" s="199">
        <v>4.9302903809015926E-2</v>
      </c>
      <c r="L1600" s="199">
        <v>5.5340185590665066E-2</v>
      </c>
      <c r="M1600" s="199">
        <v>5.2124634350804701E-2</v>
      </c>
      <c r="N1600" s="199">
        <v>5.2517846279827952E-2</v>
      </c>
    </row>
    <row r="1601" spans="1:14">
      <c r="C1601" s="29">
        <v>15</v>
      </c>
      <c r="D1601" s="34" t="s">
        <v>2046</v>
      </c>
      <c r="E1601" s="199">
        <v>3.5400189353008177E-2</v>
      </c>
      <c r="F1601" s="199">
        <v>4.8225692529047431E-2</v>
      </c>
      <c r="G1601" s="199">
        <v>4.8482965637723106E-2</v>
      </c>
      <c r="H1601" s="199">
        <v>4.8138359405743444E-2</v>
      </c>
      <c r="I1601" s="199">
        <v>3.3197851016021088E-2</v>
      </c>
      <c r="J1601" s="199">
        <v>3.7100459594513094E-2</v>
      </c>
      <c r="K1601" s="199">
        <v>4.9415656925431727E-2</v>
      </c>
      <c r="L1601" s="199">
        <v>5.3779486024620071E-2</v>
      </c>
      <c r="M1601" s="199">
        <v>5.348724850843059E-2</v>
      </c>
      <c r="N1601" s="199">
        <v>4.3249106381568161E-2</v>
      </c>
    </row>
    <row r="1602" spans="1:14">
      <c r="C1602" s="29">
        <v>16</v>
      </c>
      <c r="D1602" s="34" t="s">
        <v>2047</v>
      </c>
      <c r="E1602" s="199">
        <v>3.6420820680313534E-2</v>
      </c>
      <c r="F1602" s="199">
        <v>4.7131518906473026E-2</v>
      </c>
      <c r="G1602" s="199">
        <v>4.62624138496808E-2</v>
      </c>
      <c r="H1602" s="199">
        <v>4.3447994119589051E-2</v>
      </c>
      <c r="I1602" s="199">
        <v>3.8086664388932025E-2</v>
      </c>
      <c r="J1602" s="199">
        <v>3.8960367965075994E-2</v>
      </c>
      <c r="K1602" s="199">
        <v>4.8264183027924408E-2</v>
      </c>
      <c r="L1602" s="199">
        <v>5.0968776675953495E-2</v>
      </c>
      <c r="M1602" s="199">
        <v>4.7561856420345675E-2</v>
      </c>
      <c r="N1602" s="199">
        <v>3.8767355963686828E-2</v>
      </c>
    </row>
    <row r="1603" spans="1:14">
      <c r="C1603" s="29">
        <v>17</v>
      </c>
      <c r="D1603" s="34" t="s">
        <v>2048</v>
      </c>
      <c r="E1603" s="199">
        <v>3.9376837835026809E-2</v>
      </c>
      <c r="F1603" s="199">
        <v>4.3053251263914856E-2</v>
      </c>
      <c r="G1603" s="199">
        <v>4.5583365573745739E-2</v>
      </c>
      <c r="H1603" s="199">
        <v>4.0075495418414535E-2</v>
      </c>
      <c r="I1603" s="199">
        <v>3.9414175755501907E-2</v>
      </c>
      <c r="J1603" s="199">
        <v>4.2517895178713502E-2</v>
      </c>
      <c r="K1603" s="199">
        <v>4.4655049943605904E-2</v>
      </c>
      <c r="L1603" s="199">
        <v>4.6320985160840746E-2</v>
      </c>
      <c r="M1603" s="199">
        <v>3.6673827889091133E-2</v>
      </c>
      <c r="N1603" s="199">
        <v>3.7870514796651544E-2</v>
      </c>
    </row>
    <row r="1604" spans="1:14">
      <c r="C1604" s="29">
        <v>18</v>
      </c>
      <c r="D1604" s="34" t="s">
        <v>2049</v>
      </c>
      <c r="E1604" s="199">
        <v>4.5665721325028899E-2</v>
      </c>
      <c r="F1604" s="199">
        <v>3.815002104537904E-2</v>
      </c>
      <c r="G1604" s="199">
        <v>4.3800555322546772E-2</v>
      </c>
      <c r="H1604" s="199">
        <v>3.9941049491760104E-2</v>
      </c>
      <c r="I1604" s="199">
        <v>4.285712660011514E-2</v>
      </c>
      <c r="J1604" s="199">
        <v>4.6469574853533861E-2</v>
      </c>
      <c r="K1604" s="199">
        <v>3.8341772301954215E-2</v>
      </c>
      <c r="L1604" s="199">
        <v>4.3128554779730308E-2</v>
      </c>
      <c r="M1604" s="199">
        <v>3.6508053963839555E-2</v>
      </c>
      <c r="N1604" s="199">
        <v>3.5358622903764216E-2</v>
      </c>
    </row>
    <row r="1605" spans="1:14">
      <c r="C1605" s="29">
        <v>19</v>
      </c>
      <c r="D1605" s="34" t="s">
        <v>2050</v>
      </c>
      <c r="E1605" s="199">
        <v>5.2617311170292835E-2</v>
      </c>
      <c r="F1605" s="199">
        <v>4.0703565804812158E-2</v>
      </c>
      <c r="G1605" s="199">
        <v>4.4062960652238706E-2</v>
      </c>
      <c r="H1605" s="199">
        <v>4.133396859265321E-2</v>
      </c>
      <c r="I1605" s="199">
        <v>4.3244569086659045E-2</v>
      </c>
      <c r="J1605" s="199">
        <v>5.2740775239489633E-2</v>
      </c>
      <c r="K1605" s="199">
        <v>3.8978282459054429E-2</v>
      </c>
      <c r="L1605" s="199">
        <v>4.2221826081268454E-2</v>
      </c>
      <c r="M1605" s="199">
        <v>3.6642083945957853E-2</v>
      </c>
      <c r="N1605" s="199">
        <v>4.1537527063302493E-2</v>
      </c>
    </row>
    <row r="1606" spans="1:14">
      <c r="C1606" s="29">
        <v>20</v>
      </c>
      <c r="D1606" s="34" t="s">
        <v>2051</v>
      </c>
      <c r="E1606" s="199">
        <v>5.332428728595083E-2</v>
      </c>
      <c r="F1606" s="199">
        <v>4.0431319199259082E-2</v>
      </c>
      <c r="G1606" s="199">
        <v>4.1939996300259387E-2</v>
      </c>
      <c r="H1606" s="199">
        <v>3.9704634066633472E-2</v>
      </c>
      <c r="I1606" s="199">
        <v>4.1038352866964972E-2</v>
      </c>
      <c r="J1606" s="199">
        <v>5.6050374975700985E-2</v>
      </c>
      <c r="K1606" s="199">
        <v>3.7883565317882298E-2</v>
      </c>
      <c r="L1606" s="199">
        <v>4.0377535116681879E-2</v>
      </c>
      <c r="M1606" s="199">
        <v>3.4962174320460081E-2</v>
      </c>
      <c r="N1606" s="199">
        <v>4.8696756577909464E-2</v>
      </c>
    </row>
    <row r="1607" spans="1:14">
      <c r="C1607" s="29">
        <v>21</v>
      </c>
      <c r="D1607" s="34" t="s">
        <v>2052</v>
      </c>
      <c r="E1607" s="199">
        <v>5.2383135710962175E-2</v>
      </c>
      <c r="F1607" s="199">
        <v>3.9899049637436783E-2</v>
      </c>
      <c r="G1607" s="199">
        <v>4.0712911358939508E-2</v>
      </c>
      <c r="H1607" s="199">
        <v>3.858320122700671E-2</v>
      </c>
      <c r="I1607" s="199">
        <v>4.1876877850833938E-2</v>
      </c>
      <c r="J1607" s="199">
        <v>5.2114337267218543E-2</v>
      </c>
      <c r="K1607" s="199">
        <v>3.7378954664941337E-2</v>
      </c>
      <c r="L1607" s="199">
        <v>3.8031400896937718E-2</v>
      </c>
      <c r="M1607" s="199">
        <v>3.3840267069495639E-2</v>
      </c>
      <c r="N1607" s="199">
        <v>4.7008196796785369E-2</v>
      </c>
    </row>
    <row r="1608" spans="1:14">
      <c r="C1608" s="29">
        <v>22</v>
      </c>
      <c r="D1608" s="34" t="s">
        <v>2053</v>
      </c>
      <c r="E1608" s="199">
        <v>4.7062448455134923E-2</v>
      </c>
      <c r="F1608" s="199">
        <v>3.7577905410819859E-2</v>
      </c>
      <c r="G1608" s="199">
        <v>3.7306093121670984E-2</v>
      </c>
      <c r="H1608" s="199">
        <v>3.8617947762151723E-2</v>
      </c>
      <c r="I1608" s="199">
        <v>4.4229982568589614E-2</v>
      </c>
      <c r="J1608" s="199">
        <v>4.9488210245881487E-2</v>
      </c>
      <c r="K1608" s="199">
        <v>3.6561177739153988E-2</v>
      </c>
      <c r="L1608" s="199">
        <v>3.3621457869670204E-2</v>
      </c>
      <c r="M1608" s="199">
        <v>3.3232957209596556E-2</v>
      </c>
      <c r="N1608" s="199">
        <v>4.7693872076442052E-2</v>
      </c>
    </row>
    <row r="1609" spans="1:14">
      <c r="C1609" s="29">
        <v>23</v>
      </c>
      <c r="D1609" s="34" t="s">
        <v>2054</v>
      </c>
      <c r="E1609" s="199">
        <v>4.1067581060827793E-2</v>
      </c>
      <c r="F1609" s="199">
        <v>3.5791240539901487E-2</v>
      </c>
      <c r="G1609" s="199">
        <v>3.4814424960779008E-2</v>
      </c>
      <c r="H1609" s="199">
        <v>3.7456811215032589E-2</v>
      </c>
      <c r="I1609" s="199">
        <v>4.4070226007825355E-2</v>
      </c>
      <c r="J1609" s="199">
        <v>4.1067233205613944E-2</v>
      </c>
      <c r="K1609" s="199">
        <v>3.6731779462937202E-2</v>
      </c>
      <c r="L1609" s="199">
        <v>3.0798130508583751E-2</v>
      </c>
      <c r="M1609" s="199">
        <v>3.3125200559096506E-2</v>
      </c>
      <c r="N1609" s="199">
        <v>3.852473004221476E-2</v>
      </c>
    </row>
    <row r="1610" spans="1:14">
      <c r="C1610" s="29">
        <v>24</v>
      </c>
      <c r="D1610" s="34" t="s">
        <v>2055</v>
      </c>
      <c r="E1610" s="199">
        <v>3.505549818289929E-2</v>
      </c>
      <c r="F1610" s="199">
        <v>3.6117952749256894E-2</v>
      </c>
      <c r="G1610" s="199">
        <v>3.2760885608951358E-2</v>
      </c>
      <c r="H1610" s="199">
        <v>3.6239199966124437E-2</v>
      </c>
      <c r="I1610" s="199">
        <v>4.5752178094688109E-2</v>
      </c>
      <c r="J1610" s="199">
        <v>3.5378641592878554E-2</v>
      </c>
      <c r="K1610" s="199">
        <v>3.6570575456966958E-2</v>
      </c>
      <c r="L1610" s="199">
        <v>2.7975462297399813E-2</v>
      </c>
      <c r="M1610" s="199">
        <v>3.2847063152595377E-2</v>
      </c>
      <c r="N1610" s="199">
        <v>3.3454600254995089E-2</v>
      </c>
    </row>
    <row r="1611" spans="1:14">
      <c r="A1611" s="16" t="s">
        <v>439</v>
      </c>
      <c r="B1611" s="16" t="s">
        <v>311</v>
      </c>
      <c r="C1611" s="29">
        <v>1</v>
      </c>
      <c r="D1611" s="34" t="s">
        <v>2056</v>
      </c>
      <c r="E1611" s="199">
        <v>3.3512172482039193E-2</v>
      </c>
      <c r="F1611" s="199">
        <v>3.4626812152154574E-2</v>
      </c>
      <c r="G1611" s="199">
        <v>3.1748856635735907E-2</v>
      </c>
      <c r="H1611" s="199">
        <v>3.6041968046412111E-2</v>
      </c>
      <c r="I1611" s="199">
        <v>4.3297778692766208E-2</v>
      </c>
      <c r="J1611" s="199">
        <v>3.243677787915461E-2</v>
      </c>
      <c r="K1611" s="199">
        <v>3.6287873181072287E-2</v>
      </c>
      <c r="L1611" s="199">
        <v>2.763343970536673E-2</v>
      </c>
      <c r="M1611" s="199">
        <v>3.2822793417439607E-2</v>
      </c>
      <c r="N1611" s="199">
        <v>2.8277858708623812E-2</v>
      </c>
    </row>
    <row r="1612" spans="1:14">
      <c r="C1612" s="29">
        <v>2</v>
      </c>
      <c r="D1612" s="34" t="s">
        <v>2057</v>
      </c>
      <c r="E1612" s="199">
        <v>3.1797288321982267E-2</v>
      </c>
      <c r="F1612" s="199">
        <v>3.3895845975784135E-2</v>
      </c>
      <c r="G1612" s="199">
        <v>3.1255190563990815E-2</v>
      </c>
      <c r="H1612" s="199">
        <v>3.451888284743744E-2</v>
      </c>
      <c r="I1612" s="199">
        <v>4.2054854682574652E-2</v>
      </c>
      <c r="J1612" s="199">
        <v>3.1547446359586069E-2</v>
      </c>
      <c r="K1612" s="199">
        <v>3.5777304862220291E-2</v>
      </c>
      <c r="L1612" s="199">
        <v>2.5503608797302218E-2</v>
      </c>
      <c r="M1612" s="199">
        <v>3.2578545474302806E-2</v>
      </c>
      <c r="N1612" s="199">
        <v>2.3045845208783444E-2</v>
      </c>
    </row>
    <row r="1613" spans="1:14">
      <c r="C1613" s="29">
        <v>3</v>
      </c>
      <c r="D1613" s="34" t="s">
        <v>2058</v>
      </c>
      <c r="E1613" s="199">
        <v>3.1606424345208481E-2</v>
      </c>
      <c r="F1613" s="199">
        <v>3.4122992198406282E-2</v>
      </c>
      <c r="G1613" s="199">
        <v>3.0997484379259695E-2</v>
      </c>
      <c r="H1613" s="199">
        <v>3.3976808581818542E-2</v>
      </c>
      <c r="I1613" s="199">
        <v>4.2611216969757552E-2</v>
      </c>
      <c r="J1613" s="199">
        <v>3.0312862819911246E-2</v>
      </c>
      <c r="K1613" s="199">
        <v>3.5768436963036741E-2</v>
      </c>
      <c r="L1613" s="199">
        <v>2.4935440247549345E-2</v>
      </c>
      <c r="M1613" s="199">
        <v>3.2837106489326043E-2</v>
      </c>
      <c r="N1613" s="199">
        <v>2.8740621411338076E-2</v>
      </c>
    </row>
    <row r="1614" spans="1:14">
      <c r="C1614" s="29">
        <v>4</v>
      </c>
      <c r="D1614" s="34" t="s">
        <v>2059</v>
      </c>
      <c r="E1614" s="199">
        <v>3.2128479715934535E-2</v>
      </c>
      <c r="F1614" s="199">
        <v>3.4220644500988884E-2</v>
      </c>
      <c r="G1614" s="199">
        <v>3.085196407968786E-2</v>
      </c>
      <c r="H1614" s="199">
        <v>3.28680553295174E-2</v>
      </c>
      <c r="I1614" s="199">
        <v>3.6327302856645524E-2</v>
      </c>
      <c r="J1614" s="199">
        <v>3.1122675495231213E-2</v>
      </c>
      <c r="K1614" s="199">
        <v>3.5106528373536852E-2</v>
      </c>
      <c r="L1614" s="199">
        <v>2.5323547563156492E-2</v>
      </c>
      <c r="M1614" s="199">
        <v>3.2486400623451775E-2</v>
      </c>
      <c r="N1614" s="199">
        <v>3.4019342618100148E-2</v>
      </c>
    </row>
    <row r="1615" spans="1:14">
      <c r="C1615" s="29">
        <v>5</v>
      </c>
      <c r="D1615" s="34" t="s">
        <v>2060</v>
      </c>
      <c r="E1615" s="199">
        <v>3.4650187711935711E-2</v>
      </c>
      <c r="F1615" s="199">
        <v>3.4429239825334926E-2</v>
      </c>
      <c r="G1615" s="199">
        <v>3.2566892595819727E-2</v>
      </c>
      <c r="H1615" s="199">
        <v>3.3417255815718243E-2</v>
      </c>
      <c r="I1615" s="199">
        <v>3.6234415608133605E-2</v>
      </c>
      <c r="J1615" s="199">
        <v>3.1406393710545988E-2</v>
      </c>
      <c r="K1615" s="199">
        <v>3.5173486872217934E-2</v>
      </c>
      <c r="L1615" s="199">
        <v>2.8481467304560422E-2</v>
      </c>
      <c r="M1615" s="199">
        <v>3.4775993660092458E-2</v>
      </c>
      <c r="N1615" s="199">
        <v>3.6431823817779159E-2</v>
      </c>
    </row>
    <row r="1616" spans="1:14">
      <c r="C1616" s="29">
        <v>6</v>
      </c>
      <c r="D1616" s="34" t="s">
        <v>2061</v>
      </c>
      <c r="E1616" s="199">
        <v>3.9306644675721036E-2</v>
      </c>
      <c r="F1616" s="199">
        <v>3.6920939905633311E-2</v>
      </c>
      <c r="G1616" s="199">
        <v>3.5580018195752058E-2</v>
      </c>
      <c r="H1616" s="199">
        <v>3.6922778540368975E-2</v>
      </c>
      <c r="I1616" s="199">
        <v>4.2247270224647332E-2</v>
      </c>
      <c r="J1616" s="199">
        <v>3.8868369709757156E-2</v>
      </c>
      <c r="K1616" s="199">
        <v>3.7591630156412363E-2</v>
      </c>
      <c r="L1616" s="199">
        <v>3.8079846882483781E-2</v>
      </c>
      <c r="M1616" s="199">
        <v>4.3108551405326476E-2</v>
      </c>
      <c r="N1616" s="199">
        <v>4.2133728104121033E-2</v>
      </c>
    </row>
    <row r="1617" spans="3:14">
      <c r="C1617" s="29">
        <v>7</v>
      </c>
      <c r="D1617" s="34" t="s">
        <v>2062</v>
      </c>
      <c r="E1617" s="199">
        <v>4.8539448991333459E-2</v>
      </c>
      <c r="F1617" s="199">
        <v>4.1460638114897683E-2</v>
      </c>
      <c r="G1617" s="199">
        <v>4.1453133022887292E-2</v>
      </c>
      <c r="H1617" s="199">
        <v>4.5089571777701211E-2</v>
      </c>
      <c r="I1617" s="199">
        <v>4.742859609531018E-2</v>
      </c>
      <c r="J1617" s="199">
        <v>4.9531223827001369E-2</v>
      </c>
      <c r="K1617" s="199">
        <v>4.1064330729198566E-2</v>
      </c>
      <c r="L1617" s="199">
        <v>4.3896602102260651E-2</v>
      </c>
      <c r="M1617" s="199">
        <v>4.6363386677891152E-2</v>
      </c>
      <c r="N1617" s="199">
        <v>4.1926075768529358E-2</v>
      </c>
    </row>
    <row r="1618" spans="3:14">
      <c r="C1618" s="29">
        <v>8</v>
      </c>
      <c r="D1618" s="34" t="s">
        <v>2063</v>
      </c>
      <c r="E1618" s="199">
        <v>5.134324620131675E-2</v>
      </c>
      <c r="F1618" s="199">
        <v>4.704154786357357E-2</v>
      </c>
      <c r="G1618" s="199">
        <v>4.6079876965259503E-2</v>
      </c>
      <c r="H1618" s="199">
        <v>4.7232541867027418E-2</v>
      </c>
      <c r="I1618" s="199">
        <v>4.9808187394912017E-2</v>
      </c>
      <c r="J1618" s="199">
        <v>5.3869863210378933E-2</v>
      </c>
      <c r="K1618" s="199">
        <v>4.5532267423571172E-2</v>
      </c>
      <c r="L1618" s="199">
        <v>4.8840147590773271E-2</v>
      </c>
      <c r="M1618" s="199">
        <v>5.3389751997189802E-2</v>
      </c>
      <c r="N1618" s="199">
        <v>5.0858877822017742E-2</v>
      </c>
    </row>
    <row r="1619" spans="3:14">
      <c r="C1619" s="29">
        <v>9</v>
      </c>
      <c r="D1619" s="34" t="s">
        <v>2064</v>
      </c>
      <c r="E1619" s="199">
        <v>4.8064675870164761E-2</v>
      </c>
      <c r="F1619" s="199">
        <v>4.9453597143082159E-2</v>
      </c>
      <c r="G1619" s="199">
        <v>4.8667137995332281E-2</v>
      </c>
      <c r="H1619" s="199">
        <v>4.9214883092425346E-2</v>
      </c>
      <c r="I1619" s="199">
        <v>5.0313693258168361E-2</v>
      </c>
      <c r="J1619" s="199">
        <v>4.9191600145697033E-2</v>
      </c>
      <c r="K1619" s="199">
        <v>4.8740591310345596E-2</v>
      </c>
      <c r="L1619" s="199">
        <v>5.3654905669700451E-2</v>
      </c>
      <c r="M1619" s="199">
        <v>5.3287780261163008E-2</v>
      </c>
      <c r="N1619" s="199">
        <v>6.145890115711309E-2</v>
      </c>
    </row>
    <row r="1620" spans="3:14">
      <c r="C1620" s="29">
        <v>10</v>
      </c>
      <c r="D1620" s="34" t="s">
        <v>2065</v>
      </c>
      <c r="E1620" s="199">
        <v>4.5697214328251363E-2</v>
      </c>
      <c r="F1620" s="199">
        <v>5.0778133617853674E-2</v>
      </c>
      <c r="G1620" s="199">
        <v>5.0182198405860551E-2</v>
      </c>
      <c r="H1620" s="199">
        <v>5.0828201652012003E-2</v>
      </c>
      <c r="I1620" s="199">
        <v>4.6823736702836481E-2</v>
      </c>
      <c r="J1620" s="199">
        <v>4.5776386247868131E-2</v>
      </c>
      <c r="K1620" s="199">
        <v>5.0711745596926913E-2</v>
      </c>
      <c r="L1620" s="199">
        <v>5.5637461823845463E-2</v>
      </c>
      <c r="M1620" s="199">
        <v>5.2687129707122513E-2</v>
      </c>
      <c r="N1620" s="199">
        <v>6.4387605687910715E-2</v>
      </c>
    </row>
    <row r="1621" spans="3:14">
      <c r="C1621" s="29">
        <v>11</v>
      </c>
      <c r="D1621" s="34" t="s">
        <v>2066</v>
      </c>
      <c r="E1621" s="199">
        <v>4.2951413105390128E-2</v>
      </c>
      <c r="F1621" s="199">
        <v>5.0896826636817515E-2</v>
      </c>
      <c r="G1621" s="199">
        <v>5.0737592596791468E-2</v>
      </c>
      <c r="H1621" s="199">
        <v>4.8638381477373378E-2</v>
      </c>
      <c r="I1621" s="199">
        <v>4.2617508486119601E-2</v>
      </c>
      <c r="J1621" s="199">
        <v>4.1296606483550699E-2</v>
      </c>
      <c r="K1621" s="199">
        <v>5.1840996379963381E-2</v>
      </c>
      <c r="L1621" s="199">
        <v>5.6575884921908098E-2</v>
      </c>
      <c r="M1621" s="199">
        <v>5.2237656524300499E-2</v>
      </c>
      <c r="N1621" s="199">
        <v>6.2100241116813157E-2</v>
      </c>
    </row>
    <row r="1622" spans="3:14">
      <c r="C1622" s="29">
        <v>12</v>
      </c>
      <c r="D1622" s="34" t="s">
        <v>2067</v>
      </c>
      <c r="E1622" s="199">
        <v>4.1787481020854049E-2</v>
      </c>
      <c r="F1622" s="199">
        <v>5.1491916542512783E-2</v>
      </c>
      <c r="G1622" s="199">
        <v>5.0931566702306738E-2</v>
      </c>
      <c r="H1622" s="199">
        <v>5.0837879829964523E-2</v>
      </c>
      <c r="I1622" s="199">
        <v>4.449945831791767E-2</v>
      </c>
      <c r="J1622" s="199">
        <v>3.839675001091418E-2</v>
      </c>
      <c r="K1622" s="199">
        <v>5.1880960524742122E-2</v>
      </c>
      <c r="L1622" s="199">
        <v>5.5852414218722286E-2</v>
      </c>
      <c r="M1622" s="199">
        <v>5.0487474032633956E-2</v>
      </c>
      <c r="N1622" s="199">
        <v>5.0619336690535741E-2</v>
      </c>
    </row>
    <row r="1623" spans="3:14">
      <c r="C1623" s="29">
        <v>13</v>
      </c>
      <c r="D1623" s="34" t="s">
        <v>2068</v>
      </c>
      <c r="E1623" s="199">
        <v>4.0046431685311301E-2</v>
      </c>
      <c r="F1623" s="199">
        <v>4.9087558813770221E-2</v>
      </c>
      <c r="G1623" s="199">
        <v>5.0255591520003778E-2</v>
      </c>
      <c r="H1623" s="199">
        <v>4.7711780201163567E-2</v>
      </c>
      <c r="I1623" s="199">
        <v>4.0725072793718127E-2</v>
      </c>
      <c r="J1623" s="199">
        <v>3.7754910180654619E-2</v>
      </c>
      <c r="K1623" s="199">
        <v>4.9365133619805546E-2</v>
      </c>
      <c r="L1623" s="199">
        <v>5.5036369302175092E-2</v>
      </c>
      <c r="M1623" s="199">
        <v>5.1758061802135387E-2</v>
      </c>
      <c r="N1623" s="199">
        <v>4.367058048488226E-2</v>
      </c>
    </row>
    <row r="1624" spans="3:14">
      <c r="C1624" s="29">
        <v>14</v>
      </c>
      <c r="D1624" s="34" t="s">
        <v>2069</v>
      </c>
      <c r="E1624" s="199">
        <v>3.7041148247617096E-2</v>
      </c>
      <c r="F1624" s="199">
        <v>4.9018521885466057E-2</v>
      </c>
      <c r="G1624" s="199">
        <v>5.0418891198972457E-2</v>
      </c>
      <c r="H1624" s="199">
        <v>4.9633933752727462E-2</v>
      </c>
      <c r="I1624" s="199">
        <v>3.9792705021731073E-2</v>
      </c>
      <c r="J1624" s="199">
        <v>3.7898628529726794E-2</v>
      </c>
      <c r="K1624" s="199">
        <v>4.9854059576773455E-2</v>
      </c>
      <c r="L1624" s="199">
        <v>5.5246107589067547E-2</v>
      </c>
      <c r="M1624" s="199">
        <v>5.3439954562761648E-2</v>
      </c>
      <c r="N1624" s="199">
        <v>4.083172732603442E-2</v>
      </c>
    </row>
    <row r="1625" spans="3:14">
      <c r="C1625" s="29">
        <v>15</v>
      </c>
      <c r="D1625" s="34" t="s">
        <v>2070</v>
      </c>
      <c r="E1625" s="199">
        <v>3.6137792950065306E-2</v>
      </c>
      <c r="F1625" s="199">
        <v>4.8075313327243512E-2</v>
      </c>
      <c r="G1625" s="199">
        <v>4.9929289424679571E-2</v>
      </c>
      <c r="H1625" s="199">
        <v>4.7700127867509309E-2</v>
      </c>
      <c r="I1625" s="199">
        <v>4.2701133224431843E-2</v>
      </c>
      <c r="J1625" s="199">
        <v>3.6928914344127144E-2</v>
      </c>
      <c r="K1625" s="199">
        <v>4.9657754760045102E-2</v>
      </c>
      <c r="L1625" s="199">
        <v>5.3790726308108633E-2</v>
      </c>
      <c r="M1625" s="199">
        <v>5.4028357114988879E-2</v>
      </c>
      <c r="N1625" s="199">
        <v>5.0830177905716457E-2</v>
      </c>
    </row>
    <row r="1626" spans="3:14">
      <c r="C1626" s="29">
        <v>16</v>
      </c>
      <c r="D1626" s="34" t="s">
        <v>2071</v>
      </c>
      <c r="E1626" s="199">
        <v>3.6983671773844477E-2</v>
      </c>
      <c r="F1626" s="199">
        <v>4.5739910701796949E-2</v>
      </c>
      <c r="G1626" s="199">
        <v>4.7919363641518671E-2</v>
      </c>
      <c r="H1626" s="199">
        <v>4.3349329451533317E-2</v>
      </c>
      <c r="I1626" s="199">
        <v>4.0773482516837233E-2</v>
      </c>
      <c r="J1626" s="199">
        <v>3.6377276404067557E-2</v>
      </c>
      <c r="K1626" s="199">
        <v>4.8118353873360664E-2</v>
      </c>
      <c r="L1626" s="199">
        <v>5.0320573512111451E-2</v>
      </c>
      <c r="M1626" s="199">
        <v>4.5036116295346894E-2</v>
      </c>
      <c r="N1626" s="199">
        <v>4.9151701754971737E-2</v>
      </c>
    </row>
    <row r="1627" spans="3:14">
      <c r="C1627" s="29">
        <v>17</v>
      </c>
      <c r="D1627" s="34" t="s">
        <v>2072</v>
      </c>
      <c r="E1627" s="199">
        <v>4.0342835289129006E-2</v>
      </c>
      <c r="F1627" s="199">
        <v>4.2494111346395663E-2</v>
      </c>
      <c r="G1627" s="199">
        <v>4.6447472937724214E-2</v>
      </c>
      <c r="H1627" s="199">
        <v>4.0267287199978893E-2</v>
      </c>
      <c r="I1627" s="199">
        <v>4.1957860471993055E-2</v>
      </c>
      <c r="J1627" s="199">
        <v>4.1637404422590701E-2</v>
      </c>
      <c r="K1627" s="199">
        <v>4.2016750914638835E-2</v>
      </c>
      <c r="L1627" s="199">
        <v>4.5827112363117498E-2</v>
      </c>
      <c r="M1627" s="199">
        <v>3.6840209221506326E-2</v>
      </c>
      <c r="N1627" s="199">
        <v>4.6858709749305283E-2</v>
      </c>
    </row>
    <row r="1628" spans="3:14">
      <c r="C1628" s="29">
        <v>18</v>
      </c>
      <c r="D1628" s="34" t="s">
        <v>2073</v>
      </c>
      <c r="E1628" s="199">
        <v>4.4221551362399573E-2</v>
      </c>
      <c r="F1628" s="199">
        <v>3.781528724470392E-2</v>
      </c>
      <c r="G1628" s="199">
        <v>4.4054380771430507E-2</v>
      </c>
      <c r="H1628" s="199">
        <v>3.9564487770153575E-2</v>
      </c>
      <c r="I1628" s="199">
        <v>4.0430070582075373E-2</v>
      </c>
      <c r="J1628" s="199">
        <v>4.9302621490578062E-2</v>
      </c>
      <c r="K1628" s="199">
        <v>3.7082116609709947E-2</v>
      </c>
      <c r="L1628" s="199">
        <v>4.2232127687729881E-2</v>
      </c>
      <c r="M1628" s="199">
        <v>3.57475735248617E-2</v>
      </c>
      <c r="N1628" s="199">
        <v>4.0361273796076021E-2</v>
      </c>
    </row>
    <row r="1629" spans="3:14">
      <c r="C1629" s="29">
        <v>19</v>
      </c>
      <c r="D1629" s="34" t="s">
        <v>2074</v>
      </c>
      <c r="E1629" s="199">
        <v>5.015997449718769E-2</v>
      </c>
      <c r="F1629" s="199">
        <v>3.9425708608661812E-2</v>
      </c>
      <c r="G1629" s="199">
        <v>4.3064952413995862E-2</v>
      </c>
      <c r="H1629" s="199">
        <v>3.87940373949388E-2</v>
      </c>
      <c r="I1629" s="199">
        <v>3.8191514107589475E-2</v>
      </c>
      <c r="J1629" s="199">
        <v>5.4383607718336703E-2</v>
      </c>
      <c r="K1629" s="199">
        <v>3.771773402674055E-2</v>
      </c>
      <c r="L1629" s="199">
        <v>4.1006590209440877E-2</v>
      </c>
      <c r="M1629" s="199">
        <v>3.5205670653937197E-2</v>
      </c>
      <c r="N1629" s="199">
        <v>3.7381734773006166E-2</v>
      </c>
    </row>
    <row r="1630" spans="3:14">
      <c r="C1630" s="29">
        <v>20</v>
      </c>
      <c r="D1630" s="34" t="s">
        <v>2075</v>
      </c>
      <c r="E1630" s="199">
        <v>5.303712437820704E-2</v>
      </c>
      <c r="F1630" s="199">
        <v>4.0178112937167332E-2</v>
      </c>
      <c r="G1630" s="199">
        <v>4.1749242462106907E-2</v>
      </c>
      <c r="H1630" s="199">
        <v>3.8852443513627356E-2</v>
      </c>
      <c r="I1630" s="199">
        <v>3.4385496237236308E-2</v>
      </c>
      <c r="J1630" s="199">
        <v>5.4279341729739534E-2</v>
      </c>
      <c r="K1630" s="199">
        <v>3.7412436087888384E-2</v>
      </c>
      <c r="L1630" s="199">
        <v>4.0534084147961023E-2</v>
      </c>
      <c r="M1630" s="199">
        <v>3.5161236042707648E-2</v>
      </c>
      <c r="N1630" s="199">
        <v>3.5910348214396252E-2</v>
      </c>
    </row>
    <row r="1631" spans="3:14">
      <c r="C1631" s="29">
        <v>21</v>
      </c>
      <c r="D1631" s="34" t="s">
        <v>2076</v>
      </c>
      <c r="E1631" s="199">
        <v>5.1000119069845778E-2</v>
      </c>
      <c r="F1631" s="199">
        <v>4.1089304538629794E-2</v>
      </c>
      <c r="G1631" s="199">
        <v>4.1033741602689931E-2</v>
      </c>
      <c r="H1631" s="199">
        <v>3.9841110319094826E-2</v>
      </c>
      <c r="I1631" s="199">
        <v>3.7150705060528755E-2</v>
      </c>
      <c r="J1631" s="199">
        <v>5.1165331689714426E-2</v>
      </c>
      <c r="K1631" s="199">
        <v>3.6721853322173842E-2</v>
      </c>
      <c r="L1631" s="199">
        <v>3.8897467665338616E-2</v>
      </c>
      <c r="M1631" s="199">
        <v>3.4696381648306178E-2</v>
      </c>
      <c r="N1631" s="199">
        <v>3.8657474189771349E-2</v>
      </c>
    </row>
    <row r="1632" spans="3:14">
      <c r="C1632" s="29">
        <v>22</v>
      </c>
      <c r="D1632" s="34" t="s">
        <v>2077</v>
      </c>
      <c r="E1632" s="199">
        <v>4.840160804999722E-2</v>
      </c>
      <c r="F1632" s="199">
        <v>3.7460821309401648E-2</v>
      </c>
      <c r="G1632" s="199">
        <v>3.7728048088808454E-2</v>
      </c>
      <c r="H1632" s="199">
        <v>3.9933703036521107E-2</v>
      </c>
      <c r="I1632" s="199">
        <v>4.1674043178327264E-2</v>
      </c>
      <c r="J1632" s="199">
        <v>4.8975381504359532E-2</v>
      </c>
      <c r="K1632" s="199">
        <v>3.5957143513724567E-2</v>
      </c>
      <c r="L1632" s="199">
        <v>3.4477331892928072E-2</v>
      </c>
      <c r="M1632" s="199">
        <v>3.393600860550304E-2</v>
      </c>
      <c r="N1632" s="199">
        <v>3.53761170926572E-2</v>
      </c>
    </row>
    <row r="1633" spans="1:14">
      <c r="C1633" s="29">
        <v>23</v>
      </c>
      <c r="D1633" s="34" t="s">
        <v>2078</v>
      </c>
      <c r="E1633" s="199">
        <v>4.2835267564306875E-2</v>
      </c>
      <c r="F1633" s="199">
        <v>3.5027719624224948E-2</v>
      </c>
      <c r="G1633" s="199">
        <v>3.4054615096373149E-2</v>
      </c>
      <c r="H1633" s="199">
        <v>3.7969081062299924E-2</v>
      </c>
      <c r="I1633" s="199">
        <v>3.9588055975621074E-2</v>
      </c>
      <c r="J1633" s="199">
        <v>4.2923736285926571E-2</v>
      </c>
      <c r="K1633" s="199">
        <v>3.4847913868712631E-2</v>
      </c>
      <c r="L1633" s="199">
        <v>3.0192096622222581E-2</v>
      </c>
      <c r="M1633" s="199">
        <v>3.3522567334992183E-2</v>
      </c>
      <c r="N1633" s="199">
        <v>2.8813215317276635E-2</v>
      </c>
    </row>
    <row r="1634" spans="1:14">
      <c r="C1634" s="29">
        <v>24</v>
      </c>
      <c r="D1634" s="34" t="s">
        <v>2079</v>
      </c>
      <c r="E1634" s="199">
        <v>3.8407798361956756E-2</v>
      </c>
      <c r="F1634" s="199">
        <v>3.5248495185498344E-2</v>
      </c>
      <c r="G1634" s="199">
        <v>3.2292498703012464E-2</v>
      </c>
      <c r="H1634" s="199">
        <v>3.6795469572675217E-2</v>
      </c>
      <c r="I1634" s="199">
        <v>3.8365841540121265E-2</v>
      </c>
      <c r="J1634" s="199">
        <v>3.4615889800581542E-2</v>
      </c>
      <c r="K1634" s="199">
        <v>3.5772597453182328E-2</v>
      </c>
      <c r="L1634" s="199">
        <v>2.8024645872169445E-2</v>
      </c>
      <c r="M1634" s="199">
        <v>3.3565292922712903E-2</v>
      </c>
      <c r="N1634" s="199">
        <v>2.8156681284240585E-2</v>
      </c>
    </row>
    <row r="1635" spans="1:14">
      <c r="A1635" s="16" t="s">
        <v>439</v>
      </c>
      <c r="B1635" s="16" t="s">
        <v>420</v>
      </c>
      <c r="C1635" s="29">
        <v>1</v>
      </c>
      <c r="D1635" s="34" t="s">
        <v>2080</v>
      </c>
      <c r="E1635" s="199">
        <v>3.3072473923666704E-2</v>
      </c>
      <c r="F1635" s="199">
        <v>3.3964435930259919E-2</v>
      </c>
      <c r="G1635" s="199">
        <v>3.2610574114027548E-2</v>
      </c>
      <c r="H1635" s="199">
        <v>3.4748539803016863E-2</v>
      </c>
      <c r="I1635" s="199">
        <v>4.0605092190881341E-2</v>
      </c>
      <c r="J1635" s="199">
        <v>3.3414565493359125E-2</v>
      </c>
      <c r="K1635" s="199">
        <v>3.6594806924128212E-2</v>
      </c>
      <c r="L1635" s="199">
        <v>2.8505235339609716E-2</v>
      </c>
      <c r="M1635" s="199">
        <v>3.3583132625545221E-2</v>
      </c>
      <c r="N1635" s="199">
        <v>2.5117046113639876E-2</v>
      </c>
    </row>
    <row r="1636" spans="1:14">
      <c r="C1636" s="29">
        <v>2</v>
      </c>
      <c r="D1636" s="34" t="s">
        <v>2081</v>
      </c>
      <c r="E1636" s="199">
        <v>3.1610433065697989E-2</v>
      </c>
      <c r="F1636" s="199">
        <v>3.4615911630486648E-2</v>
      </c>
      <c r="G1636" s="199">
        <v>3.236556829930487E-2</v>
      </c>
      <c r="H1636" s="199">
        <v>3.4077200435343048E-2</v>
      </c>
      <c r="I1636" s="199">
        <v>3.7136695545518676E-2</v>
      </c>
      <c r="J1636" s="199">
        <v>3.1939575196713858E-2</v>
      </c>
      <c r="K1636" s="199">
        <v>3.7030856354829625E-2</v>
      </c>
      <c r="L1636" s="199">
        <v>2.6828625401894089E-2</v>
      </c>
      <c r="M1636" s="199">
        <v>3.4310233461598942E-2</v>
      </c>
      <c r="N1636" s="199">
        <v>2.5466930955984783E-2</v>
      </c>
    </row>
    <row r="1637" spans="1:14">
      <c r="C1637" s="29">
        <v>3</v>
      </c>
      <c r="D1637" s="34" t="s">
        <v>2082</v>
      </c>
      <c r="E1637" s="199">
        <v>3.1402972083666124E-2</v>
      </c>
      <c r="F1637" s="199">
        <v>3.5451723037200594E-2</v>
      </c>
      <c r="G1637" s="199">
        <v>3.2730881913161126E-2</v>
      </c>
      <c r="H1637" s="199">
        <v>3.4122423541594567E-2</v>
      </c>
      <c r="I1637" s="199">
        <v>3.7840724902291747E-2</v>
      </c>
      <c r="J1637" s="199">
        <v>3.1558718632626992E-2</v>
      </c>
      <c r="K1637" s="199">
        <v>3.7829722443735017E-2</v>
      </c>
      <c r="L1637" s="199">
        <v>2.6081798316392752E-2</v>
      </c>
      <c r="M1637" s="199">
        <v>3.4258239959798875E-2</v>
      </c>
      <c r="N1637" s="199">
        <v>3.1701143168804978E-2</v>
      </c>
    </row>
    <row r="1638" spans="1:14">
      <c r="C1638" s="29">
        <v>4</v>
      </c>
      <c r="D1638" s="34" t="s">
        <v>2083</v>
      </c>
      <c r="E1638" s="199">
        <v>3.3324037152522377E-2</v>
      </c>
      <c r="F1638" s="199">
        <v>3.420405883104187E-2</v>
      </c>
      <c r="G1638" s="199">
        <v>3.1802106497262506E-2</v>
      </c>
      <c r="H1638" s="199">
        <v>3.2788695212692565E-2</v>
      </c>
      <c r="I1638" s="199">
        <v>3.7312987226132285E-2</v>
      </c>
      <c r="J1638" s="199">
        <v>3.135755738224047E-2</v>
      </c>
      <c r="K1638" s="199">
        <v>3.6363393391645016E-2</v>
      </c>
      <c r="L1638" s="199">
        <v>2.5823561874755693E-2</v>
      </c>
      <c r="M1638" s="199">
        <v>3.3775122447390706E-2</v>
      </c>
      <c r="N1638" s="199">
        <v>3.4763401870329343E-2</v>
      </c>
    </row>
    <row r="1639" spans="1:14">
      <c r="C1639" s="29">
        <v>5</v>
      </c>
      <c r="D1639" s="34" t="s">
        <v>2084</v>
      </c>
      <c r="E1639" s="199">
        <v>3.427351378522886E-2</v>
      </c>
      <c r="F1639" s="199">
        <v>3.5153433529269688E-2</v>
      </c>
      <c r="G1639" s="199">
        <v>3.3937814567439058E-2</v>
      </c>
      <c r="H1639" s="199">
        <v>3.4271341817258723E-2</v>
      </c>
      <c r="I1639" s="199">
        <v>4.0509667210213714E-2</v>
      </c>
      <c r="J1639" s="199">
        <v>3.4396415864789719E-2</v>
      </c>
      <c r="K1639" s="199">
        <v>3.6873918117645919E-2</v>
      </c>
      <c r="L1639" s="199">
        <v>2.9118795469702516E-2</v>
      </c>
      <c r="M1639" s="199">
        <v>3.6349743673832105E-2</v>
      </c>
      <c r="N1639" s="199">
        <v>3.9683027979620845E-2</v>
      </c>
    </row>
    <row r="1640" spans="1:14">
      <c r="C1640" s="29">
        <v>6</v>
      </c>
      <c r="D1640" s="34" t="s">
        <v>2085</v>
      </c>
      <c r="E1640" s="199">
        <v>4.1260516001142243E-2</v>
      </c>
      <c r="F1640" s="199">
        <v>3.726562664159673E-2</v>
      </c>
      <c r="G1640" s="199">
        <v>3.6055783253955712E-2</v>
      </c>
      <c r="H1640" s="199">
        <v>3.6429861876974418E-2</v>
      </c>
      <c r="I1640" s="199">
        <v>4.5096549266643658E-2</v>
      </c>
      <c r="J1640" s="199">
        <v>3.9472502694250261E-2</v>
      </c>
      <c r="K1640" s="199">
        <v>3.8386676950360146E-2</v>
      </c>
      <c r="L1640" s="199">
        <v>3.8046954596344641E-2</v>
      </c>
      <c r="M1640" s="199">
        <v>4.2196094165529899E-2</v>
      </c>
      <c r="N1640" s="199">
        <v>4.5992559582783109E-2</v>
      </c>
    </row>
    <row r="1641" spans="1:14">
      <c r="C1641" s="29">
        <v>7</v>
      </c>
      <c r="D1641" s="34" t="s">
        <v>2086</v>
      </c>
      <c r="E1641" s="199">
        <v>4.9715853616948566E-2</v>
      </c>
      <c r="F1641" s="199">
        <v>4.2544299559085758E-2</v>
      </c>
      <c r="G1641" s="199">
        <v>4.3602538893912739E-2</v>
      </c>
      <c r="H1641" s="199">
        <v>4.4842655093320048E-2</v>
      </c>
      <c r="I1641" s="199">
        <v>4.5752354318526298E-2</v>
      </c>
      <c r="J1641" s="199">
        <v>4.6719331279021933E-2</v>
      </c>
      <c r="K1641" s="199">
        <v>4.144896314768657E-2</v>
      </c>
      <c r="L1641" s="199">
        <v>4.5032765334309346E-2</v>
      </c>
      <c r="M1641" s="199">
        <v>4.5619583392862449E-2</v>
      </c>
      <c r="N1641" s="199">
        <v>4.453258953975691E-2</v>
      </c>
    </row>
    <row r="1642" spans="1:14">
      <c r="C1642" s="29">
        <v>8</v>
      </c>
      <c r="D1642" s="34" t="s">
        <v>2087</v>
      </c>
      <c r="E1642" s="199">
        <v>5.3342844725989012E-2</v>
      </c>
      <c r="F1642" s="199">
        <v>4.6021159660390332E-2</v>
      </c>
      <c r="G1642" s="199">
        <v>4.7943286073049915E-2</v>
      </c>
      <c r="H1642" s="199">
        <v>4.8582806186780007E-2</v>
      </c>
      <c r="I1642" s="199">
        <v>4.9719372078605155E-2</v>
      </c>
      <c r="J1642" s="199">
        <v>5.2800106069859222E-2</v>
      </c>
      <c r="K1642" s="199">
        <v>4.4354640756735945E-2</v>
      </c>
      <c r="L1642" s="199">
        <v>4.9348477919796761E-2</v>
      </c>
      <c r="M1642" s="199">
        <v>5.2831773543245801E-2</v>
      </c>
      <c r="N1642" s="199">
        <v>5.9980727869947917E-2</v>
      </c>
    </row>
    <row r="1643" spans="1:14">
      <c r="C1643" s="29">
        <v>9</v>
      </c>
      <c r="D1643" s="34" t="s">
        <v>2088</v>
      </c>
      <c r="E1643" s="199">
        <v>5.0871953847253563E-2</v>
      </c>
      <c r="F1643" s="199">
        <v>4.9496112270883887E-2</v>
      </c>
      <c r="G1643" s="199">
        <v>4.9007774716307066E-2</v>
      </c>
      <c r="H1643" s="199">
        <v>5.0892835429288866E-2</v>
      </c>
      <c r="I1643" s="199">
        <v>5.0891768622969749E-2</v>
      </c>
      <c r="J1643" s="199">
        <v>4.9011521136032223E-2</v>
      </c>
      <c r="K1643" s="199">
        <v>4.7097370375456929E-2</v>
      </c>
      <c r="L1643" s="199">
        <v>5.3344017913536497E-2</v>
      </c>
      <c r="M1643" s="199">
        <v>5.306462181641948E-2</v>
      </c>
      <c r="N1643" s="199">
        <v>5.5024098920633709E-2</v>
      </c>
    </row>
    <row r="1644" spans="1:14">
      <c r="C1644" s="29">
        <v>10</v>
      </c>
      <c r="D1644" s="34" t="s">
        <v>2089</v>
      </c>
      <c r="E1644" s="199">
        <v>4.8410464328050171E-2</v>
      </c>
      <c r="F1644" s="199">
        <v>4.9935225667352555E-2</v>
      </c>
      <c r="G1644" s="199">
        <v>4.9681487812620294E-2</v>
      </c>
      <c r="H1644" s="199">
        <v>5.1914536101906016E-2</v>
      </c>
      <c r="I1644" s="199">
        <v>4.957811126097799E-2</v>
      </c>
      <c r="J1644" s="199">
        <v>4.6874729983066458E-2</v>
      </c>
      <c r="K1644" s="199">
        <v>4.6789123290111118E-2</v>
      </c>
      <c r="L1644" s="199">
        <v>5.4577707574940647E-2</v>
      </c>
      <c r="M1644" s="199">
        <v>5.2026996750271434E-2</v>
      </c>
      <c r="N1644" s="199">
        <v>5.024285029592418E-2</v>
      </c>
    </row>
    <row r="1645" spans="1:14">
      <c r="C1645" s="29">
        <v>11</v>
      </c>
      <c r="D1645" s="34" t="s">
        <v>2090</v>
      </c>
      <c r="E1645" s="199">
        <v>4.4127194407372318E-2</v>
      </c>
      <c r="F1645" s="199">
        <v>4.9552315661552437E-2</v>
      </c>
      <c r="G1645" s="199">
        <v>5.0962637605020573E-2</v>
      </c>
      <c r="H1645" s="199">
        <v>4.9744710265627441E-2</v>
      </c>
      <c r="I1645" s="199">
        <v>4.1887926942907765E-2</v>
      </c>
      <c r="J1645" s="199">
        <v>4.8138843880120852E-2</v>
      </c>
      <c r="K1645" s="199">
        <v>4.8940082406140846E-2</v>
      </c>
      <c r="L1645" s="199">
        <v>5.6706618729329951E-2</v>
      </c>
      <c r="M1645" s="199">
        <v>5.2363562630662858E-2</v>
      </c>
      <c r="N1645" s="199">
        <v>4.9821587194127173E-2</v>
      </c>
    </row>
    <row r="1646" spans="1:14">
      <c r="C1646" s="29">
        <v>12</v>
      </c>
      <c r="D1646" s="34" t="s">
        <v>2091</v>
      </c>
      <c r="E1646" s="199">
        <v>4.1532172411063197E-2</v>
      </c>
      <c r="F1646" s="199">
        <v>5.004269099611619E-2</v>
      </c>
      <c r="G1646" s="199">
        <v>5.0301427369125108E-2</v>
      </c>
      <c r="H1646" s="199">
        <v>5.1461716196861594E-2</v>
      </c>
      <c r="I1646" s="199">
        <v>4.2428630587834935E-2</v>
      </c>
      <c r="J1646" s="199">
        <v>4.3315761552286537E-2</v>
      </c>
      <c r="K1646" s="199">
        <v>4.9599152001009443E-2</v>
      </c>
      <c r="L1646" s="199">
        <v>5.6089520174363694E-2</v>
      </c>
      <c r="M1646" s="199">
        <v>5.0113204849817357E-2</v>
      </c>
      <c r="N1646" s="199">
        <v>4.2770466128497935E-2</v>
      </c>
    </row>
    <row r="1647" spans="1:14">
      <c r="C1647" s="29">
        <v>13</v>
      </c>
      <c r="D1647" s="34" t="s">
        <v>2092</v>
      </c>
      <c r="E1647" s="199">
        <v>3.9786359363570035E-2</v>
      </c>
      <c r="F1647" s="199">
        <v>4.7290346971527154E-2</v>
      </c>
      <c r="G1647" s="199">
        <v>4.963399545599375E-2</v>
      </c>
      <c r="H1647" s="199">
        <v>4.9008362682717084E-2</v>
      </c>
      <c r="I1647" s="199">
        <v>4.5463690908592529E-2</v>
      </c>
      <c r="J1647" s="199">
        <v>4.1211846394335075E-2</v>
      </c>
      <c r="K1647" s="199">
        <v>4.7870346346384526E-2</v>
      </c>
      <c r="L1647" s="199">
        <v>5.4853800718846095E-2</v>
      </c>
      <c r="M1647" s="199">
        <v>5.2252032528355988E-2</v>
      </c>
      <c r="N1647" s="199">
        <v>4.9095543303504068E-2</v>
      </c>
    </row>
    <row r="1648" spans="1:14">
      <c r="C1648" s="29">
        <v>14</v>
      </c>
      <c r="D1648" s="34" t="s">
        <v>2093</v>
      </c>
      <c r="E1648" s="199">
        <v>3.6868940315080666E-2</v>
      </c>
      <c r="F1648" s="199">
        <v>4.8509308697844186E-2</v>
      </c>
      <c r="G1648" s="199">
        <v>5.0079146213977181E-2</v>
      </c>
      <c r="H1648" s="199">
        <v>5.0896015178947172E-2</v>
      </c>
      <c r="I1648" s="199">
        <v>4.7350125627726329E-2</v>
      </c>
      <c r="J1648" s="199">
        <v>3.7941021251242373E-2</v>
      </c>
      <c r="K1648" s="199">
        <v>4.9030507637001584E-2</v>
      </c>
      <c r="L1648" s="199">
        <v>5.4820981142403503E-2</v>
      </c>
      <c r="M1648" s="199">
        <v>5.3070907732008434E-2</v>
      </c>
      <c r="N1648" s="199">
        <v>5.4007287151015583E-2</v>
      </c>
    </row>
    <row r="1649" spans="1:14">
      <c r="C1649" s="29">
        <v>15</v>
      </c>
      <c r="D1649" s="34" t="s">
        <v>2094</v>
      </c>
      <c r="E1649" s="199">
        <v>3.5890434355350928E-2</v>
      </c>
      <c r="F1649" s="199">
        <v>4.7469425813574495E-2</v>
      </c>
      <c r="G1649" s="199">
        <v>4.9263756072168555E-2</v>
      </c>
      <c r="H1649" s="199">
        <v>4.7858765412732381E-2</v>
      </c>
      <c r="I1649" s="199">
        <v>4.7913690322849194E-2</v>
      </c>
      <c r="J1649" s="199">
        <v>3.5446071337816409E-2</v>
      </c>
      <c r="K1649" s="199">
        <v>4.8624709832889308E-2</v>
      </c>
      <c r="L1649" s="199">
        <v>5.3364713584598704E-2</v>
      </c>
      <c r="M1649" s="199">
        <v>5.2320998002246225E-2</v>
      </c>
      <c r="N1649" s="199">
        <v>5.5020157789743722E-2</v>
      </c>
    </row>
    <row r="1650" spans="1:14">
      <c r="C1650" s="29">
        <v>16</v>
      </c>
      <c r="D1650" s="34" t="s">
        <v>2095</v>
      </c>
      <c r="E1650" s="199">
        <v>3.6212523962038744E-2</v>
      </c>
      <c r="F1650" s="199">
        <v>4.6584605410668278E-2</v>
      </c>
      <c r="G1650" s="199">
        <v>4.6040603287148138E-2</v>
      </c>
      <c r="H1650" s="199">
        <v>4.3577644687589297E-2</v>
      </c>
      <c r="I1650" s="199">
        <v>4.183913395517664E-2</v>
      </c>
      <c r="J1650" s="199">
        <v>3.7631936225567028E-2</v>
      </c>
      <c r="K1650" s="199">
        <v>4.7710390553824374E-2</v>
      </c>
      <c r="L1650" s="199">
        <v>4.913027505260012E-2</v>
      </c>
      <c r="M1650" s="199">
        <v>4.3175080619112405E-2</v>
      </c>
      <c r="N1650" s="199">
        <v>5.4349070779864402E-2</v>
      </c>
    </row>
    <row r="1651" spans="1:14">
      <c r="C1651" s="29">
        <v>17</v>
      </c>
      <c r="D1651" s="34" t="s">
        <v>2096</v>
      </c>
      <c r="E1651" s="199">
        <v>3.9370862961875676E-2</v>
      </c>
      <c r="F1651" s="199">
        <v>4.3339137462394088E-2</v>
      </c>
      <c r="G1651" s="199">
        <v>4.4263901200558918E-2</v>
      </c>
      <c r="H1651" s="199">
        <v>4.1260843755993308E-2</v>
      </c>
      <c r="I1651" s="199">
        <v>3.2782632244066835E-2</v>
      </c>
      <c r="J1651" s="199">
        <v>4.0342987052274681E-2</v>
      </c>
      <c r="K1651" s="199">
        <v>4.2306937821318939E-2</v>
      </c>
      <c r="L1651" s="199">
        <v>4.5299271815476237E-2</v>
      </c>
      <c r="M1651" s="199">
        <v>3.7647964840539345E-2</v>
      </c>
      <c r="N1651" s="199">
        <v>4.3399952312316213E-2</v>
      </c>
    </row>
    <row r="1652" spans="1:14">
      <c r="C1652" s="29">
        <v>18</v>
      </c>
      <c r="D1652" s="34" t="s">
        <v>2097</v>
      </c>
      <c r="E1652" s="199">
        <v>4.4382519798174987E-2</v>
      </c>
      <c r="F1652" s="199">
        <v>3.7590050275600126E-2</v>
      </c>
      <c r="G1652" s="199">
        <v>4.2430780865453169E-2</v>
      </c>
      <c r="H1652" s="199">
        <v>3.9232045705486038E-2</v>
      </c>
      <c r="I1652" s="199">
        <v>3.2898643543567412E-2</v>
      </c>
      <c r="J1652" s="199">
        <v>4.3737112465799748E-2</v>
      </c>
      <c r="K1652" s="199">
        <v>3.6058594941015161E-2</v>
      </c>
      <c r="L1652" s="199">
        <v>4.2559255484685407E-2</v>
      </c>
      <c r="M1652" s="199">
        <v>3.6094625299714703E-2</v>
      </c>
      <c r="N1652" s="199">
        <v>4.4969398213397772E-2</v>
      </c>
    </row>
    <row r="1653" spans="1:14">
      <c r="C1653" s="29">
        <v>19</v>
      </c>
      <c r="D1653" s="34" t="s">
        <v>2098</v>
      </c>
      <c r="E1653" s="199">
        <v>4.9429836266262198E-2</v>
      </c>
      <c r="F1653" s="199">
        <v>4.08485552476852E-2</v>
      </c>
      <c r="G1653" s="199">
        <v>4.1478566718628589E-2</v>
      </c>
      <c r="H1653" s="199">
        <v>3.9557263434427579E-2</v>
      </c>
      <c r="I1653" s="199">
        <v>3.388860663263895E-2</v>
      </c>
      <c r="J1653" s="199">
        <v>4.9846770604901003E-2</v>
      </c>
      <c r="K1653" s="199">
        <v>3.9262680883426618E-2</v>
      </c>
      <c r="L1653" s="199">
        <v>4.1260639841300815E-2</v>
      </c>
      <c r="M1653" s="199">
        <v>3.5481479133409308E-2</v>
      </c>
      <c r="N1653" s="199">
        <v>3.7437240227473308E-2</v>
      </c>
    </row>
    <row r="1654" spans="1:14">
      <c r="C1654" s="29">
        <v>20</v>
      </c>
      <c r="D1654" s="34" t="s">
        <v>2099</v>
      </c>
      <c r="E1654" s="199">
        <v>4.986791777564481E-2</v>
      </c>
      <c r="F1654" s="199">
        <v>4.2010847975340437E-2</v>
      </c>
      <c r="G1654" s="199">
        <v>4.1360698663278274E-2</v>
      </c>
      <c r="H1654" s="199">
        <v>3.9020886774473129E-2</v>
      </c>
      <c r="I1654" s="199">
        <v>3.7190492942247862E-2</v>
      </c>
      <c r="J1654" s="199">
        <v>5.0092392641529329E-2</v>
      </c>
      <c r="K1654" s="199">
        <v>3.8756669811686288E-2</v>
      </c>
      <c r="L1654" s="199">
        <v>4.1075009683695117E-2</v>
      </c>
      <c r="M1654" s="199">
        <v>3.4836633992776762E-2</v>
      </c>
      <c r="N1654" s="199">
        <v>3.5475432851121362E-2</v>
      </c>
    </row>
    <row r="1655" spans="1:14">
      <c r="C1655" s="29">
        <v>21</v>
      </c>
      <c r="D1655" s="34" t="s">
        <v>2100</v>
      </c>
      <c r="E1655" s="199">
        <v>4.9090707706756387E-2</v>
      </c>
      <c r="F1655" s="199">
        <v>3.9560563381466338E-2</v>
      </c>
      <c r="G1655" s="199">
        <v>3.9916343896498278E-2</v>
      </c>
      <c r="H1655" s="199">
        <v>3.7435016074517775E-2</v>
      </c>
      <c r="I1655" s="199">
        <v>3.77040135473901E-2</v>
      </c>
      <c r="J1655" s="199">
        <v>4.9045777520951475E-2</v>
      </c>
      <c r="K1655" s="199">
        <v>3.834536940659343E-2</v>
      </c>
      <c r="L1655" s="199">
        <v>3.7396789598084165E-2</v>
      </c>
      <c r="M1655" s="199">
        <v>3.368137250632116E-2</v>
      </c>
      <c r="N1655" s="199">
        <v>3.1717126644081058E-2</v>
      </c>
    </row>
    <row r="1656" spans="1:14">
      <c r="C1656" s="29">
        <v>22</v>
      </c>
      <c r="D1656" s="34" t="s">
        <v>2101</v>
      </c>
      <c r="E1656" s="199">
        <v>4.6017126574783351E-2</v>
      </c>
      <c r="F1656" s="199">
        <v>3.7333875761638928E-2</v>
      </c>
      <c r="G1656" s="199">
        <v>3.783442258967365E-2</v>
      </c>
      <c r="H1656" s="199">
        <v>3.8340420347594911E-2</v>
      </c>
      <c r="I1656" s="199">
        <v>4.0554820627764436E-2</v>
      </c>
      <c r="J1656" s="199">
        <v>4.5845570679134529E-2</v>
      </c>
      <c r="K1656" s="199">
        <v>3.7179654799779367E-2</v>
      </c>
      <c r="L1656" s="199">
        <v>3.3660075783460405E-2</v>
      </c>
      <c r="M1656" s="199">
        <v>3.4138089173255726E-2</v>
      </c>
      <c r="N1656" s="199">
        <v>2.7615504146179165E-2</v>
      </c>
    </row>
    <row r="1657" spans="1:14">
      <c r="C1657" s="29">
        <v>23</v>
      </c>
      <c r="D1657" s="34" t="s">
        <v>2102</v>
      </c>
      <c r="E1657" s="199">
        <v>4.3285279198331028E-2</v>
      </c>
      <c r="F1657" s="199">
        <v>3.5397006588187889E-2</v>
      </c>
      <c r="G1657" s="199">
        <v>3.4202278826481927E-2</v>
      </c>
      <c r="H1657" s="199">
        <v>3.6091689612387921E-2</v>
      </c>
      <c r="I1657" s="199">
        <v>4.3233089334273694E-2</v>
      </c>
      <c r="J1657" s="199">
        <v>4.2023227349151468E-2</v>
      </c>
      <c r="K1657" s="199">
        <v>3.6241676872258717E-2</v>
      </c>
      <c r="L1657" s="199">
        <v>2.9595591363988587E-2</v>
      </c>
      <c r="M1657" s="199">
        <v>3.386411305237147E-2</v>
      </c>
      <c r="N1657" s="199">
        <v>3.1515472113543094E-2</v>
      </c>
    </row>
    <row r="1658" spans="1:14">
      <c r="C1658" s="29">
        <v>24</v>
      </c>
      <c r="D1658" s="34" t="s">
        <v>2103</v>
      </c>
      <c r="E1658" s="199">
        <v>3.6853062373530178E-2</v>
      </c>
      <c r="F1658" s="199">
        <v>3.5819282998836292E-2</v>
      </c>
      <c r="G1658" s="199">
        <v>3.2493625094953314E-2</v>
      </c>
      <c r="H1658" s="199">
        <v>3.384372437246904E-2</v>
      </c>
      <c r="I1658" s="199">
        <v>4.0421180160202498E-2</v>
      </c>
      <c r="J1658" s="199">
        <v>3.7835657312929163E-2</v>
      </c>
      <c r="K1658" s="199">
        <v>3.7303754934336984E-2</v>
      </c>
      <c r="L1658" s="199">
        <v>2.7479517285884388E-2</v>
      </c>
      <c r="M1658" s="199">
        <v>3.2944393802913384E-2</v>
      </c>
      <c r="N1658" s="199">
        <v>3.0301384847709219E-2</v>
      </c>
    </row>
    <row r="1659" spans="1:14">
      <c r="A1659" s="16" t="s">
        <v>439</v>
      </c>
      <c r="B1659" s="16" t="s">
        <v>424</v>
      </c>
      <c r="C1659" s="29">
        <v>1</v>
      </c>
      <c r="D1659" s="34" t="s">
        <v>2104</v>
      </c>
      <c r="E1659" s="199">
        <v>3.3557929847100737E-2</v>
      </c>
      <c r="F1659" s="199">
        <v>4.0967115354155023E-2</v>
      </c>
      <c r="G1659" s="199">
        <v>3.7036203291156804E-2</v>
      </c>
      <c r="H1659" s="199">
        <v>4.4397611264373867E-2</v>
      </c>
      <c r="I1659" s="199">
        <v>3.5243113093748231E-2</v>
      </c>
      <c r="J1659" s="199">
        <v>3.1953874921851963E-2</v>
      </c>
      <c r="K1659" s="199">
        <v>4.3994552338607003E-2</v>
      </c>
      <c r="L1659" s="199">
        <v>3.4168651376284526E-2</v>
      </c>
      <c r="M1659" s="199">
        <v>3.8853223736598601E-2</v>
      </c>
      <c r="N1659" s="199">
        <v>2.6295876105409139E-2</v>
      </c>
    </row>
    <row r="1660" spans="1:14">
      <c r="C1660" s="29">
        <v>2</v>
      </c>
      <c r="D1660" s="34" t="s">
        <v>2105</v>
      </c>
      <c r="E1660" s="199">
        <v>3.2499773117594284E-2</v>
      </c>
      <c r="F1660" s="199">
        <v>4.0235133821515258E-2</v>
      </c>
      <c r="G1660" s="199">
        <v>3.6291982841195163E-2</v>
      </c>
      <c r="H1660" s="199">
        <v>4.2093012698488315E-2</v>
      </c>
      <c r="I1660" s="199">
        <v>3.9023141568372111E-2</v>
      </c>
      <c r="J1660" s="199">
        <v>2.9988993664216292E-2</v>
      </c>
      <c r="K1660" s="199">
        <v>4.3235748343293356E-2</v>
      </c>
      <c r="L1660" s="199">
        <v>3.3785321051585916E-2</v>
      </c>
      <c r="M1660" s="199">
        <v>3.921015230473042E-2</v>
      </c>
      <c r="N1660" s="199">
        <v>2.8862473951950685E-2</v>
      </c>
    </row>
    <row r="1661" spans="1:14">
      <c r="C1661" s="29">
        <v>3</v>
      </c>
      <c r="D1661" s="34" t="s">
        <v>2106</v>
      </c>
      <c r="E1661" s="199">
        <v>3.1404312013069771E-2</v>
      </c>
      <c r="F1661" s="199">
        <v>4.1555252110454778E-2</v>
      </c>
      <c r="G1661" s="199">
        <v>3.6255282291410548E-2</v>
      </c>
      <c r="H1661" s="199">
        <v>4.1324591865129739E-2</v>
      </c>
      <c r="I1661" s="199">
        <v>4.0460279535775689E-2</v>
      </c>
      <c r="J1661" s="199">
        <v>2.9485528759412311E-2</v>
      </c>
      <c r="K1661" s="199">
        <v>4.3343829286642196E-2</v>
      </c>
      <c r="L1661" s="199">
        <v>3.3442406526025502E-2</v>
      </c>
      <c r="M1661" s="199">
        <v>3.9509042844690978E-2</v>
      </c>
      <c r="N1661" s="199">
        <v>3.1439566448516421E-2</v>
      </c>
    </row>
    <row r="1662" spans="1:14">
      <c r="C1662" s="29">
        <v>4</v>
      </c>
      <c r="D1662" s="34" t="s">
        <v>2107</v>
      </c>
      <c r="E1662" s="199">
        <v>3.1162128749482251E-2</v>
      </c>
      <c r="F1662" s="199">
        <v>4.0761074767489108E-2</v>
      </c>
      <c r="G1662" s="199">
        <v>3.5498241032158519E-2</v>
      </c>
      <c r="H1662" s="199">
        <v>4.1551989325266096E-2</v>
      </c>
      <c r="I1662" s="199">
        <v>4.2904857012782224E-2</v>
      </c>
      <c r="J1662" s="199">
        <v>3.0290177935693812E-2</v>
      </c>
      <c r="K1662" s="199">
        <v>4.1700062226342732E-2</v>
      </c>
      <c r="L1662" s="199">
        <v>3.2331679107982278E-2</v>
      </c>
      <c r="M1662" s="199">
        <v>3.9978333884181774E-2</v>
      </c>
      <c r="N1662" s="199">
        <v>3.9713942076965575E-2</v>
      </c>
    </row>
    <row r="1663" spans="1:14">
      <c r="C1663" s="29">
        <v>5</v>
      </c>
      <c r="D1663" s="34" t="s">
        <v>2108</v>
      </c>
      <c r="E1663" s="199">
        <v>3.1695795363611959E-2</v>
      </c>
      <c r="F1663" s="199">
        <v>4.1774629418741348E-2</v>
      </c>
      <c r="G1663" s="199">
        <v>3.7358682039682213E-2</v>
      </c>
      <c r="H1663" s="199">
        <v>4.385542600631883E-2</v>
      </c>
      <c r="I1663" s="199">
        <v>4.5346594071638303E-2</v>
      </c>
      <c r="J1663" s="199">
        <v>3.0901827878168323E-2</v>
      </c>
      <c r="K1663" s="199">
        <v>4.2977732312649085E-2</v>
      </c>
      <c r="L1663" s="199">
        <v>3.4401945684657598E-2</v>
      </c>
      <c r="M1663" s="199">
        <v>4.3262628443620624E-2</v>
      </c>
      <c r="N1663" s="199">
        <v>4.3968210830522554E-2</v>
      </c>
    </row>
    <row r="1664" spans="1:14">
      <c r="C1664" s="29">
        <v>6</v>
      </c>
      <c r="D1664" s="34" t="s">
        <v>2109</v>
      </c>
      <c r="E1664" s="199">
        <v>3.5284874624891036E-2</v>
      </c>
      <c r="F1664" s="199">
        <v>4.2883694540432969E-2</v>
      </c>
      <c r="G1664" s="199">
        <v>3.7637467784767092E-2</v>
      </c>
      <c r="H1664" s="199">
        <v>4.3848786664417036E-2</v>
      </c>
      <c r="I1664" s="199">
        <v>4.3066192763728001E-2</v>
      </c>
      <c r="J1664" s="199">
        <v>3.38106201201787E-2</v>
      </c>
      <c r="K1664" s="199">
        <v>4.2742388519638019E-2</v>
      </c>
      <c r="L1664" s="199">
        <v>3.6711058286391061E-2</v>
      </c>
      <c r="M1664" s="199">
        <v>4.7270859869992708E-2</v>
      </c>
      <c r="N1664" s="199">
        <v>4.9684952792659172E-2</v>
      </c>
    </row>
    <row r="1665" spans="3:14">
      <c r="C1665" s="29">
        <v>7</v>
      </c>
      <c r="D1665" s="34" t="s">
        <v>2110</v>
      </c>
      <c r="E1665" s="199">
        <v>3.8499331858523396E-2</v>
      </c>
      <c r="F1665" s="199">
        <v>4.5150412433139747E-2</v>
      </c>
      <c r="G1665" s="199">
        <v>4.0855058312658794E-2</v>
      </c>
      <c r="H1665" s="199">
        <v>4.4192123632513423E-2</v>
      </c>
      <c r="I1665" s="199">
        <v>4.4893490568277912E-2</v>
      </c>
      <c r="J1665" s="199">
        <v>4.0925992414051773E-2</v>
      </c>
      <c r="K1665" s="199">
        <v>4.4393345065818539E-2</v>
      </c>
      <c r="L1665" s="199">
        <v>4.1526788429663758E-2</v>
      </c>
      <c r="M1665" s="199">
        <v>4.6029037051498405E-2</v>
      </c>
      <c r="N1665" s="199">
        <v>4.6606303480353904E-2</v>
      </c>
    </row>
    <row r="1666" spans="3:14">
      <c r="C1666" s="29">
        <v>8</v>
      </c>
      <c r="D1666" s="34" t="s">
        <v>2111</v>
      </c>
      <c r="E1666" s="199">
        <v>4.5131759783470934E-2</v>
      </c>
      <c r="F1666" s="199">
        <v>4.2921949397293296E-2</v>
      </c>
      <c r="G1666" s="199">
        <v>4.1935640166604449E-2</v>
      </c>
      <c r="H1666" s="199">
        <v>4.4437530307558384E-2</v>
      </c>
      <c r="I1666" s="199">
        <v>4.474181223904368E-2</v>
      </c>
      <c r="J1666" s="199">
        <v>4.6904095315091564E-2</v>
      </c>
      <c r="K1666" s="199">
        <v>4.0387667818187624E-2</v>
      </c>
      <c r="L1666" s="199">
        <v>4.4880217347962388E-2</v>
      </c>
      <c r="M1666" s="199">
        <v>4.7058336706506367E-2</v>
      </c>
      <c r="N1666" s="199">
        <v>4.696749435201987E-2</v>
      </c>
    </row>
    <row r="1667" spans="3:14">
      <c r="C1667" s="29">
        <v>9</v>
      </c>
      <c r="D1667" s="34" t="s">
        <v>2112</v>
      </c>
      <c r="E1667" s="199">
        <v>5.1275018077300942E-2</v>
      </c>
      <c r="F1667" s="199">
        <v>4.0126413301166695E-2</v>
      </c>
      <c r="G1667" s="199">
        <v>4.1570899940583807E-2</v>
      </c>
      <c r="H1667" s="199">
        <v>4.2928905843923844E-2</v>
      </c>
      <c r="I1667" s="199">
        <v>4.827086136589346E-2</v>
      </c>
      <c r="J1667" s="199">
        <v>4.9170764910664244E-2</v>
      </c>
      <c r="K1667" s="199">
        <v>4.029975323357568E-2</v>
      </c>
      <c r="L1667" s="199">
        <v>4.7740556058546518E-2</v>
      </c>
      <c r="M1667" s="199">
        <v>4.7050166819542584E-2</v>
      </c>
      <c r="N1667" s="199">
        <v>5.3067509678581669E-2</v>
      </c>
    </row>
    <row r="1668" spans="3:14">
      <c r="C1668" s="29">
        <v>10</v>
      </c>
      <c r="D1668" s="34" t="s">
        <v>2113</v>
      </c>
      <c r="E1668" s="199">
        <v>5.2283232164141366E-2</v>
      </c>
      <c r="F1668" s="199">
        <v>4.1375667815524812E-2</v>
      </c>
      <c r="G1668" s="199">
        <v>4.3435934415975951E-2</v>
      </c>
      <c r="H1668" s="199">
        <v>4.2301820001299652E-2</v>
      </c>
      <c r="I1668" s="199">
        <v>4.8161902925642062E-2</v>
      </c>
      <c r="J1668" s="199">
        <v>5.0327837887696486E-2</v>
      </c>
      <c r="K1668" s="199">
        <v>4.241731039662603E-2</v>
      </c>
      <c r="L1668" s="199">
        <v>4.8340839789677216E-2</v>
      </c>
      <c r="M1668" s="199">
        <v>4.7008786872583197E-2</v>
      </c>
      <c r="N1668" s="199">
        <v>5.6760970571470871E-2</v>
      </c>
    </row>
    <row r="1669" spans="3:14">
      <c r="C1669" s="29">
        <v>11</v>
      </c>
      <c r="D1669" s="34" t="s">
        <v>2114</v>
      </c>
      <c r="E1669" s="199">
        <v>5.045567520987055E-2</v>
      </c>
      <c r="F1669" s="199">
        <v>4.2466220771384768E-2</v>
      </c>
      <c r="G1669" s="199">
        <v>4.4941356989063617E-2</v>
      </c>
      <c r="H1669" s="199">
        <v>4.3070323826432007E-2</v>
      </c>
      <c r="I1669" s="199">
        <v>4.7614724773138647E-2</v>
      </c>
      <c r="J1669" s="199">
        <v>5.0766765638058223E-2</v>
      </c>
      <c r="K1669" s="199">
        <v>4.3700827533690416E-2</v>
      </c>
      <c r="L1669" s="199">
        <v>4.9030946106797563E-2</v>
      </c>
      <c r="M1669" s="199">
        <v>4.5748820538883628E-2</v>
      </c>
      <c r="N1669" s="199">
        <v>5.6468213563504337E-2</v>
      </c>
    </row>
    <row r="1670" spans="3:14">
      <c r="C1670" s="29">
        <v>12</v>
      </c>
      <c r="D1670" s="34" t="s">
        <v>2115</v>
      </c>
      <c r="E1670" s="199">
        <v>4.7035620228466621E-2</v>
      </c>
      <c r="F1670" s="199">
        <v>4.1936190138726709E-2</v>
      </c>
      <c r="G1670" s="199">
        <v>4.5102238481839987E-2</v>
      </c>
      <c r="H1670" s="199">
        <v>4.2891476553952493E-2</v>
      </c>
      <c r="I1670" s="199">
        <v>4.6595355507303794E-2</v>
      </c>
      <c r="J1670" s="199">
        <v>4.795320365708039E-2</v>
      </c>
      <c r="K1670" s="199">
        <v>4.3974564971219827E-2</v>
      </c>
      <c r="L1670" s="199">
        <v>4.9717979775689689E-2</v>
      </c>
      <c r="M1670" s="199">
        <v>4.5774921736196475E-2</v>
      </c>
      <c r="N1670" s="199">
        <v>4.8558308384853685E-2</v>
      </c>
    </row>
    <row r="1671" spans="3:14">
      <c r="C1671" s="29">
        <v>13</v>
      </c>
      <c r="D1671" s="34" t="s">
        <v>2116</v>
      </c>
      <c r="E1671" s="199">
        <v>4.4869564925447511E-2</v>
      </c>
      <c r="F1671" s="199">
        <v>3.9308403580488128E-2</v>
      </c>
      <c r="G1671" s="199">
        <v>4.4508265331918165E-2</v>
      </c>
      <c r="H1671" s="199">
        <v>4.1952922584360515E-2</v>
      </c>
      <c r="I1671" s="199">
        <v>4.5233999896154314E-2</v>
      </c>
      <c r="J1671" s="199">
        <v>4.6616673963218086E-2</v>
      </c>
      <c r="K1671" s="199">
        <v>4.2834240913944152E-2</v>
      </c>
      <c r="L1671" s="199">
        <v>4.8878151690358057E-2</v>
      </c>
      <c r="M1671" s="199">
        <v>4.3598124321276036E-2</v>
      </c>
      <c r="N1671" s="199">
        <v>3.9052779125441466E-2</v>
      </c>
    </row>
    <row r="1672" spans="3:14">
      <c r="C1672" s="29">
        <v>14</v>
      </c>
      <c r="D1672" s="34" t="s">
        <v>2117</v>
      </c>
      <c r="E1672" s="199">
        <v>4.147275038092911E-2</v>
      </c>
      <c r="F1672" s="199">
        <v>3.9406357005362769E-2</v>
      </c>
      <c r="G1672" s="199">
        <v>4.5804598596192167E-2</v>
      </c>
      <c r="H1672" s="199">
        <v>4.2026785263017945E-2</v>
      </c>
      <c r="I1672" s="199">
        <v>4.1199356338523771E-2</v>
      </c>
      <c r="J1672" s="199">
        <v>4.3848474108123835E-2</v>
      </c>
      <c r="K1672" s="199">
        <v>4.3110185911453623E-2</v>
      </c>
      <c r="L1672" s="199">
        <v>4.9444985455549782E-2</v>
      </c>
      <c r="M1672" s="199">
        <v>4.4548059360064424E-2</v>
      </c>
      <c r="N1672" s="199">
        <v>5.8121995496483309E-2</v>
      </c>
    </row>
    <row r="1673" spans="3:14">
      <c r="C1673" s="29">
        <v>15</v>
      </c>
      <c r="D1673" s="34" t="s">
        <v>2118</v>
      </c>
      <c r="E1673" s="199">
        <v>4.128678672611303E-2</v>
      </c>
      <c r="F1673" s="199">
        <v>3.8818907895496649E-2</v>
      </c>
      <c r="G1673" s="199">
        <v>4.5051757528450011E-2</v>
      </c>
      <c r="H1673" s="199">
        <v>4.0542560380872485E-2</v>
      </c>
      <c r="I1673" s="199">
        <v>4.8523658581283845E-2</v>
      </c>
      <c r="J1673" s="199">
        <v>3.8990628782328465E-2</v>
      </c>
      <c r="K1673" s="199">
        <v>4.0487395831882135E-2</v>
      </c>
      <c r="L1673" s="199">
        <v>4.7531458854970648E-2</v>
      </c>
      <c r="M1673" s="199">
        <v>4.3273450891286931E-2</v>
      </c>
      <c r="N1673" s="199">
        <v>5.7159111356763666E-2</v>
      </c>
    </row>
    <row r="1674" spans="3:14">
      <c r="C1674" s="29">
        <v>16</v>
      </c>
      <c r="D1674" s="34" t="s">
        <v>2119</v>
      </c>
      <c r="E1674" s="199">
        <v>4.0950501178595763E-2</v>
      </c>
      <c r="F1674" s="199">
        <v>3.8495279768680092E-2</v>
      </c>
      <c r="G1674" s="199">
        <v>4.5334342323158958E-2</v>
      </c>
      <c r="H1674" s="199">
        <v>3.8447848010857322E-2</v>
      </c>
      <c r="I1674" s="199">
        <v>4.1743807689602744E-2</v>
      </c>
      <c r="J1674" s="199">
        <v>3.7388097606723784E-2</v>
      </c>
      <c r="K1674" s="199">
        <v>3.8947443754429475E-2</v>
      </c>
      <c r="L1674" s="199">
        <v>4.6357672315334705E-2</v>
      </c>
      <c r="M1674" s="199">
        <v>4.1677670372647642E-2</v>
      </c>
      <c r="N1674" s="199">
        <v>5.5544028445748891E-2</v>
      </c>
    </row>
    <row r="1675" spans="3:14">
      <c r="C1675" s="29">
        <v>17</v>
      </c>
      <c r="D1675" s="34" t="s">
        <v>2120</v>
      </c>
      <c r="E1675" s="199">
        <v>4.2182822633668314E-2</v>
      </c>
      <c r="F1675" s="199">
        <v>3.7024204991600133E-2</v>
      </c>
      <c r="G1675" s="199">
        <v>4.5343780955765377E-2</v>
      </c>
      <c r="H1675" s="199">
        <v>3.8320953588759331E-2</v>
      </c>
      <c r="I1675" s="199">
        <v>3.544330576499221E-2</v>
      </c>
      <c r="J1675" s="199">
        <v>4.1372928126531879E-2</v>
      </c>
      <c r="K1675" s="199">
        <v>3.7138229023190798E-2</v>
      </c>
      <c r="L1675" s="199">
        <v>4.5072397528054489E-2</v>
      </c>
      <c r="M1675" s="199">
        <v>3.8427328590201121E-2</v>
      </c>
      <c r="N1675" s="199">
        <v>4.6232868850326396E-2</v>
      </c>
    </row>
    <row r="1676" spans="3:14">
      <c r="C1676" s="29">
        <v>18</v>
      </c>
      <c r="D1676" s="34" t="s">
        <v>2121</v>
      </c>
      <c r="E1676" s="199">
        <v>4.4248767756856391E-2</v>
      </c>
      <c r="F1676" s="199">
        <v>3.7275793106514618E-2</v>
      </c>
      <c r="G1676" s="199">
        <v>4.3775127409741897E-2</v>
      </c>
      <c r="H1676" s="199">
        <v>3.8761805891038267E-2</v>
      </c>
      <c r="I1676" s="199">
        <v>3.4627310438729852E-2</v>
      </c>
      <c r="J1676" s="199">
        <v>4.9119468239969197E-2</v>
      </c>
      <c r="K1676" s="199">
        <v>3.2611328965128993E-2</v>
      </c>
      <c r="L1676" s="199">
        <v>4.3467130869325507E-2</v>
      </c>
      <c r="M1676" s="199">
        <v>3.7298398755206325E-2</v>
      </c>
      <c r="N1676" s="199">
        <v>3.5986373571497754E-2</v>
      </c>
    </row>
    <row r="1677" spans="3:14">
      <c r="C1677" s="29">
        <v>19</v>
      </c>
      <c r="D1677" s="34" t="s">
        <v>2122</v>
      </c>
      <c r="E1677" s="199">
        <v>4.8350574348021008E-2</v>
      </c>
      <c r="F1677" s="199">
        <v>4.5013733656476505E-2</v>
      </c>
      <c r="G1677" s="199">
        <v>4.5079570032530249E-2</v>
      </c>
      <c r="H1677" s="199">
        <v>4.0769293906818667E-2</v>
      </c>
      <c r="I1677" s="199">
        <v>3.6329629844659803E-2</v>
      </c>
      <c r="J1677" s="199">
        <v>5.0845139179646892E-2</v>
      </c>
      <c r="K1677" s="199">
        <v>4.0526505441799428E-2</v>
      </c>
      <c r="L1677" s="199">
        <v>4.4248491347178162E-2</v>
      </c>
      <c r="M1677" s="199">
        <v>3.7372882659733223E-2</v>
      </c>
      <c r="N1677" s="199">
        <v>3.4936689930536349E-2</v>
      </c>
    </row>
    <row r="1678" spans="3:14">
      <c r="C1678" s="29">
        <v>20</v>
      </c>
      <c r="D1678" s="34" t="s">
        <v>2123</v>
      </c>
      <c r="E1678" s="199">
        <v>4.8887783050509621E-2</v>
      </c>
      <c r="F1678" s="199">
        <v>4.6423209789870287E-2</v>
      </c>
      <c r="G1678" s="199">
        <v>4.3866894515257791E-2</v>
      </c>
      <c r="H1678" s="199">
        <v>4.0275492852872935E-2</v>
      </c>
      <c r="I1678" s="199">
        <v>3.7072910466270551E-2</v>
      </c>
      <c r="J1678" s="199">
        <v>5.0537808123791057E-2</v>
      </c>
      <c r="K1678" s="199">
        <v>4.1606897228805201E-2</v>
      </c>
      <c r="L1678" s="199">
        <v>4.3591782621311109E-2</v>
      </c>
      <c r="M1678" s="199">
        <v>3.6961629648413694E-2</v>
      </c>
      <c r="N1678" s="199">
        <v>3.6988394010265956E-2</v>
      </c>
    </row>
    <row r="1679" spans="3:14">
      <c r="C1679" s="29">
        <v>21</v>
      </c>
      <c r="D1679" s="34" t="s">
        <v>2124</v>
      </c>
      <c r="E1679" s="199">
        <v>4.6556655185240256E-2</v>
      </c>
      <c r="F1679" s="199">
        <v>4.7070809866720201E-2</v>
      </c>
      <c r="G1679" s="199">
        <v>4.3744719281694891E-2</v>
      </c>
      <c r="H1679" s="199">
        <v>4.0668707877006521E-2</v>
      </c>
      <c r="I1679" s="199">
        <v>3.6670593639440273E-2</v>
      </c>
      <c r="J1679" s="199">
        <v>4.8973088243326336E-2</v>
      </c>
      <c r="K1679" s="199">
        <v>4.2156728823302209E-2</v>
      </c>
      <c r="L1679" s="199">
        <v>4.0787432449749104E-2</v>
      </c>
      <c r="M1679" s="199">
        <v>3.6798656318850528E-2</v>
      </c>
      <c r="N1679" s="199">
        <v>2.75084454602877E-2</v>
      </c>
    </row>
    <row r="1680" spans="3:14">
      <c r="C1680" s="29">
        <v>22</v>
      </c>
      <c r="D1680" s="34" t="s">
        <v>2125</v>
      </c>
      <c r="E1680" s="199">
        <v>4.3834018125034804E-2</v>
      </c>
      <c r="F1680" s="199">
        <v>4.4677402166596582E-2</v>
      </c>
      <c r="G1680" s="199">
        <v>4.2120307013549005E-2</v>
      </c>
      <c r="H1680" s="199">
        <v>4.0276156787063117E-2</v>
      </c>
      <c r="I1680" s="199">
        <v>3.8498232294168253E-2</v>
      </c>
      <c r="J1680" s="199">
        <v>4.5239247337436263E-2</v>
      </c>
      <c r="K1680" s="199">
        <v>4.2025110517463098E-2</v>
      </c>
      <c r="L1680" s="199">
        <v>3.7766792284440631E-2</v>
      </c>
      <c r="M1680" s="199">
        <v>3.7504237465722283E-2</v>
      </c>
      <c r="N1680" s="199">
        <v>2.4957370950240275E-2</v>
      </c>
    </row>
    <row r="1681" spans="1:14">
      <c r="C1681" s="29">
        <v>23</v>
      </c>
      <c r="D1681" s="34" t="s">
        <v>2126</v>
      </c>
      <c r="E1681" s="199">
        <v>4.0398059889774546E-2</v>
      </c>
      <c r="F1681" s="199">
        <v>4.164770436386038E-2</v>
      </c>
      <c r="G1681" s="199">
        <v>3.9591013037425911E-2</v>
      </c>
      <c r="H1681" s="199">
        <v>4.0660740666724371E-2</v>
      </c>
      <c r="I1681" s="199">
        <v>3.9287641306542359E-2</v>
      </c>
      <c r="J1681" s="199">
        <v>4.0038733067904904E-2</v>
      </c>
      <c r="K1681" s="199">
        <v>4.2466741841044757E-2</v>
      </c>
      <c r="L1681" s="199">
        <v>3.4074411858466838E-2</v>
      </c>
      <c r="M1681" s="199">
        <v>3.7745832694508298E-2</v>
      </c>
      <c r="N1681" s="199">
        <v>2.9057936808651267E-2</v>
      </c>
    </row>
    <row r="1682" spans="1:14">
      <c r="C1682" s="29">
        <v>24</v>
      </c>
      <c r="D1682" s="34" t="s">
        <v>2127</v>
      </c>
      <c r="E1682" s="199">
        <v>3.6676264762285748E-2</v>
      </c>
      <c r="F1682" s="199">
        <v>4.2684439938309442E-2</v>
      </c>
      <c r="G1682" s="199">
        <v>3.7860636387218642E-2</v>
      </c>
      <c r="H1682" s="199">
        <v>4.0403134200934866E-2</v>
      </c>
      <c r="I1682" s="199">
        <v>3.9047228314287953E-2</v>
      </c>
      <c r="J1682" s="199">
        <v>3.4550030118835305E-2</v>
      </c>
      <c r="K1682" s="199">
        <v>4.2921409701265525E-2</v>
      </c>
      <c r="L1682" s="199">
        <v>3.27009031839968E-2</v>
      </c>
      <c r="M1682" s="199">
        <v>3.8039418113063814E-2</v>
      </c>
      <c r="N1682" s="199">
        <v>2.6060183756949153E-2</v>
      </c>
    </row>
    <row r="1683" spans="1:14">
      <c r="A1683" s="16" t="s">
        <v>440</v>
      </c>
      <c r="B1683" s="16" t="s">
        <v>423</v>
      </c>
      <c r="C1683" s="29">
        <v>1</v>
      </c>
      <c r="D1683" s="34" t="s">
        <v>2128</v>
      </c>
      <c r="E1683" s="199">
        <v>3.2498497291027606E-2</v>
      </c>
      <c r="F1683" s="199">
        <v>4.2264495810747149E-2</v>
      </c>
      <c r="G1683" s="199">
        <v>3.8831302431606152E-2</v>
      </c>
      <c r="H1683" s="199">
        <v>4.2645674555132622E-2</v>
      </c>
      <c r="I1683" s="199">
        <v>4.3393724672353445E-2</v>
      </c>
      <c r="J1683" s="199">
        <v>3.0912864059531964E-2</v>
      </c>
      <c r="K1683" s="199">
        <v>4.3086991095021419E-2</v>
      </c>
      <c r="L1683" s="199">
        <v>3.5644129954979231E-2</v>
      </c>
      <c r="M1683" s="199">
        <v>4.294698934962652E-2</v>
      </c>
      <c r="N1683" s="199">
        <v>3.9370253110829451E-2</v>
      </c>
    </row>
    <row r="1684" spans="1:14">
      <c r="C1684" s="29">
        <v>2</v>
      </c>
      <c r="D1684" s="34" t="s">
        <v>2129</v>
      </c>
      <c r="E1684" s="199">
        <v>3.0867499303692453E-2</v>
      </c>
      <c r="F1684" s="199">
        <v>4.2121148364606752E-2</v>
      </c>
      <c r="G1684" s="199">
        <v>3.8554605724975509E-2</v>
      </c>
      <c r="H1684" s="199">
        <v>4.2031893082007409E-2</v>
      </c>
      <c r="I1684" s="199">
        <v>4.4037812889706693E-2</v>
      </c>
      <c r="J1684" s="199">
        <v>2.8359224084324359E-2</v>
      </c>
      <c r="K1684" s="199">
        <v>4.2575046509342712E-2</v>
      </c>
      <c r="L1684" s="199">
        <v>3.57964348451386E-2</v>
      </c>
      <c r="M1684" s="199">
        <v>4.3043582905822345E-2</v>
      </c>
      <c r="N1684" s="199">
        <v>3.7184780231042026E-2</v>
      </c>
    </row>
    <row r="1685" spans="1:14">
      <c r="C1685" s="29">
        <v>3</v>
      </c>
      <c r="D1685" s="34" t="s">
        <v>2130</v>
      </c>
      <c r="E1685" s="199">
        <v>3.014805856795701E-2</v>
      </c>
      <c r="F1685" s="199">
        <v>4.3044166460264752E-2</v>
      </c>
      <c r="G1685" s="199">
        <v>3.8349202661981885E-2</v>
      </c>
      <c r="H1685" s="199">
        <v>4.1918686813697016E-2</v>
      </c>
      <c r="I1685" s="199">
        <v>4.2163642469016049E-2</v>
      </c>
      <c r="J1685" s="199">
        <v>2.8227380612657098E-2</v>
      </c>
      <c r="K1685" s="199">
        <v>4.2060674071445571E-2</v>
      </c>
      <c r="L1685" s="199">
        <v>3.5257630277521886E-2</v>
      </c>
      <c r="M1685" s="199">
        <v>4.2803433180473582E-2</v>
      </c>
      <c r="N1685" s="199">
        <v>3.065247511816243E-2</v>
      </c>
    </row>
    <row r="1686" spans="1:14">
      <c r="C1686" s="29">
        <v>4</v>
      </c>
      <c r="D1686" s="34" t="s">
        <v>2131</v>
      </c>
      <c r="E1686" s="199">
        <v>3.0650817415038521E-2</v>
      </c>
      <c r="F1686" s="199">
        <v>4.2214410558481234E-2</v>
      </c>
      <c r="G1686" s="199">
        <v>3.8440766755220998E-2</v>
      </c>
      <c r="H1686" s="199">
        <v>4.1256674502976022E-2</v>
      </c>
      <c r="I1686" s="199">
        <v>3.7184658127375952E-2</v>
      </c>
      <c r="J1686" s="199">
        <v>2.8489052467347897E-2</v>
      </c>
      <c r="K1686" s="199">
        <v>4.2379923859998808E-2</v>
      </c>
      <c r="L1686" s="199">
        <v>3.531872302285622E-2</v>
      </c>
      <c r="M1686" s="199">
        <v>4.3549284860801216E-2</v>
      </c>
      <c r="N1686" s="199">
        <v>2.9646596584884895E-2</v>
      </c>
    </row>
    <row r="1687" spans="1:14">
      <c r="C1687" s="29">
        <v>5</v>
      </c>
      <c r="D1687" s="34" t="s">
        <v>2132</v>
      </c>
      <c r="E1687" s="199">
        <v>3.2856252368833383E-2</v>
      </c>
      <c r="F1687" s="199">
        <v>4.4664584973149186E-2</v>
      </c>
      <c r="G1687" s="199">
        <v>4.0541367163754394E-2</v>
      </c>
      <c r="H1687" s="199">
        <v>4.3363128293787662E-2</v>
      </c>
      <c r="I1687" s="199">
        <v>3.720486481654782E-2</v>
      </c>
      <c r="J1687" s="199">
        <v>2.862111004218355E-2</v>
      </c>
      <c r="K1687" s="199">
        <v>4.4851145185946011E-2</v>
      </c>
      <c r="L1687" s="199">
        <v>3.7303561205359499E-2</v>
      </c>
      <c r="M1687" s="199">
        <v>4.4996907405203568E-2</v>
      </c>
      <c r="N1687" s="199">
        <v>2.4960206529893756E-2</v>
      </c>
    </row>
    <row r="1688" spans="1:14">
      <c r="C1688" s="29">
        <v>6</v>
      </c>
      <c r="D1688" s="34" t="s">
        <v>2133</v>
      </c>
      <c r="E1688" s="199">
        <v>3.5104306256538702E-2</v>
      </c>
      <c r="F1688" s="199">
        <v>4.4213527166326372E-2</v>
      </c>
      <c r="G1688" s="199">
        <v>4.2038650670029605E-2</v>
      </c>
      <c r="H1688" s="199">
        <v>4.3334686520786821E-2</v>
      </c>
      <c r="I1688" s="199">
        <v>3.5425272927119944E-2</v>
      </c>
      <c r="J1688" s="199">
        <v>3.125684598816663E-2</v>
      </c>
      <c r="K1688" s="199">
        <v>4.5513003257027659E-2</v>
      </c>
      <c r="L1688" s="199">
        <v>3.7525284817794533E-2</v>
      </c>
      <c r="M1688" s="199">
        <v>4.4696133215855645E-2</v>
      </c>
      <c r="N1688" s="199">
        <v>3.0356223221375208E-2</v>
      </c>
    </row>
    <row r="1689" spans="1:14">
      <c r="C1689" s="29">
        <v>7</v>
      </c>
      <c r="D1689" s="34" t="s">
        <v>2134</v>
      </c>
      <c r="E1689" s="199">
        <v>3.7428992902935485E-2</v>
      </c>
      <c r="F1689" s="199">
        <v>4.4225536005413013E-2</v>
      </c>
      <c r="G1689" s="199">
        <v>4.3922422002230767E-2</v>
      </c>
      <c r="H1689" s="199">
        <v>4.3336048521184035E-2</v>
      </c>
      <c r="I1689" s="199">
        <v>3.3578044758658464E-2</v>
      </c>
      <c r="J1689" s="199">
        <v>3.8319038997676774E-2</v>
      </c>
      <c r="K1689" s="199">
        <v>4.7715806352973685E-2</v>
      </c>
      <c r="L1689" s="199">
        <v>4.0603227703727575E-2</v>
      </c>
      <c r="M1689" s="199">
        <v>4.3950815201584344E-2</v>
      </c>
      <c r="N1689" s="199">
        <v>3.1219635103290781E-2</v>
      </c>
    </row>
    <row r="1690" spans="1:14">
      <c r="C1690" s="29">
        <v>8</v>
      </c>
      <c r="D1690" s="34" t="s">
        <v>2135</v>
      </c>
      <c r="E1690" s="199">
        <v>4.1593206107010706E-2</v>
      </c>
      <c r="F1690" s="199">
        <v>3.8154615901559157E-2</v>
      </c>
      <c r="G1690" s="199">
        <v>4.5428003991913678E-2</v>
      </c>
      <c r="H1690" s="199">
        <v>4.2593357716345155E-2</v>
      </c>
      <c r="I1690" s="199">
        <v>3.9460155846896716E-2</v>
      </c>
      <c r="J1690" s="199">
        <v>4.4828253900438632E-2</v>
      </c>
      <c r="K1690" s="199">
        <v>4.0310039283926714E-2</v>
      </c>
      <c r="L1690" s="199">
        <v>4.2316760013677367E-2</v>
      </c>
      <c r="M1690" s="199">
        <v>4.3190981470580862E-2</v>
      </c>
      <c r="N1690" s="199">
        <v>3.6909689184025325E-2</v>
      </c>
    </row>
    <row r="1691" spans="1:14">
      <c r="C1691" s="29">
        <v>9</v>
      </c>
      <c r="D1691" s="34" t="s">
        <v>2136</v>
      </c>
      <c r="E1691" s="199">
        <v>4.6690433614641681E-2</v>
      </c>
      <c r="F1691" s="199">
        <v>3.5542015481879283E-2</v>
      </c>
      <c r="G1691" s="199">
        <v>4.5459474274385556E-2</v>
      </c>
      <c r="H1691" s="199">
        <v>4.2469976503890797E-2</v>
      </c>
      <c r="I1691" s="199">
        <v>4.3238666397805443E-2</v>
      </c>
      <c r="J1691" s="199">
        <v>4.6281605098960156E-2</v>
      </c>
      <c r="K1691" s="199">
        <v>3.8050628896782686E-2</v>
      </c>
      <c r="L1691" s="199">
        <v>4.4054736537980504E-2</v>
      </c>
      <c r="M1691" s="199">
        <v>4.2672044597404986E-2</v>
      </c>
      <c r="N1691" s="199">
        <v>4.2401175755866771E-2</v>
      </c>
    </row>
    <row r="1692" spans="1:14">
      <c r="C1692" s="29">
        <v>10</v>
      </c>
      <c r="D1692" s="34" t="s">
        <v>2137</v>
      </c>
      <c r="E1692" s="199">
        <v>4.9077166200159006E-2</v>
      </c>
      <c r="F1692" s="199">
        <v>3.6209103264959623E-2</v>
      </c>
      <c r="G1692" s="199">
        <v>4.4864346664963917E-2</v>
      </c>
      <c r="H1692" s="199">
        <v>4.0372976598189295E-2</v>
      </c>
      <c r="I1692" s="199">
        <v>4.9372378831079512E-2</v>
      </c>
      <c r="J1692" s="199">
        <v>4.5912535316711203E-2</v>
      </c>
      <c r="K1692" s="199">
        <v>3.9623596014591145E-2</v>
      </c>
      <c r="L1692" s="199">
        <v>4.3569623847305845E-2</v>
      </c>
      <c r="M1692" s="199">
        <v>4.1774738490290751E-2</v>
      </c>
      <c r="N1692" s="199">
        <v>4.4373563799592966E-2</v>
      </c>
    </row>
    <row r="1693" spans="1:14">
      <c r="C1693" s="29">
        <v>11</v>
      </c>
      <c r="D1693" s="34" t="s">
        <v>2138</v>
      </c>
      <c r="E1693" s="199">
        <v>4.7525861101328247E-2</v>
      </c>
      <c r="F1693" s="199">
        <v>3.7680799407757627E-2</v>
      </c>
      <c r="G1693" s="199">
        <v>4.499283276990608E-2</v>
      </c>
      <c r="H1693" s="199">
        <v>3.9603927079780617E-2</v>
      </c>
      <c r="I1693" s="199">
        <v>4.9260400095252094E-2</v>
      </c>
      <c r="J1693" s="199">
        <v>4.5576361856570942E-2</v>
      </c>
      <c r="K1693" s="199">
        <v>4.1278317861312662E-2</v>
      </c>
      <c r="L1693" s="199">
        <v>4.6018919893071671E-2</v>
      </c>
      <c r="M1693" s="199">
        <v>4.1189520292918634E-2</v>
      </c>
      <c r="N1693" s="199">
        <v>5.5481287534364841E-2</v>
      </c>
    </row>
    <row r="1694" spans="1:14">
      <c r="C1694" s="29">
        <v>12</v>
      </c>
      <c r="D1694" s="34" t="s">
        <v>2139</v>
      </c>
      <c r="E1694" s="199">
        <v>4.6110999841725613E-2</v>
      </c>
      <c r="F1694" s="199">
        <v>3.7845000913172139E-2</v>
      </c>
      <c r="G1694" s="199">
        <v>4.4011264130517536E-2</v>
      </c>
      <c r="H1694" s="199">
        <v>3.8037145916951148E-2</v>
      </c>
      <c r="I1694" s="199">
        <v>4.9399180759078308E-2</v>
      </c>
      <c r="J1694" s="199">
        <v>4.6533220401888391E-2</v>
      </c>
      <c r="K1694" s="199">
        <v>4.1154701848886144E-2</v>
      </c>
      <c r="L1694" s="199">
        <v>4.6023723341307048E-2</v>
      </c>
      <c r="M1694" s="199">
        <v>4.0464161389154089E-2</v>
      </c>
      <c r="N1694" s="199">
        <v>5.8604973439442681E-2</v>
      </c>
    </row>
    <row r="1695" spans="1:14">
      <c r="C1695" s="29">
        <v>13</v>
      </c>
      <c r="D1695" s="34" t="s">
        <v>2140</v>
      </c>
      <c r="E1695" s="199">
        <v>4.4832763137678672E-2</v>
      </c>
      <c r="F1695" s="199">
        <v>3.7523554635738747E-2</v>
      </c>
      <c r="G1695" s="199">
        <v>4.4026348027989819E-2</v>
      </c>
      <c r="H1695" s="199">
        <v>3.9037014443853983E-2</v>
      </c>
      <c r="I1695" s="199">
        <v>4.5894302457371951E-2</v>
      </c>
      <c r="J1695" s="199">
        <v>4.512547317823503E-2</v>
      </c>
      <c r="K1695" s="199">
        <v>3.9931575457583073E-2</v>
      </c>
      <c r="L1695" s="199">
        <v>4.6748848328809191E-2</v>
      </c>
      <c r="M1695" s="199">
        <v>4.0140226092961424E-2</v>
      </c>
      <c r="N1695" s="199">
        <v>6.9433423168522287E-2</v>
      </c>
    </row>
    <row r="1696" spans="1:14">
      <c r="C1696" s="29">
        <v>14</v>
      </c>
      <c r="D1696" s="34" t="s">
        <v>2141</v>
      </c>
      <c r="E1696" s="199">
        <v>4.5430837799780036E-2</v>
      </c>
      <c r="F1696" s="199">
        <v>3.6173173593176206E-2</v>
      </c>
      <c r="G1696" s="199">
        <v>4.1951984553839403E-2</v>
      </c>
      <c r="H1696" s="199">
        <v>3.893590594377775E-2</v>
      </c>
      <c r="I1696" s="199">
        <v>3.9321375183070502E-2</v>
      </c>
      <c r="J1696" s="199">
        <v>4.6053509658795302E-2</v>
      </c>
      <c r="K1696" s="199">
        <v>3.8117254272924075E-2</v>
      </c>
      <c r="L1696" s="199">
        <v>4.6412909391666403E-2</v>
      </c>
      <c r="M1696" s="199">
        <v>4.0697480188981824E-2</v>
      </c>
      <c r="N1696" s="199">
        <v>5.8461768618902683E-2</v>
      </c>
    </row>
    <row r="1697" spans="1:14">
      <c r="C1697" s="29">
        <v>15</v>
      </c>
      <c r="D1697" s="34" t="s">
        <v>2142</v>
      </c>
      <c r="E1697" s="199">
        <v>4.3717384976067981E-2</v>
      </c>
      <c r="F1697" s="199">
        <v>3.7226400431995384E-2</v>
      </c>
      <c r="G1697" s="199">
        <v>4.1932369247664247E-2</v>
      </c>
      <c r="H1697" s="199">
        <v>3.9427107381152848E-2</v>
      </c>
      <c r="I1697" s="199">
        <v>3.9149898973570345E-2</v>
      </c>
      <c r="J1697" s="199">
        <v>4.7117356816790169E-2</v>
      </c>
      <c r="K1697" s="199">
        <v>3.7196561599019254E-2</v>
      </c>
      <c r="L1697" s="199">
        <v>4.6617571867591336E-2</v>
      </c>
      <c r="M1697" s="199">
        <v>4.0652545507038791E-2</v>
      </c>
      <c r="N1697" s="199">
        <v>4.7656448190735029E-2</v>
      </c>
    </row>
    <row r="1698" spans="1:14">
      <c r="C1698" s="29">
        <v>16</v>
      </c>
      <c r="D1698" s="34" t="s">
        <v>2143</v>
      </c>
      <c r="E1698" s="199">
        <v>4.6524725778107949E-2</v>
      </c>
      <c r="F1698" s="199">
        <v>3.9058926679338891E-2</v>
      </c>
      <c r="G1698" s="199">
        <v>4.1642554073842097E-2</v>
      </c>
      <c r="H1698" s="199">
        <v>3.9298919108473003E-2</v>
      </c>
      <c r="I1698" s="199">
        <v>3.9202099587264339E-2</v>
      </c>
      <c r="J1698" s="199">
        <v>4.7521986616448721E-2</v>
      </c>
      <c r="K1698" s="199">
        <v>3.5937886339970623E-2</v>
      </c>
      <c r="L1698" s="199">
        <v>4.6082396571974674E-2</v>
      </c>
      <c r="M1698" s="199">
        <v>4.0324447615606746E-2</v>
      </c>
      <c r="N1698" s="199">
        <v>3.828735892664295E-2</v>
      </c>
    </row>
    <row r="1699" spans="1:14">
      <c r="C1699" s="29">
        <v>17</v>
      </c>
      <c r="D1699" s="34" t="s">
        <v>2144</v>
      </c>
      <c r="E1699" s="199">
        <v>4.9372501858433997E-2</v>
      </c>
      <c r="F1699" s="199">
        <v>4.6482342285325662E-2</v>
      </c>
      <c r="G1699" s="199">
        <v>4.3407058105037095E-2</v>
      </c>
      <c r="H1699" s="199">
        <v>4.0956313356553045E-2</v>
      </c>
      <c r="I1699" s="199">
        <v>4.7291089846377241E-2</v>
      </c>
      <c r="J1699" s="199">
        <v>5.4535773418445559E-2</v>
      </c>
      <c r="K1699" s="199">
        <v>4.2854530634192069E-2</v>
      </c>
      <c r="L1699" s="199">
        <v>4.8941658029355115E-2</v>
      </c>
      <c r="M1699" s="199">
        <v>4.0293815183973361E-2</v>
      </c>
      <c r="N1699" s="199">
        <v>2.4547569959368701E-2</v>
      </c>
    </row>
    <row r="1700" spans="1:14">
      <c r="C1700" s="29">
        <v>18</v>
      </c>
      <c r="D1700" s="34" t="s">
        <v>2145</v>
      </c>
      <c r="E1700" s="199">
        <v>5.1537390092207452E-2</v>
      </c>
      <c r="F1700" s="199">
        <v>4.6957643743100262E-2</v>
      </c>
      <c r="G1700" s="199">
        <v>4.3389540817693403E-2</v>
      </c>
      <c r="H1700" s="199">
        <v>4.1480363038802356E-2</v>
      </c>
      <c r="I1700" s="199">
        <v>4.9304882876276268E-2</v>
      </c>
      <c r="J1700" s="199">
        <v>5.7270771371587786E-2</v>
      </c>
      <c r="K1700" s="199">
        <v>4.4101807765983679E-2</v>
      </c>
      <c r="L1700" s="199">
        <v>4.8840305271588731E-2</v>
      </c>
      <c r="M1700" s="199">
        <v>4.0433102024675642E-2</v>
      </c>
      <c r="N1700" s="199">
        <v>2.4549538410510149E-2</v>
      </c>
    </row>
    <row r="1701" spans="1:14">
      <c r="C1701" s="29">
        <v>19</v>
      </c>
      <c r="D1701" s="34" t="s">
        <v>2146</v>
      </c>
      <c r="E1701" s="199">
        <v>4.9296709430665588E-2</v>
      </c>
      <c r="F1701" s="199">
        <v>4.8930240831295747E-2</v>
      </c>
      <c r="G1701" s="199">
        <v>4.3571904670173536E-2</v>
      </c>
      <c r="H1701" s="199">
        <v>4.325953614592825E-2</v>
      </c>
      <c r="I1701" s="199">
        <v>3.9421286035086947E-2</v>
      </c>
      <c r="J1701" s="199">
        <v>5.5483318475937835E-2</v>
      </c>
      <c r="K1701" s="199">
        <v>4.3603152476658441E-2</v>
      </c>
      <c r="L1701" s="199">
        <v>4.4977923707721197E-2</v>
      </c>
      <c r="M1701" s="199">
        <v>4.1317386680015437E-2</v>
      </c>
      <c r="N1701" s="199">
        <v>3.0327188567038917E-2</v>
      </c>
    </row>
    <row r="1702" spans="1:14">
      <c r="C1702" s="29">
        <v>20</v>
      </c>
      <c r="D1702" s="34" t="s">
        <v>2147</v>
      </c>
      <c r="E1702" s="199">
        <v>5.0121917409030006E-2</v>
      </c>
      <c r="F1702" s="199">
        <v>4.6622090307922616E-2</v>
      </c>
      <c r="G1702" s="199">
        <v>4.0849034995960216E-2</v>
      </c>
      <c r="H1702" s="199">
        <v>4.2211837369781756E-2</v>
      </c>
      <c r="I1702" s="199">
        <v>3.730210950818743E-2</v>
      </c>
      <c r="J1702" s="199">
        <v>5.0278489343710632E-2</v>
      </c>
      <c r="K1702" s="199">
        <v>4.3567118038469195E-2</v>
      </c>
      <c r="L1702" s="199">
        <v>4.2391266832972715E-2</v>
      </c>
      <c r="M1702" s="199">
        <v>4.0671330552221621E-2</v>
      </c>
      <c r="N1702" s="199">
        <v>4.0556983092727081E-2</v>
      </c>
    </row>
    <row r="1703" spans="1:14">
      <c r="C1703" s="29">
        <v>21</v>
      </c>
      <c r="D1703" s="34" t="s">
        <v>2148</v>
      </c>
      <c r="E1703" s="199">
        <v>4.6079850370736072E-2</v>
      </c>
      <c r="F1703" s="199">
        <v>4.6696968002173864E-2</v>
      </c>
      <c r="G1703" s="199">
        <v>3.9850908386388828E-2</v>
      </c>
      <c r="H1703" s="199">
        <v>4.3624712487724981E-2</v>
      </c>
      <c r="I1703" s="199">
        <v>3.9226235354886299E-2</v>
      </c>
      <c r="J1703" s="199">
        <v>4.7675372645147734E-2</v>
      </c>
      <c r="K1703" s="199">
        <v>4.3094376877033255E-2</v>
      </c>
      <c r="L1703" s="199">
        <v>4.0709366119180301E-2</v>
      </c>
      <c r="M1703" s="199">
        <v>4.1167426518186542E-2</v>
      </c>
      <c r="N1703" s="199">
        <v>5.2005002818575966E-2</v>
      </c>
    </row>
    <row r="1704" spans="1:14">
      <c r="C1704" s="29">
        <v>22</v>
      </c>
      <c r="D1704" s="34" t="s">
        <v>2149</v>
      </c>
      <c r="E1704" s="199">
        <v>4.2013329401387786E-2</v>
      </c>
      <c r="F1704" s="199">
        <v>4.3482763482443891E-2</v>
      </c>
      <c r="G1704" s="199">
        <v>3.9168646701186326E-2</v>
      </c>
      <c r="H1704" s="199">
        <v>4.4790825180759483E-2</v>
      </c>
      <c r="I1704" s="199">
        <v>4.1360005601743272E-2</v>
      </c>
      <c r="J1704" s="199">
        <v>4.2313165089846165E-2</v>
      </c>
      <c r="K1704" s="199">
        <v>4.1666365314834301E-2</v>
      </c>
      <c r="L1704" s="199">
        <v>3.8296878719336652E-2</v>
      </c>
      <c r="M1704" s="199">
        <v>4.0601420298842318E-2</v>
      </c>
      <c r="N1704" s="199">
        <v>5.9791211308554949E-2</v>
      </c>
    </row>
    <row r="1705" spans="1:14">
      <c r="C1705" s="29">
        <v>23</v>
      </c>
      <c r="D1705" s="34" t="s">
        <v>2150</v>
      </c>
      <c r="E1705" s="199">
        <v>3.7512239879214745E-2</v>
      </c>
      <c r="F1705" s="199">
        <v>4.1391627531006087E-2</v>
      </c>
      <c r="G1705" s="199">
        <v>3.7889931521055298E-2</v>
      </c>
      <c r="H1705" s="199">
        <v>4.2918955928951973E-2</v>
      </c>
      <c r="I1705" s="199">
        <v>4.0234464950024224E-2</v>
      </c>
      <c r="J1705" s="199">
        <v>3.5011730681110603E-2</v>
      </c>
      <c r="K1705" s="199">
        <v>4.0851884786400769E-2</v>
      </c>
      <c r="L1705" s="199">
        <v>3.5812748778589851E-2</v>
      </c>
      <c r="M1705" s="199">
        <v>3.9203108498044911E-2</v>
      </c>
      <c r="N1705" s="199">
        <v>4.9469637748396994E-2</v>
      </c>
    </row>
    <row r="1706" spans="1:14">
      <c r="C1706" s="29">
        <v>24</v>
      </c>
      <c r="D1706" s="34" t="s">
        <v>2151</v>
      </c>
      <c r="E1706" s="199">
        <v>3.3008258895801126E-2</v>
      </c>
      <c r="F1706" s="199">
        <v>4.1274864168166357E-2</v>
      </c>
      <c r="G1706" s="199">
        <v>3.6885479657683497E-2</v>
      </c>
      <c r="H1706" s="199">
        <v>4.3094333509512098E-2</v>
      </c>
      <c r="I1706" s="199">
        <v>3.8573447035250709E-2</v>
      </c>
      <c r="J1706" s="199">
        <v>2.8295559877486894E-2</v>
      </c>
      <c r="K1706" s="199">
        <v>4.0477612199676292E-2</v>
      </c>
      <c r="L1706" s="199">
        <v>3.4735370920493676E-2</v>
      </c>
      <c r="M1706" s="199">
        <v>3.9219118479734832E-2</v>
      </c>
      <c r="N1706" s="199">
        <v>4.3753009577252963E-2</v>
      </c>
    </row>
    <row r="1707" spans="1:14">
      <c r="A1707" s="16" t="s">
        <v>440</v>
      </c>
      <c r="B1707" s="16" t="s">
        <v>308</v>
      </c>
      <c r="C1707" s="29">
        <v>1</v>
      </c>
      <c r="D1707" s="34" t="s">
        <v>2152</v>
      </c>
      <c r="E1707" s="199">
        <v>3.3658701932889522E-2</v>
      </c>
      <c r="F1707" s="199">
        <v>3.4783625817948374E-2</v>
      </c>
      <c r="G1707" s="199">
        <v>3.1490635694412947E-2</v>
      </c>
      <c r="H1707" s="199">
        <v>3.3334122067626322E-2</v>
      </c>
      <c r="I1707" s="199">
        <v>3.9355460535039327E-2</v>
      </c>
      <c r="J1707" s="199">
        <v>2.8488878078838941E-2</v>
      </c>
      <c r="K1707" s="199">
        <v>3.5959113607780167E-2</v>
      </c>
      <c r="L1707" s="199">
        <v>2.5478991938808336E-2</v>
      </c>
      <c r="M1707" s="199">
        <v>3.2028680750114988E-2</v>
      </c>
      <c r="N1707" s="199">
        <v>4.8510929247685436E-2</v>
      </c>
    </row>
    <row r="1708" spans="1:14">
      <c r="C1708" s="29">
        <v>2</v>
      </c>
      <c r="D1708" s="34" t="s">
        <v>2153</v>
      </c>
      <c r="E1708" s="199">
        <v>3.2069169479130098E-2</v>
      </c>
      <c r="F1708" s="199">
        <v>3.4370516800465628E-2</v>
      </c>
      <c r="G1708" s="199">
        <v>3.116971448139657E-2</v>
      </c>
      <c r="H1708" s="199">
        <v>3.2337627991558635E-2</v>
      </c>
      <c r="I1708" s="199">
        <v>3.7279377902359523E-2</v>
      </c>
      <c r="J1708" s="199">
        <v>2.8562537967469877E-2</v>
      </c>
      <c r="K1708" s="199">
        <v>3.5145672352629352E-2</v>
      </c>
      <c r="L1708" s="199">
        <v>2.420661158360829E-2</v>
      </c>
      <c r="M1708" s="199">
        <v>3.1568510998606657E-2</v>
      </c>
      <c r="N1708" s="199">
        <v>3.6798459509805974E-2</v>
      </c>
    </row>
    <row r="1709" spans="1:14">
      <c r="C1709" s="29">
        <v>3</v>
      </c>
      <c r="D1709" s="34" t="s">
        <v>2154</v>
      </c>
      <c r="E1709" s="199">
        <v>3.2001742490723351E-2</v>
      </c>
      <c r="F1709" s="199">
        <v>3.3674880266447112E-2</v>
      </c>
      <c r="G1709" s="199">
        <v>3.0821982615276015E-2</v>
      </c>
      <c r="H1709" s="199">
        <v>3.1680946940051538E-2</v>
      </c>
      <c r="I1709" s="199">
        <v>3.939566761576288E-2</v>
      </c>
      <c r="J1709" s="199">
        <v>2.9600145189130584E-2</v>
      </c>
      <c r="K1709" s="199">
        <v>3.4401657186206386E-2</v>
      </c>
      <c r="L1709" s="199">
        <v>2.3374907146355935E-2</v>
      </c>
      <c r="M1709" s="199">
        <v>3.0706046627203862E-2</v>
      </c>
      <c r="N1709" s="199">
        <v>2.4106997090650315E-2</v>
      </c>
    </row>
    <row r="1710" spans="1:14">
      <c r="C1710" s="29">
        <v>4</v>
      </c>
      <c r="D1710" s="34" t="s">
        <v>2155</v>
      </c>
      <c r="E1710" s="199">
        <v>3.2538819350376467E-2</v>
      </c>
      <c r="F1710" s="199">
        <v>3.3800739085210113E-2</v>
      </c>
      <c r="G1710" s="199">
        <v>3.2335043231601968E-2</v>
      </c>
      <c r="H1710" s="199">
        <v>3.2027751018572664E-2</v>
      </c>
      <c r="I1710" s="199">
        <v>3.7564391924935367E-2</v>
      </c>
      <c r="J1710" s="199">
        <v>2.8625674041792063E-2</v>
      </c>
      <c r="K1710" s="199">
        <v>3.5253986594149765E-2</v>
      </c>
      <c r="L1710" s="199">
        <v>2.4736630085631466E-2</v>
      </c>
      <c r="M1710" s="199">
        <v>3.192850264460205E-2</v>
      </c>
      <c r="N1710" s="199">
        <v>2.4818357508145476E-2</v>
      </c>
    </row>
    <row r="1711" spans="1:14">
      <c r="C1711" s="29">
        <v>5</v>
      </c>
      <c r="D1711" s="34" t="s">
        <v>2156</v>
      </c>
      <c r="E1711" s="199">
        <v>3.3594727211437025E-2</v>
      </c>
      <c r="F1711" s="199">
        <v>3.551356463460853E-2</v>
      </c>
      <c r="G1711" s="199">
        <v>3.4499632166545835E-2</v>
      </c>
      <c r="H1711" s="199">
        <v>3.3105508627856883E-2</v>
      </c>
      <c r="I1711" s="199">
        <v>3.6806588258106641E-2</v>
      </c>
      <c r="J1711" s="199">
        <v>3.0496746922114674E-2</v>
      </c>
      <c r="K1711" s="199">
        <v>3.543129314689894E-2</v>
      </c>
      <c r="L1711" s="199">
        <v>2.9997776665464989E-2</v>
      </c>
      <c r="M1711" s="199">
        <v>3.5225053486614429E-2</v>
      </c>
      <c r="N1711" s="199">
        <v>2.370903712386015E-2</v>
      </c>
    </row>
    <row r="1712" spans="1:14">
      <c r="C1712" s="29">
        <v>6</v>
      </c>
      <c r="D1712" s="34" t="s">
        <v>2157</v>
      </c>
      <c r="E1712" s="199">
        <v>3.7598079571780414E-2</v>
      </c>
      <c r="F1712" s="199">
        <v>3.7351349444258705E-2</v>
      </c>
      <c r="G1712" s="199">
        <v>3.771414497024593E-2</v>
      </c>
      <c r="H1712" s="199">
        <v>3.5307511367633007E-2</v>
      </c>
      <c r="I1712" s="199">
        <v>3.5803549914524301E-2</v>
      </c>
      <c r="J1712" s="199">
        <v>3.6858109993245139E-2</v>
      </c>
      <c r="K1712" s="199">
        <v>3.6730261556770616E-2</v>
      </c>
      <c r="L1712" s="199">
        <v>3.8227082427361975E-2</v>
      </c>
      <c r="M1712" s="199">
        <v>4.3445237467910514E-2</v>
      </c>
      <c r="N1712" s="199">
        <v>3.0609428525580649E-2</v>
      </c>
    </row>
    <row r="1713" spans="3:14">
      <c r="C1713" s="29">
        <v>7</v>
      </c>
      <c r="D1713" s="34" t="s">
        <v>2158</v>
      </c>
      <c r="E1713" s="199">
        <v>4.6248122122016282E-2</v>
      </c>
      <c r="F1713" s="199">
        <v>4.1238460830517132E-2</v>
      </c>
      <c r="G1713" s="199">
        <v>4.2844550373696201E-2</v>
      </c>
      <c r="H1713" s="199">
        <v>4.2712113058607622E-2</v>
      </c>
      <c r="I1713" s="199">
        <v>3.7335553752732148E-2</v>
      </c>
      <c r="J1713" s="199">
        <v>4.3982166923252464E-2</v>
      </c>
      <c r="K1713" s="199">
        <v>4.0562013406023743E-2</v>
      </c>
      <c r="L1713" s="199">
        <v>4.4237625610065619E-2</v>
      </c>
      <c r="M1713" s="199">
        <v>4.8418002013888017E-2</v>
      </c>
      <c r="N1713" s="199">
        <v>3.7210931340742756E-2</v>
      </c>
    </row>
    <row r="1714" spans="3:14">
      <c r="C1714" s="29">
        <v>8</v>
      </c>
      <c r="D1714" s="34" t="s">
        <v>2159</v>
      </c>
      <c r="E1714" s="199">
        <v>4.9457678300667961E-2</v>
      </c>
      <c r="F1714" s="199">
        <v>4.1732596258019151E-2</v>
      </c>
      <c r="G1714" s="199">
        <v>4.502367134840761E-2</v>
      </c>
      <c r="H1714" s="199">
        <v>4.622048684743741E-2</v>
      </c>
      <c r="I1714" s="199">
        <v>3.9192350959338089E-2</v>
      </c>
      <c r="J1714" s="199">
        <v>4.6380350075602539E-2</v>
      </c>
      <c r="K1714" s="199">
        <v>3.9614903614531259E-2</v>
      </c>
      <c r="L1714" s="199">
        <v>4.8117056416217115E-2</v>
      </c>
      <c r="M1714" s="199">
        <v>5.2613824145538203E-2</v>
      </c>
      <c r="N1714" s="199">
        <v>4.7023742246966815E-2</v>
      </c>
    </row>
    <row r="1715" spans="3:14">
      <c r="C1715" s="29">
        <v>9</v>
      </c>
      <c r="D1715" s="34" t="s">
        <v>2160</v>
      </c>
      <c r="E1715" s="199">
        <v>4.7430702119382717E-2</v>
      </c>
      <c r="F1715" s="199">
        <v>4.5588990366879252E-2</v>
      </c>
      <c r="G1715" s="199">
        <v>4.7577226012089982E-2</v>
      </c>
      <c r="H1715" s="199">
        <v>4.9966795481317335E-2</v>
      </c>
      <c r="I1715" s="199">
        <v>4.0392432514125935E-2</v>
      </c>
      <c r="J1715" s="199">
        <v>4.4742292835207392E-2</v>
      </c>
      <c r="K1715" s="199">
        <v>4.4845544520569262E-2</v>
      </c>
      <c r="L1715" s="199">
        <v>5.3614934321455067E-2</v>
      </c>
      <c r="M1715" s="199">
        <v>5.4268136900417784E-2</v>
      </c>
      <c r="N1715" s="199">
        <v>4.816403987971897E-2</v>
      </c>
    </row>
    <row r="1716" spans="3:14">
      <c r="C1716" s="29">
        <v>10</v>
      </c>
      <c r="D1716" s="34" t="s">
        <v>2161</v>
      </c>
      <c r="E1716" s="199">
        <v>4.3875967506259599E-2</v>
      </c>
      <c r="F1716" s="199">
        <v>4.7428481691940451E-2</v>
      </c>
      <c r="G1716" s="199">
        <v>4.8814126658595469E-2</v>
      </c>
      <c r="H1716" s="199">
        <v>5.1017066895543028E-2</v>
      </c>
      <c r="I1716" s="199">
        <v>4.5115766451040741E-2</v>
      </c>
      <c r="J1716" s="199">
        <v>4.254553344526766E-2</v>
      </c>
      <c r="K1716" s="199">
        <v>4.7300291387866115E-2</v>
      </c>
      <c r="L1716" s="199">
        <v>5.5734111619981853E-2</v>
      </c>
      <c r="M1716" s="199">
        <v>5.3862178243413959E-2</v>
      </c>
      <c r="N1716" s="199">
        <v>4.6575827978595004E-2</v>
      </c>
    </row>
    <row r="1717" spans="3:14">
      <c r="C1717" s="29">
        <v>11</v>
      </c>
      <c r="D1717" s="34" t="s">
        <v>2162</v>
      </c>
      <c r="E1717" s="199">
        <v>4.0243381538530465E-2</v>
      </c>
      <c r="F1717" s="199">
        <v>4.946869362422162E-2</v>
      </c>
      <c r="G1717" s="199">
        <v>5.1001653169965383E-2</v>
      </c>
      <c r="H1717" s="199">
        <v>4.9637319656202682E-2</v>
      </c>
      <c r="I1717" s="199">
        <v>4.4115294516866292E-2</v>
      </c>
      <c r="J1717" s="199">
        <v>4.3252754201406375E-2</v>
      </c>
      <c r="K1717" s="199">
        <v>4.8056582457513063E-2</v>
      </c>
      <c r="L1717" s="199">
        <v>5.7092651871783966E-2</v>
      </c>
      <c r="M1717" s="199">
        <v>5.2235678861137308E-2</v>
      </c>
      <c r="N1717" s="199">
        <v>5.9102636554548567E-2</v>
      </c>
    </row>
    <row r="1718" spans="3:14">
      <c r="C1718" s="29">
        <v>12</v>
      </c>
      <c r="D1718" s="34" t="s">
        <v>2163</v>
      </c>
      <c r="E1718" s="199">
        <v>3.8790475847317818E-2</v>
      </c>
      <c r="F1718" s="199">
        <v>5.0236175779924175E-2</v>
      </c>
      <c r="G1718" s="199">
        <v>4.9806332082178065E-2</v>
      </c>
      <c r="H1718" s="199">
        <v>5.1064450705720014E-2</v>
      </c>
      <c r="I1718" s="199">
        <v>4.6854936559785218E-2</v>
      </c>
      <c r="J1718" s="199">
        <v>4.0859359554855056E-2</v>
      </c>
      <c r="K1718" s="199">
        <v>4.8041747267044514E-2</v>
      </c>
      <c r="L1718" s="199">
        <v>5.6071552270438307E-2</v>
      </c>
      <c r="M1718" s="199">
        <v>5.1772261440372946E-2</v>
      </c>
      <c r="N1718" s="199">
        <v>5.8805701488163761E-2</v>
      </c>
    </row>
    <row r="1719" spans="3:14">
      <c r="C1719" s="29">
        <v>13</v>
      </c>
      <c r="D1719" s="34" t="s">
        <v>2164</v>
      </c>
      <c r="E1719" s="199">
        <v>3.8133139123530169E-2</v>
      </c>
      <c r="F1719" s="199">
        <v>4.8864891431158831E-2</v>
      </c>
      <c r="G1719" s="199">
        <v>4.9601129437812863E-2</v>
      </c>
      <c r="H1719" s="199">
        <v>4.9808809612328739E-2</v>
      </c>
      <c r="I1719" s="199">
        <v>4.2011266537300619E-2</v>
      </c>
      <c r="J1719" s="199">
        <v>4.1034885879076478E-2</v>
      </c>
      <c r="K1719" s="199">
        <v>4.7070085669104068E-2</v>
      </c>
      <c r="L1719" s="199">
        <v>5.6147848361815182E-2</v>
      </c>
      <c r="M1719" s="199">
        <v>5.4077440423589328E-2</v>
      </c>
      <c r="N1719" s="199">
        <v>5.9408222924559231E-2</v>
      </c>
    </row>
    <row r="1720" spans="3:14">
      <c r="C1720" s="29">
        <v>14</v>
      </c>
      <c r="D1720" s="34" t="s">
        <v>2165</v>
      </c>
      <c r="E1720" s="199">
        <v>3.5922649053580322E-2</v>
      </c>
      <c r="F1720" s="199">
        <v>4.9920073564836742E-2</v>
      </c>
      <c r="G1720" s="199">
        <v>4.9284177328169129E-2</v>
      </c>
      <c r="H1720" s="199">
        <v>5.1950103712584281E-2</v>
      </c>
      <c r="I1720" s="199">
        <v>4.1075382573224642E-2</v>
      </c>
      <c r="J1720" s="199">
        <v>4.0777464526095132E-2</v>
      </c>
      <c r="K1720" s="199">
        <v>4.8835104623987886E-2</v>
      </c>
      <c r="L1720" s="199">
        <v>5.6620452192194713E-2</v>
      </c>
      <c r="M1720" s="199">
        <v>5.4891606124004996E-2</v>
      </c>
      <c r="N1720" s="199">
        <v>5.7197675310993436E-2</v>
      </c>
    </row>
    <row r="1721" spans="3:14">
      <c r="C1721" s="29">
        <v>15</v>
      </c>
      <c r="D1721" s="34" t="s">
        <v>2166</v>
      </c>
      <c r="E1721" s="199">
        <v>3.7188913546268583E-2</v>
      </c>
      <c r="F1721" s="199">
        <v>4.8322669309710686E-2</v>
      </c>
      <c r="G1721" s="199">
        <v>4.8212301757050366E-2</v>
      </c>
      <c r="H1721" s="199">
        <v>4.8072160105413153E-2</v>
      </c>
      <c r="I1721" s="199">
        <v>4.7159768966121951E-2</v>
      </c>
      <c r="J1721" s="199">
        <v>4.063570976908585E-2</v>
      </c>
      <c r="K1721" s="199">
        <v>4.8789406164459752E-2</v>
      </c>
      <c r="L1721" s="199">
        <v>5.4124947359359563E-2</v>
      </c>
      <c r="M1721" s="199">
        <v>5.4173038482715555E-2</v>
      </c>
      <c r="N1721" s="199">
        <v>3.6979578737328281E-2</v>
      </c>
    </row>
    <row r="1722" spans="3:14">
      <c r="C1722" s="29">
        <v>16</v>
      </c>
      <c r="D1722" s="34" t="s">
        <v>2167</v>
      </c>
      <c r="E1722" s="199">
        <v>4.0101619810411472E-2</v>
      </c>
      <c r="F1722" s="199">
        <v>4.5814171028323823E-2</v>
      </c>
      <c r="G1722" s="199">
        <v>4.5431887228503401E-2</v>
      </c>
      <c r="H1722" s="199">
        <v>4.2843807784496764E-2</v>
      </c>
      <c r="I1722" s="199">
        <v>4.7763873225078385E-2</v>
      </c>
      <c r="J1722" s="199">
        <v>4.2917449811009999E-2</v>
      </c>
      <c r="K1722" s="199">
        <v>4.6742475212923483E-2</v>
      </c>
      <c r="L1722" s="199">
        <v>4.9575043021851617E-2</v>
      </c>
      <c r="M1722" s="199">
        <v>4.5292828180309247E-2</v>
      </c>
      <c r="N1722" s="199">
        <v>2.6399871625817164E-2</v>
      </c>
    </row>
    <row r="1723" spans="3:14">
      <c r="C1723" s="29">
        <v>17</v>
      </c>
      <c r="D1723" s="34" t="s">
        <v>2168</v>
      </c>
      <c r="E1723" s="199">
        <v>4.6087110707795392E-2</v>
      </c>
      <c r="F1723" s="199">
        <v>4.9233710420764916E-2</v>
      </c>
      <c r="G1723" s="199">
        <v>4.5947851461606959E-2</v>
      </c>
      <c r="H1723" s="199">
        <v>4.2580896353502116E-2</v>
      </c>
      <c r="I1723" s="199">
        <v>5.1109045309958093E-2</v>
      </c>
      <c r="J1723" s="199">
        <v>5.1330929426225025E-2</v>
      </c>
      <c r="K1723" s="199">
        <v>5.162353483245246E-2</v>
      </c>
      <c r="L1723" s="199">
        <v>4.7504793228372678E-2</v>
      </c>
      <c r="M1723" s="199">
        <v>3.7236026944662694E-2</v>
      </c>
      <c r="N1723" s="199">
        <v>2.8248180784338345E-2</v>
      </c>
    </row>
    <row r="1724" spans="3:14">
      <c r="C1724" s="29">
        <v>18</v>
      </c>
      <c r="D1724" s="34" t="s">
        <v>2169</v>
      </c>
      <c r="E1724" s="199">
        <v>5.2099521565669785E-2</v>
      </c>
      <c r="F1724" s="199">
        <v>4.4963638455951735E-2</v>
      </c>
      <c r="G1724" s="199">
        <v>4.5044592364249174E-2</v>
      </c>
      <c r="H1724" s="199">
        <v>4.2838250792887105E-2</v>
      </c>
      <c r="I1724" s="199">
        <v>4.8554612479308312E-2</v>
      </c>
      <c r="J1724" s="199">
        <v>5.7941901025086257E-2</v>
      </c>
      <c r="K1724" s="199">
        <v>4.6350123465005111E-2</v>
      </c>
      <c r="L1724" s="199">
        <v>4.4801188627681739E-2</v>
      </c>
      <c r="M1724" s="199">
        <v>3.6042466856286128E-2</v>
      </c>
      <c r="N1724" s="199">
        <v>2.5649998953471337E-2</v>
      </c>
    </row>
    <row r="1725" spans="3:14">
      <c r="C1725" s="29">
        <v>19</v>
      </c>
      <c r="D1725" s="34" t="s">
        <v>2170</v>
      </c>
      <c r="E1725" s="199">
        <v>5.4300912836974115E-2</v>
      </c>
      <c r="F1725" s="199">
        <v>4.2021777861777729E-2</v>
      </c>
      <c r="G1725" s="199">
        <v>4.3540692694578442E-2</v>
      </c>
      <c r="H1725" s="199">
        <v>4.2194297044744068E-2</v>
      </c>
      <c r="I1725" s="199">
        <v>4.1865408935952399E-2</v>
      </c>
      <c r="J1725" s="199">
        <v>5.4901928676629741E-2</v>
      </c>
      <c r="K1725" s="199">
        <v>4.1018520846056117E-2</v>
      </c>
      <c r="L1725" s="199">
        <v>4.160579566378534E-2</v>
      </c>
      <c r="M1725" s="199">
        <v>3.4442365195911054E-2</v>
      </c>
      <c r="N1725" s="199">
        <v>4.0148746607502915E-2</v>
      </c>
    </row>
    <row r="1726" spans="3:14">
      <c r="C1726" s="29">
        <v>20</v>
      </c>
      <c r="D1726" s="34" t="s">
        <v>2171</v>
      </c>
      <c r="E1726" s="199">
        <v>5.2398414527257742E-2</v>
      </c>
      <c r="F1726" s="199">
        <v>3.9745418591495892E-2</v>
      </c>
      <c r="G1726" s="199">
        <v>4.1719277558656238E-2</v>
      </c>
      <c r="H1726" s="199">
        <v>4.0548053218531874E-2</v>
      </c>
      <c r="I1726" s="199">
        <v>3.5676512648833918E-2</v>
      </c>
      <c r="J1726" s="199">
        <v>5.6764752793762779E-2</v>
      </c>
      <c r="K1726" s="199">
        <v>3.8641810550843855E-2</v>
      </c>
      <c r="L1726" s="199">
        <v>3.991245437137577E-2</v>
      </c>
      <c r="M1726" s="199">
        <v>3.3544676104115934E-2</v>
      </c>
      <c r="N1726" s="199">
        <v>4.4060531217950054E-2</v>
      </c>
    </row>
    <row r="1727" spans="3:14">
      <c r="C1727" s="29">
        <v>21</v>
      </c>
      <c r="D1727" s="34" t="s">
        <v>2172</v>
      </c>
      <c r="E1727" s="199">
        <v>5.1475108465128129E-2</v>
      </c>
      <c r="F1727" s="199">
        <v>3.7752711285888862E-2</v>
      </c>
      <c r="G1727" s="199">
        <v>4.026298792411822E-2</v>
      </c>
      <c r="H1727" s="199">
        <v>3.8633699485303083E-2</v>
      </c>
      <c r="I1727" s="199">
        <v>3.6111376465170257E-2</v>
      </c>
      <c r="J1727" s="199">
        <v>5.1761888136581093E-2</v>
      </c>
      <c r="K1727" s="199">
        <v>3.7827480051819927E-2</v>
      </c>
      <c r="L1727" s="199">
        <v>3.684066840074298E-2</v>
      </c>
      <c r="M1727" s="199">
        <v>3.3158203462648299E-2</v>
      </c>
      <c r="N1727" s="199">
        <v>5.0329377454981818E-2</v>
      </c>
    </row>
    <row r="1728" spans="3:14">
      <c r="C1728" s="29">
        <v>22</v>
      </c>
      <c r="D1728" s="34" t="s">
        <v>2173</v>
      </c>
      <c r="E1728" s="199">
        <v>4.7371054796861711E-2</v>
      </c>
      <c r="F1728" s="199">
        <v>3.6523954045947625E-2</v>
      </c>
      <c r="G1728" s="199">
        <v>3.7878081743094996E-2</v>
      </c>
      <c r="H1728" s="199">
        <v>3.836833819779234E-2</v>
      </c>
      <c r="I1728" s="199">
        <v>4.0792079490254055E-2</v>
      </c>
      <c r="J1728" s="199">
        <v>4.5255228312686947E-2</v>
      </c>
      <c r="K1728" s="199">
        <v>3.7325122330134734E-2</v>
      </c>
      <c r="L1728" s="199">
        <v>3.3760029001860703E-2</v>
      </c>
      <c r="M1728" s="199">
        <v>3.2929450964024803E-2</v>
      </c>
      <c r="N1728" s="199">
        <v>4.7975943794433866E-2</v>
      </c>
    </row>
    <row r="1729" spans="1:14">
      <c r="C1729" s="29">
        <v>23</v>
      </c>
      <c r="D1729" s="34" t="s">
        <v>2174</v>
      </c>
      <c r="E1729" s="199">
        <v>4.1804304898387476E-2</v>
      </c>
      <c r="F1729" s="199">
        <v>3.569397903131756E-2</v>
      </c>
      <c r="G1729" s="199">
        <v>3.5648290682586174E-2</v>
      </c>
      <c r="H1729" s="199">
        <v>3.7148907178760779E-2</v>
      </c>
      <c r="I1729" s="199">
        <v>4.3284063025311917E-2</v>
      </c>
      <c r="J1729" s="199">
        <v>3.8279867089061469E-2</v>
      </c>
      <c r="K1729" s="199">
        <v>3.7136472495784598E-2</v>
      </c>
      <c r="L1729" s="199">
        <v>3.0280429624414584E-2</v>
      </c>
      <c r="M1729" s="199">
        <v>3.2818613841466435E-2</v>
      </c>
      <c r="N1729" s="199">
        <v>4.6742714416281195E-2</v>
      </c>
    </row>
    <row r="1730" spans="1:14">
      <c r="C1730" s="29">
        <v>24</v>
      </c>
      <c r="D1730" s="34" t="s">
        <v>2175</v>
      </c>
      <c r="E1730" s="199">
        <v>3.5609683197623365E-2</v>
      </c>
      <c r="F1730" s="199">
        <v>3.5954930372385348E-2</v>
      </c>
      <c r="G1730" s="199">
        <v>3.4330017015162043E-2</v>
      </c>
      <c r="H1730" s="199">
        <v>3.6600975855528739E-2</v>
      </c>
      <c r="I1730" s="199">
        <v>4.5385239438868838E-2</v>
      </c>
      <c r="J1730" s="199">
        <v>3.4003445326516418E-2</v>
      </c>
      <c r="K1730" s="199">
        <v>3.7296796659444777E-2</v>
      </c>
      <c r="L1730" s="199">
        <v>2.7936418189372123E-2</v>
      </c>
      <c r="M1730" s="199">
        <v>3.3321169840444496E-2</v>
      </c>
      <c r="N1730" s="199">
        <v>5.1423069677878477E-2</v>
      </c>
    </row>
    <row r="1731" spans="1:14">
      <c r="A1731" s="16" t="s">
        <v>440</v>
      </c>
      <c r="B1731" s="16" t="s">
        <v>309</v>
      </c>
      <c r="C1731" s="29">
        <v>1</v>
      </c>
      <c r="D1731" s="34" t="s">
        <v>2176</v>
      </c>
      <c r="E1731" s="199">
        <v>3.2937911016139097E-2</v>
      </c>
      <c r="F1731" s="199">
        <v>3.3876528893429375E-2</v>
      </c>
      <c r="G1731" s="199">
        <v>3.295920118295606E-2</v>
      </c>
      <c r="H1731" s="199">
        <v>3.3456247892070863E-2</v>
      </c>
      <c r="I1731" s="199">
        <v>4.0636501560760367E-2</v>
      </c>
      <c r="J1731" s="199">
        <v>3.2077579268823389E-2</v>
      </c>
      <c r="K1731" s="199">
        <v>3.6635893501714208E-2</v>
      </c>
      <c r="L1731" s="199">
        <v>2.7635195743181434E-2</v>
      </c>
      <c r="M1731" s="199">
        <v>3.3535679284837389E-2</v>
      </c>
      <c r="N1731" s="199">
        <v>5.0741858764626079E-2</v>
      </c>
    </row>
    <row r="1732" spans="1:14">
      <c r="C1732" s="29">
        <v>2</v>
      </c>
      <c r="D1732" s="34" t="s">
        <v>2177</v>
      </c>
      <c r="E1732" s="199">
        <v>3.2138420351702411E-2</v>
      </c>
      <c r="F1732" s="199">
        <v>3.4045599143613554E-2</v>
      </c>
      <c r="G1732" s="199">
        <v>3.2080552835797645E-2</v>
      </c>
      <c r="H1732" s="199">
        <v>3.2019532048076262E-2</v>
      </c>
      <c r="I1732" s="199">
        <v>3.9986167362400508E-2</v>
      </c>
      <c r="J1732" s="199">
        <v>3.0376785673431973E-2</v>
      </c>
      <c r="K1732" s="199">
        <v>3.586347205010737E-2</v>
      </c>
      <c r="L1732" s="199">
        <v>2.6328329798115384E-2</v>
      </c>
      <c r="M1732" s="199">
        <v>3.3409776249698174E-2</v>
      </c>
      <c r="N1732" s="199">
        <v>4.4116284853512121E-2</v>
      </c>
    </row>
    <row r="1733" spans="1:14">
      <c r="C1733" s="29">
        <v>3</v>
      </c>
      <c r="D1733" s="34" t="s">
        <v>2178</v>
      </c>
      <c r="E1733" s="199">
        <v>3.2243627559830304E-2</v>
      </c>
      <c r="F1733" s="199">
        <v>3.3474946941101667E-2</v>
      </c>
      <c r="G1733" s="199">
        <v>3.2145306080171368E-2</v>
      </c>
      <c r="H1733" s="199">
        <v>3.2659046842888652E-2</v>
      </c>
      <c r="I1733" s="199">
        <v>4.1830240943467094E-2</v>
      </c>
      <c r="J1733" s="199">
        <v>3.0784080600639595E-2</v>
      </c>
      <c r="K1733" s="199">
        <v>3.4356076159212323E-2</v>
      </c>
      <c r="L1733" s="199">
        <v>2.5431956444659846E-2</v>
      </c>
      <c r="M1733" s="199">
        <v>3.2773586294140532E-2</v>
      </c>
      <c r="N1733" s="199">
        <v>2.7537904567312341E-2</v>
      </c>
    </row>
    <row r="1734" spans="1:14">
      <c r="C1734" s="29">
        <v>4</v>
      </c>
      <c r="D1734" s="34" t="s">
        <v>2179</v>
      </c>
      <c r="E1734" s="199">
        <v>3.2620861946065324E-2</v>
      </c>
      <c r="F1734" s="199">
        <v>3.3161102347785507E-2</v>
      </c>
      <c r="G1734" s="199">
        <v>3.2254110299775554E-2</v>
      </c>
      <c r="H1734" s="199">
        <v>3.1852227328244338E-2</v>
      </c>
      <c r="I1734" s="199">
        <v>4.0897358297156149E-2</v>
      </c>
      <c r="J1734" s="199">
        <v>3.221658594028147E-2</v>
      </c>
      <c r="K1734" s="199">
        <v>3.4643381844556759E-2</v>
      </c>
      <c r="L1734" s="199">
        <v>2.5202600701650611E-2</v>
      </c>
      <c r="M1734" s="199">
        <v>3.2971827256029707E-2</v>
      </c>
      <c r="N1734" s="199">
        <v>2.3906869658326495E-2</v>
      </c>
    </row>
    <row r="1735" spans="1:14">
      <c r="C1735" s="29">
        <v>5</v>
      </c>
      <c r="D1735" s="34" t="s">
        <v>2180</v>
      </c>
      <c r="E1735" s="199">
        <v>3.3646163048129542E-2</v>
      </c>
      <c r="F1735" s="199">
        <v>3.4307887129096291E-2</v>
      </c>
      <c r="G1735" s="199">
        <v>3.4166971189392166E-2</v>
      </c>
      <c r="H1735" s="199">
        <v>3.2335244032067514E-2</v>
      </c>
      <c r="I1735" s="199">
        <v>4.4117604117086859E-2</v>
      </c>
      <c r="J1735" s="199">
        <v>3.4113564201890684E-2</v>
      </c>
      <c r="K1735" s="199">
        <v>3.4824089639712917E-2</v>
      </c>
      <c r="L1735" s="199">
        <v>2.9081662458328134E-2</v>
      </c>
      <c r="M1735" s="199">
        <v>3.5157150182713759E-2</v>
      </c>
      <c r="N1735" s="199">
        <v>2.1628649166255891E-2</v>
      </c>
    </row>
    <row r="1736" spans="1:14">
      <c r="C1736" s="29">
        <v>6</v>
      </c>
      <c r="D1736" s="34" t="s">
        <v>2181</v>
      </c>
      <c r="E1736" s="199">
        <v>3.7789120242821758E-2</v>
      </c>
      <c r="F1736" s="199">
        <v>3.634472609015145E-2</v>
      </c>
      <c r="G1736" s="199">
        <v>3.7440926506688045E-2</v>
      </c>
      <c r="H1736" s="199">
        <v>3.5234249522344184E-2</v>
      </c>
      <c r="I1736" s="199">
        <v>4.1228156898374474E-2</v>
      </c>
      <c r="J1736" s="199">
        <v>3.8753886094826898E-2</v>
      </c>
      <c r="K1736" s="199">
        <v>3.7051031885590592E-2</v>
      </c>
      <c r="L1736" s="199">
        <v>3.8375682279209643E-2</v>
      </c>
      <c r="M1736" s="199">
        <v>4.3358201894402648E-2</v>
      </c>
      <c r="N1736" s="199">
        <v>2.9623716844207424E-2</v>
      </c>
    </row>
    <row r="1737" spans="1:14">
      <c r="C1737" s="29">
        <v>7</v>
      </c>
      <c r="D1737" s="34" t="s">
        <v>2182</v>
      </c>
      <c r="E1737" s="199">
        <v>4.7006608630654624E-2</v>
      </c>
      <c r="F1737" s="199">
        <v>4.0313622297959519E-2</v>
      </c>
      <c r="G1737" s="199">
        <v>4.3406377015874076E-2</v>
      </c>
      <c r="H1737" s="199">
        <v>4.3709136020208289E-2</v>
      </c>
      <c r="I1737" s="199">
        <v>4.006278360000929E-2</v>
      </c>
      <c r="J1737" s="199">
        <v>4.5581531830482733E-2</v>
      </c>
      <c r="K1737" s="199">
        <v>4.0212411660707187E-2</v>
      </c>
      <c r="L1737" s="199">
        <v>4.4312801036452173E-2</v>
      </c>
      <c r="M1737" s="199">
        <v>4.7587676153698154E-2</v>
      </c>
      <c r="N1737" s="199">
        <v>4.4368560021087466E-2</v>
      </c>
    </row>
    <row r="1738" spans="1:14">
      <c r="C1738" s="29">
        <v>8</v>
      </c>
      <c r="D1738" s="34" t="s">
        <v>2183</v>
      </c>
      <c r="E1738" s="199">
        <v>4.8721037815977246E-2</v>
      </c>
      <c r="F1738" s="199">
        <v>4.3065862135448781E-2</v>
      </c>
      <c r="G1738" s="199">
        <v>4.7279784710915651E-2</v>
      </c>
      <c r="H1738" s="199">
        <v>4.8192472509718476E-2</v>
      </c>
      <c r="I1738" s="199">
        <v>4.5024206420551952E-2</v>
      </c>
      <c r="J1738" s="199">
        <v>4.6795402036724325E-2</v>
      </c>
      <c r="K1738" s="199">
        <v>4.2855551911636078E-2</v>
      </c>
      <c r="L1738" s="199">
        <v>4.885531373217545E-2</v>
      </c>
      <c r="M1738" s="199">
        <v>5.224750684456958E-2</v>
      </c>
      <c r="N1738" s="199">
        <v>4.9161788205018993E-2</v>
      </c>
    </row>
    <row r="1739" spans="1:14">
      <c r="C1739" s="29">
        <v>9</v>
      </c>
      <c r="D1739" s="34" t="s">
        <v>2186</v>
      </c>
      <c r="E1739" s="199">
        <v>4.4984198478905585E-2</v>
      </c>
      <c r="F1739" s="199">
        <v>4.805531478549821E-2</v>
      </c>
      <c r="G1739" s="199">
        <v>4.8912529947358875E-2</v>
      </c>
      <c r="H1739" s="199">
        <v>5.1245316868180117E-2</v>
      </c>
      <c r="I1739" s="199">
        <v>4.6876066769869162E-2</v>
      </c>
      <c r="J1739" s="199">
        <v>4.6540797875257438E-2</v>
      </c>
      <c r="K1739" s="199">
        <v>4.6486259097510058E-2</v>
      </c>
      <c r="L1739" s="199">
        <v>5.2277678859309902E-2</v>
      </c>
      <c r="M1739" s="199">
        <v>5.2700390658178345E-2</v>
      </c>
      <c r="N1739" s="199">
        <v>4.9046521983234267E-2</v>
      </c>
    </row>
    <row r="1740" spans="1:14">
      <c r="C1740" s="29">
        <v>10</v>
      </c>
      <c r="D1740" s="34" t="s">
        <v>2187</v>
      </c>
      <c r="E1740" s="199">
        <v>4.3360953759563281E-2</v>
      </c>
      <c r="F1740" s="199">
        <v>4.866474032937549E-2</v>
      </c>
      <c r="G1740" s="199">
        <v>4.9692959822688988E-2</v>
      </c>
      <c r="H1740" s="199">
        <v>5.158586712474704E-2</v>
      </c>
      <c r="I1740" s="199">
        <v>4.3039136714375918E-2</v>
      </c>
      <c r="J1740" s="199">
        <v>4.0574415515191635E-2</v>
      </c>
      <c r="K1740" s="199">
        <v>4.7504830548030785E-2</v>
      </c>
      <c r="L1740" s="199">
        <v>5.4360026769308033E-2</v>
      </c>
      <c r="M1740" s="199">
        <v>5.0754191720035709E-2</v>
      </c>
      <c r="N1740" s="199">
        <v>4.6667629700560986E-2</v>
      </c>
    </row>
    <row r="1741" spans="1:14">
      <c r="C1741" s="29">
        <v>11</v>
      </c>
      <c r="D1741" s="34" t="s">
        <v>2188</v>
      </c>
      <c r="E1741" s="199">
        <v>4.0023668578947895E-2</v>
      </c>
      <c r="F1741" s="199">
        <v>5.1272565192669636E-2</v>
      </c>
      <c r="G1741" s="199">
        <v>5.1353783567417155E-2</v>
      </c>
      <c r="H1741" s="199">
        <v>5.0402173501614231E-2</v>
      </c>
      <c r="I1741" s="199">
        <v>3.8867931821838189E-2</v>
      </c>
      <c r="J1741" s="199">
        <v>4.1419746301168278E-2</v>
      </c>
      <c r="K1741" s="199">
        <v>4.9966521268981136E-2</v>
      </c>
      <c r="L1741" s="199">
        <v>5.5047155400598763E-2</v>
      </c>
      <c r="M1741" s="199">
        <v>5.2470277622450094E-2</v>
      </c>
      <c r="N1741" s="199">
        <v>4.3164370525801618E-2</v>
      </c>
    </row>
    <row r="1742" spans="1:14">
      <c r="C1742" s="29">
        <v>12</v>
      </c>
      <c r="D1742" s="34" t="s">
        <v>2189</v>
      </c>
      <c r="E1742" s="199">
        <v>3.9175373928718338E-2</v>
      </c>
      <c r="F1742" s="199">
        <v>5.0186423919452695E-2</v>
      </c>
      <c r="G1742" s="199">
        <v>5.0057867816055319E-2</v>
      </c>
      <c r="H1742" s="199">
        <v>5.1707965056907092E-2</v>
      </c>
      <c r="I1742" s="199">
        <v>3.787748271024588E-2</v>
      </c>
      <c r="J1742" s="199">
        <v>4.0922490869057034E-2</v>
      </c>
      <c r="K1742" s="199">
        <v>4.9086908539328115E-2</v>
      </c>
      <c r="L1742" s="199">
        <v>5.5741742755239382E-2</v>
      </c>
      <c r="M1742" s="199">
        <v>5.0736420118654223E-2</v>
      </c>
      <c r="N1742" s="199">
        <v>4.0709527631874839E-2</v>
      </c>
    </row>
    <row r="1743" spans="1:14">
      <c r="C1743" s="29">
        <v>13</v>
      </c>
      <c r="D1743" s="34" t="s">
        <v>2190</v>
      </c>
      <c r="E1743" s="199">
        <v>3.9215068389448736E-2</v>
      </c>
      <c r="F1743" s="199">
        <v>5.0146020583266573E-2</v>
      </c>
      <c r="G1743" s="199">
        <v>5.0082542868790582E-2</v>
      </c>
      <c r="H1743" s="199">
        <v>5.0407888001682902E-2</v>
      </c>
      <c r="I1743" s="199">
        <v>3.8196740208521318E-2</v>
      </c>
      <c r="J1743" s="199">
        <v>3.8980108175662144E-2</v>
      </c>
      <c r="K1743" s="199">
        <v>4.8210072017153154E-2</v>
      </c>
      <c r="L1743" s="199">
        <v>5.5056516348695607E-2</v>
      </c>
      <c r="M1743" s="199">
        <v>5.2234991632329093E-2</v>
      </c>
      <c r="N1743" s="199">
        <v>4.2906138447539724E-2</v>
      </c>
    </row>
    <row r="1744" spans="1:14">
      <c r="C1744" s="29">
        <v>14</v>
      </c>
      <c r="D1744" s="34" t="s">
        <v>2191</v>
      </c>
      <c r="E1744" s="199">
        <v>3.7191852113236321E-2</v>
      </c>
      <c r="F1744" s="199">
        <v>5.0747565679742881E-2</v>
      </c>
      <c r="G1744" s="199">
        <v>5.0360393722498918E-2</v>
      </c>
      <c r="H1744" s="199">
        <v>5.2977545918695586E-2</v>
      </c>
      <c r="I1744" s="199">
        <v>4.0170129762321413E-2</v>
      </c>
      <c r="J1744" s="199">
        <v>3.9272405671430817E-2</v>
      </c>
      <c r="K1744" s="199">
        <v>5.0148606571664568E-2</v>
      </c>
      <c r="L1744" s="199">
        <v>5.585148360264746E-2</v>
      </c>
      <c r="M1744" s="199">
        <v>5.3260404688565625E-2</v>
      </c>
      <c r="N1744" s="199">
        <v>4.8342415140084201E-2</v>
      </c>
    </row>
    <row r="1745" spans="1:14">
      <c r="C1745" s="29">
        <v>15</v>
      </c>
      <c r="D1745" s="34" t="s">
        <v>2192</v>
      </c>
      <c r="E1745" s="199">
        <v>3.8046806052511185E-2</v>
      </c>
      <c r="F1745" s="199">
        <v>4.7983915878508566E-2</v>
      </c>
      <c r="G1745" s="199">
        <v>4.8071964015514737E-2</v>
      </c>
      <c r="H1745" s="199">
        <v>4.7483761342787575E-2</v>
      </c>
      <c r="I1745" s="199">
        <v>4.4711623295062765E-2</v>
      </c>
      <c r="J1745" s="199">
        <v>4.0335743943338137E-2</v>
      </c>
      <c r="K1745" s="199">
        <v>5.0049892263017058E-2</v>
      </c>
      <c r="L1745" s="199">
        <v>5.3670332637536226E-2</v>
      </c>
      <c r="M1745" s="199">
        <v>5.2998586448494818E-2</v>
      </c>
      <c r="N1745" s="199">
        <v>5.1996086309678932E-2</v>
      </c>
    </row>
    <row r="1746" spans="1:14">
      <c r="C1746" s="29">
        <v>16</v>
      </c>
      <c r="D1746" s="34" t="s">
        <v>2193</v>
      </c>
      <c r="E1746" s="199">
        <v>4.1660378444465074E-2</v>
      </c>
      <c r="F1746" s="199">
        <v>4.6139814179050297E-2</v>
      </c>
      <c r="G1746" s="199">
        <v>4.4829015179292886E-2</v>
      </c>
      <c r="H1746" s="199">
        <v>4.2785593598220976E-2</v>
      </c>
      <c r="I1746" s="199">
        <v>4.3924742553450954E-2</v>
      </c>
      <c r="J1746" s="199">
        <v>4.2385281923414224E-2</v>
      </c>
      <c r="K1746" s="199">
        <v>4.8852647489995855E-2</v>
      </c>
      <c r="L1746" s="199">
        <v>4.9557735249260763E-2</v>
      </c>
      <c r="M1746" s="199">
        <v>4.5709893709136792E-2</v>
      </c>
      <c r="N1746" s="199">
        <v>4.7563549067817935E-2</v>
      </c>
    </row>
    <row r="1747" spans="1:14">
      <c r="C1747" s="29">
        <v>17</v>
      </c>
      <c r="D1747" s="34" t="s">
        <v>2194</v>
      </c>
      <c r="E1747" s="199">
        <v>4.73756989294256E-2</v>
      </c>
      <c r="F1747" s="199">
        <v>4.8422166297000108E-2</v>
      </c>
      <c r="G1747" s="199">
        <v>4.4836547827237436E-2</v>
      </c>
      <c r="H1747" s="199">
        <v>4.1361834392995921E-2</v>
      </c>
      <c r="I1747" s="199">
        <v>4.3954081983823827E-2</v>
      </c>
      <c r="J1747" s="199">
        <v>4.83197715153535E-2</v>
      </c>
      <c r="K1747" s="199">
        <v>5.0329568675902686E-2</v>
      </c>
      <c r="L1747" s="199">
        <v>4.6932514922827982E-2</v>
      </c>
      <c r="M1747" s="199">
        <v>3.6516469101526242E-2</v>
      </c>
      <c r="N1747" s="199">
        <v>3.9263487562715103E-2</v>
      </c>
    </row>
    <row r="1748" spans="1:14">
      <c r="C1748" s="29">
        <v>18</v>
      </c>
      <c r="D1748" s="34" t="s">
        <v>2195</v>
      </c>
      <c r="E1748" s="199">
        <v>5.2996059227105007E-2</v>
      </c>
      <c r="F1748" s="199">
        <v>4.3917091635408204E-2</v>
      </c>
      <c r="G1748" s="199">
        <v>4.3182005460031113E-2</v>
      </c>
      <c r="H1748" s="199">
        <v>4.0602597992784685E-2</v>
      </c>
      <c r="I1748" s="199">
        <v>4.1407947815303978E-2</v>
      </c>
      <c r="J1748" s="199">
        <v>5.5443446145471018E-2</v>
      </c>
      <c r="K1748" s="199">
        <v>4.4750218149509385E-2</v>
      </c>
      <c r="L1748" s="199">
        <v>4.3885313568484012E-2</v>
      </c>
      <c r="M1748" s="199">
        <v>3.5873687800855272E-2</v>
      </c>
      <c r="N1748" s="199">
        <v>4.6477306404125757E-2</v>
      </c>
    </row>
    <row r="1749" spans="1:14">
      <c r="C1749" s="29">
        <v>19</v>
      </c>
      <c r="D1749" s="34" t="s">
        <v>2196</v>
      </c>
      <c r="E1749" s="199">
        <v>5.4156489730323228E-2</v>
      </c>
      <c r="F1749" s="199">
        <v>4.0274232895559509E-2</v>
      </c>
      <c r="G1749" s="199">
        <v>4.2084021920481003E-2</v>
      </c>
      <c r="H1749" s="199">
        <v>4.0388162792188473E-2</v>
      </c>
      <c r="I1749" s="199">
        <v>4.5697761874230615E-2</v>
      </c>
      <c r="J1749" s="199">
        <v>5.5130525947129173E-2</v>
      </c>
      <c r="K1749" s="199">
        <v>3.8873643883575192E-2</v>
      </c>
      <c r="L1749" s="199">
        <v>4.1546340522558151E-2</v>
      </c>
      <c r="M1749" s="199">
        <v>3.5248177493076169E-2</v>
      </c>
      <c r="N1749" s="199">
        <v>4.1435675044565141E-2</v>
      </c>
    </row>
    <row r="1750" spans="1:14">
      <c r="C1750" s="29">
        <v>20</v>
      </c>
      <c r="D1750" s="34" t="s">
        <v>2197</v>
      </c>
      <c r="E1750" s="199">
        <v>5.3093743668995573E-2</v>
      </c>
      <c r="F1750" s="199">
        <v>3.9338603033859311E-2</v>
      </c>
      <c r="G1750" s="199">
        <v>4.0357099815674737E-2</v>
      </c>
      <c r="H1750" s="199">
        <v>3.9701404358194595E-2</v>
      </c>
      <c r="I1750" s="199">
        <v>4.4384579028536701E-2</v>
      </c>
      <c r="J1750" s="199">
        <v>5.1630467075865695E-2</v>
      </c>
      <c r="K1750" s="199">
        <v>3.6528914147902991E-2</v>
      </c>
      <c r="L1750" s="199">
        <v>4.0427644651802513E-2</v>
      </c>
      <c r="M1750" s="199">
        <v>3.4526216616297116E-2</v>
      </c>
      <c r="N1750" s="199">
        <v>4.3841075579793568E-2</v>
      </c>
    </row>
    <row r="1751" spans="1:14">
      <c r="C1751" s="29">
        <v>21</v>
      </c>
      <c r="D1751" s="34" t="s">
        <v>2198</v>
      </c>
      <c r="E1751" s="199">
        <v>4.9751025910474804E-2</v>
      </c>
      <c r="F1751" s="199">
        <v>3.7758483487728936E-2</v>
      </c>
      <c r="G1751" s="199">
        <v>3.923891451515045E-2</v>
      </c>
      <c r="H1751" s="199">
        <v>3.7570970837548262E-2</v>
      </c>
      <c r="I1751" s="199">
        <v>3.9086239431721653E-2</v>
      </c>
      <c r="J1751" s="199">
        <v>5.1878291265215704E-2</v>
      </c>
      <c r="K1751" s="199">
        <v>3.5785674663451075E-2</v>
      </c>
      <c r="L1751" s="199">
        <v>3.7271866311244309E-2</v>
      </c>
      <c r="M1751" s="199">
        <v>3.3452661710308883E-2</v>
      </c>
      <c r="N1751" s="199">
        <v>4.2067703268407974E-2</v>
      </c>
    </row>
    <row r="1752" spans="1:14">
      <c r="C1752" s="29">
        <v>22</v>
      </c>
      <c r="D1752" s="34" t="s">
        <v>2199</v>
      </c>
      <c r="E1752" s="199">
        <v>4.6113416352703752E-2</v>
      </c>
      <c r="F1752" s="199">
        <v>3.6583757771577873E-2</v>
      </c>
      <c r="G1752" s="199">
        <v>3.7515139355457222E-2</v>
      </c>
      <c r="H1752" s="199">
        <v>3.8583116300204084E-2</v>
      </c>
      <c r="I1752" s="199">
        <v>3.845565025285444E-2</v>
      </c>
      <c r="J1752" s="199">
        <v>4.4614106368603003E-2</v>
      </c>
      <c r="K1752" s="199">
        <v>3.6044328192228005E-2</v>
      </c>
      <c r="L1752" s="199">
        <v>3.3893552704565615E-2</v>
      </c>
      <c r="M1752" s="199">
        <v>3.4096277358462553E-2</v>
      </c>
      <c r="N1752" s="199">
        <v>4.1200972763515115E-2</v>
      </c>
    </row>
    <row r="1753" spans="1:14">
      <c r="C1753" s="29">
        <v>23</v>
      </c>
      <c r="D1753" s="34" t="s">
        <v>2200</v>
      </c>
      <c r="E1753" s="199">
        <v>4.0590399566805914E-2</v>
      </c>
      <c r="F1753" s="199">
        <v>3.6140809887697474E-2</v>
      </c>
      <c r="G1753" s="199">
        <v>3.4390085218460334E-2</v>
      </c>
      <c r="H1753" s="199">
        <v>3.6719623485735285E-2</v>
      </c>
      <c r="I1753" s="199">
        <v>3.8844571517086333E-2</v>
      </c>
      <c r="J1753" s="199">
        <v>3.8358150916620162E-2</v>
      </c>
      <c r="K1753" s="199">
        <v>3.535309491503693E-2</v>
      </c>
      <c r="L1753" s="199">
        <v>3.0612665542985792E-2</v>
      </c>
      <c r="M1753" s="199">
        <v>3.4044297510290429E-2</v>
      </c>
      <c r="N1753" s="199">
        <v>4.5301114389066685E-2</v>
      </c>
    </row>
    <row r="1754" spans="1:14">
      <c r="C1754" s="29">
        <v>24</v>
      </c>
      <c r="D1754" s="34" t="s">
        <v>2201</v>
      </c>
      <c r="E1754" s="199">
        <v>3.5161116257049277E-2</v>
      </c>
      <c r="F1754" s="199">
        <v>3.5778219465018253E-2</v>
      </c>
      <c r="G1754" s="199">
        <v>3.3301899126319826E-2</v>
      </c>
      <c r="H1754" s="199">
        <v>3.7018022231894758E-2</v>
      </c>
      <c r="I1754" s="199">
        <v>4.072229506095023E-2</v>
      </c>
      <c r="J1754" s="199">
        <v>3.3494834844121024E-2</v>
      </c>
      <c r="K1754" s="199">
        <v>3.5586910923475754E-2</v>
      </c>
      <c r="L1754" s="199">
        <v>2.8643887959162635E-2</v>
      </c>
      <c r="M1754" s="199">
        <v>3.4335651651248765E-2</v>
      </c>
      <c r="N1754" s="199">
        <v>3.8930794100871344E-2</v>
      </c>
    </row>
    <row r="1755" spans="1:14">
      <c r="A1755" s="16" t="s">
        <v>440</v>
      </c>
      <c r="B1755" s="16" t="s">
        <v>310</v>
      </c>
      <c r="C1755" s="29">
        <v>1</v>
      </c>
      <c r="D1755" s="34" t="s">
        <v>2202</v>
      </c>
      <c r="E1755" s="199">
        <v>3.3229843614190659E-2</v>
      </c>
      <c r="F1755" s="199">
        <v>3.3711812253938198E-2</v>
      </c>
      <c r="G1755" s="199">
        <v>3.1645818362991268E-2</v>
      </c>
      <c r="H1755" s="199">
        <v>3.4818174163318449E-2</v>
      </c>
      <c r="I1755" s="199">
        <v>3.9671263918777615E-2</v>
      </c>
      <c r="J1755" s="199">
        <v>2.9366415199622586E-2</v>
      </c>
      <c r="K1755" s="199">
        <v>3.5272936550343525E-2</v>
      </c>
      <c r="L1755" s="199">
        <v>2.6915497413222796E-2</v>
      </c>
      <c r="M1755" s="199">
        <v>3.2424412552916407E-2</v>
      </c>
      <c r="N1755" s="199">
        <v>3.4824144999311003E-2</v>
      </c>
    </row>
    <row r="1756" spans="1:14">
      <c r="C1756" s="29">
        <v>2</v>
      </c>
      <c r="D1756" s="34" t="s">
        <v>2203</v>
      </c>
      <c r="E1756" s="199">
        <v>3.2349050580861391E-2</v>
      </c>
      <c r="F1756" s="199">
        <v>3.3516079756680063E-2</v>
      </c>
      <c r="G1756" s="199">
        <v>3.1656181904383088E-2</v>
      </c>
      <c r="H1756" s="199">
        <v>3.349420494883696E-2</v>
      </c>
      <c r="I1756" s="199">
        <v>3.9810667338919491E-2</v>
      </c>
      <c r="J1756" s="199">
        <v>2.8882525672765197E-2</v>
      </c>
      <c r="K1756" s="199">
        <v>3.4841269122506957E-2</v>
      </c>
      <c r="L1756" s="199">
        <v>2.5544683294966126E-2</v>
      </c>
      <c r="M1756" s="199">
        <v>3.2727997720053373E-2</v>
      </c>
      <c r="N1756" s="199">
        <v>3.2440520998044474E-2</v>
      </c>
    </row>
    <row r="1757" spans="1:14">
      <c r="C1757" s="29">
        <v>3</v>
      </c>
      <c r="D1757" s="34" t="s">
        <v>2204</v>
      </c>
      <c r="E1757" s="199">
        <v>3.2113078848510175E-2</v>
      </c>
      <c r="F1757" s="199">
        <v>3.3694650994429483E-2</v>
      </c>
      <c r="G1757" s="199">
        <v>3.1181930980341326E-2</v>
      </c>
      <c r="H1757" s="199">
        <v>3.2823895613762782E-2</v>
      </c>
      <c r="I1757" s="199">
        <v>3.7077414252984102E-2</v>
      </c>
      <c r="J1757" s="199">
        <v>2.8557439816999427E-2</v>
      </c>
      <c r="K1757" s="199">
        <v>3.4470732478321761E-2</v>
      </c>
      <c r="L1757" s="199">
        <v>2.503589151555706E-2</v>
      </c>
      <c r="M1757" s="199">
        <v>3.1935153621188817E-2</v>
      </c>
      <c r="N1757" s="199">
        <v>3.1851615870826827E-2</v>
      </c>
    </row>
    <row r="1758" spans="1:14">
      <c r="C1758" s="29">
        <v>4</v>
      </c>
      <c r="D1758" s="34" t="s">
        <v>2205</v>
      </c>
      <c r="E1758" s="199">
        <v>3.2052646721305256E-2</v>
      </c>
      <c r="F1758" s="199">
        <v>3.416441662072945E-2</v>
      </c>
      <c r="G1758" s="199">
        <v>3.2459306296831428E-2</v>
      </c>
      <c r="H1758" s="199">
        <v>3.2876993877781403E-2</v>
      </c>
      <c r="I1758" s="199">
        <v>3.3187752755652243E-2</v>
      </c>
      <c r="J1758" s="199">
        <v>2.9491282078031086E-2</v>
      </c>
      <c r="K1758" s="199">
        <v>3.5717390769963248E-2</v>
      </c>
      <c r="L1758" s="199">
        <v>2.5818901424804263E-2</v>
      </c>
      <c r="M1758" s="199">
        <v>3.2854063438128515E-2</v>
      </c>
      <c r="N1758" s="199">
        <v>2.7344162644283843E-2</v>
      </c>
    </row>
    <row r="1759" spans="1:14">
      <c r="C1759" s="29">
        <v>5</v>
      </c>
      <c r="D1759" s="34" t="s">
        <v>2206</v>
      </c>
      <c r="E1759" s="199">
        <v>3.3967131773582696E-2</v>
      </c>
      <c r="F1759" s="199">
        <v>3.5264098426298518E-2</v>
      </c>
      <c r="G1759" s="199">
        <v>3.4525969176049269E-2</v>
      </c>
      <c r="H1759" s="199">
        <v>3.3587126910869562E-2</v>
      </c>
      <c r="I1759" s="199">
        <v>3.555009813889478E-2</v>
      </c>
      <c r="J1759" s="199">
        <v>3.1317072074998099E-2</v>
      </c>
      <c r="K1759" s="199">
        <v>3.5240505968822666E-2</v>
      </c>
      <c r="L1759" s="199">
        <v>2.9612528751832491E-2</v>
      </c>
      <c r="M1759" s="199">
        <v>3.4621511328994409E-2</v>
      </c>
      <c r="N1759" s="199">
        <v>2.4493351665916676E-2</v>
      </c>
    </row>
    <row r="1760" spans="1:14">
      <c r="C1760" s="29">
        <v>6</v>
      </c>
      <c r="D1760" s="34" t="s">
        <v>2207</v>
      </c>
      <c r="E1760" s="199">
        <v>3.7212117891663239E-2</v>
      </c>
      <c r="F1760" s="199">
        <v>3.7077072908408851E-2</v>
      </c>
      <c r="G1760" s="199">
        <v>3.7864650372100572E-2</v>
      </c>
      <c r="H1760" s="199">
        <v>3.7232457731335045E-2</v>
      </c>
      <c r="I1760" s="199">
        <v>3.6852727103753431E-2</v>
      </c>
      <c r="J1760" s="199">
        <v>3.7819558640266919E-2</v>
      </c>
      <c r="K1760" s="199">
        <v>3.8530851531331532E-2</v>
      </c>
      <c r="L1760" s="199">
        <v>3.8796711841053329E-2</v>
      </c>
      <c r="M1760" s="199">
        <v>4.3795931730439525E-2</v>
      </c>
      <c r="N1760" s="199">
        <v>3.2244773813573831E-2</v>
      </c>
    </row>
    <row r="1761" spans="3:14">
      <c r="C1761" s="29">
        <v>7</v>
      </c>
      <c r="D1761" s="34" t="s">
        <v>2208</v>
      </c>
      <c r="E1761" s="199">
        <v>4.6585674109968764E-2</v>
      </c>
      <c r="F1761" s="199">
        <v>4.0646754822364815E-2</v>
      </c>
      <c r="G1761" s="199">
        <v>4.2867355844672494E-2</v>
      </c>
      <c r="H1761" s="199">
        <v>4.4447521843832716E-2</v>
      </c>
      <c r="I1761" s="199">
        <v>4.0569734265360674E-2</v>
      </c>
      <c r="J1761" s="199">
        <v>4.4289080349635898E-2</v>
      </c>
      <c r="K1761" s="199">
        <v>4.0849099037907136E-2</v>
      </c>
      <c r="L1761" s="199">
        <v>4.3502162214227418E-2</v>
      </c>
      <c r="M1761" s="199">
        <v>4.6393815114757715E-2</v>
      </c>
      <c r="N1761" s="199">
        <v>4.7287085427010295E-2</v>
      </c>
    </row>
    <row r="1762" spans="3:14">
      <c r="C1762" s="29">
        <v>8</v>
      </c>
      <c r="D1762" s="34" t="s">
        <v>2209</v>
      </c>
      <c r="E1762" s="199">
        <v>4.9220018034138627E-2</v>
      </c>
      <c r="F1762" s="199">
        <v>4.3771808729582883E-2</v>
      </c>
      <c r="G1762" s="199">
        <v>4.584549719584223E-2</v>
      </c>
      <c r="H1762" s="199">
        <v>4.7553657792600547E-2</v>
      </c>
      <c r="I1762" s="199">
        <v>4.7347216912278244E-2</v>
      </c>
      <c r="J1762" s="199">
        <v>4.7290799111844174E-2</v>
      </c>
      <c r="K1762" s="199">
        <v>4.0618872097150302E-2</v>
      </c>
      <c r="L1762" s="199">
        <v>4.7520709747311922E-2</v>
      </c>
      <c r="M1762" s="199">
        <v>5.1790911933799998E-2</v>
      </c>
      <c r="N1762" s="199">
        <v>4.8724413195134715E-2</v>
      </c>
    </row>
    <row r="1763" spans="3:14">
      <c r="C1763" s="29">
        <v>9</v>
      </c>
      <c r="D1763" s="34" t="s">
        <v>2210</v>
      </c>
      <c r="E1763" s="199">
        <v>4.6455378341972761E-2</v>
      </c>
      <c r="F1763" s="199">
        <v>4.7197509075622063E-2</v>
      </c>
      <c r="G1763" s="199">
        <v>4.7223529033918049E-2</v>
      </c>
      <c r="H1763" s="199">
        <v>4.9457433051048189E-2</v>
      </c>
      <c r="I1763" s="199">
        <v>4.7714924736065645E-2</v>
      </c>
      <c r="J1763" s="199">
        <v>4.4572683403526075E-2</v>
      </c>
      <c r="K1763" s="199">
        <v>4.3810136195504661E-2</v>
      </c>
      <c r="L1763" s="199">
        <v>5.0875708734643074E-2</v>
      </c>
      <c r="M1763" s="199">
        <v>5.0852676389057064E-2</v>
      </c>
      <c r="N1763" s="199">
        <v>5.2110894938937155E-2</v>
      </c>
    </row>
    <row r="1764" spans="3:14">
      <c r="C1764" s="29">
        <v>10</v>
      </c>
      <c r="D1764" s="34" t="s">
        <v>2211</v>
      </c>
      <c r="E1764" s="199">
        <v>4.2279312329955153E-2</v>
      </c>
      <c r="F1764" s="199">
        <v>5.0109503846997187E-2</v>
      </c>
      <c r="G1764" s="199">
        <v>5.0555689209359295E-2</v>
      </c>
      <c r="H1764" s="199">
        <v>5.2266747454025424E-2</v>
      </c>
      <c r="I1764" s="199">
        <v>4.8679618663474589E-2</v>
      </c>
      <c r="J1764" s="199">
        <v>4.2229323570336347E-2</v>
      </c>
      <c r="K1764" s="199">
        <v>4.8070056956208806E-2</v>
      </c>
      <c r="L1764" s="199">
        <v>5.4792568301538051E-2</v>
      </c>
      <c r="M1764" s="199">
        <v>5.29110702579903E-2</v>
      </c>
      <c r="N1764" s="199">
        <v>5.4493964415601781E-2</v>
      </c>
    </row>
    <row r="1765" spans="3:14">
      <c r="C1765" s="29">
        <v>11</v>
      </c>
      <c r="D1765" s="34" t="s">
        <v>2212</v>
      </c>
      <c r="E1765" s="199">
        <v>4.0875182498307391E-2</v>
      </c>
      <c r="F1765" s="199">
        <v>5.0771783439305711E-2</v>
      </c>
      <c r="G1765" s="199">
        <v>5.0769925388384658E-2</v>
      </c>
      <c r="H1765" s="199">
        <v>5.0367303303977609E-2</v>
      </c>
      <c r="I1765" s="199">
        <v>4.2548094179948946E-2</v>
      </c>
      <c r="J1765" s="199">
        <v>4.0531188020468775E-2</v>
      </c>
      <c r="K1765" s="199">
        <v>5.0242625600580314E-2</v>
      </c>
      <c r="L1765" s="199">
        <v>5.6128426395817839E-2</v>
      </c>
      <c r="M1765" s="199">
        <v>5.2506779294072735E-2</v>
      </c>
      <c r="N1765" s="199">
        <v>4.4532761729373697E-2</v>
      </c>
    </row>
    <row r="1766" spans="3:14">
      <c r="C1766" s="29">
        <v>12</v>
      </c>
      <c r="D1766" s="34" t="s">
        <v>2213</v>
      </c>
      <c r="E1766" s="199">
        <v>3.9020976848791494E-2</v>
      </c>
      <c r="F1766" s="199">
        <v>5.0783143709684724E-2</v>
      </c>
      <c r="G1766" s="199">
        <v>5.0180023350260318E-2</v>
      </c>
      <c r="H1766" s="199">
        <v>5.2012168277173393E-2</v>
      </c>
      <c r="I1766" s="199">
        <v>3.9748895763527282E-2</v>
      </c>
      <c r="J1766" s="199">
        <v>3.8768722404757358E-2</v>
      </c>
      <c r="K1766" s="199">
        <v>4.9725051632332089E-2</v>
      </c>
      <c r="L1766" s="199">
        <v>5.676002304910472E-2</v>
      </c>
      <c r="M1766" s="199">
        <v>5.1641280243846642E-2</v>
      </c>
      <c r="N1766" s="199">
        <v>5.2771888264401781E-2</v>
      </c>
    </row>
    <row r="1767" spans="3:14">
      <c r="C1767" s="29">
        <v>13</v>
      </c>
      <c r="D1767" s="34" t="s">
        <v>2214</v>
      </c>
      <c r="E1767" s="199">
        <v>3.8497923681582162E-2</v>
      </c>
      <c r="F1767" s="199">
        <v>4.8042888748070729E-2</v>
      </c>
      <c r="G1767" s="199">
        <v>4.9984123630340042E-2</v>
      </c>
      <c r="H1767" s="199">
        <v>5.0286699689212039E-2</v>
      </c>
      <c r="I1767" s="199">
        <v>4.0049823505809594E-2</v>
      </c>
      <c r="J1767" s="199">
        <v>3.6975249305834651E-2</v>
      </c>
      <c r="K1767" s="199">
        <v>4.8523395085128124E-2</v>
      </c>
      <c r="L1767" s="199">
        <v>5.5909577300721956E-2</v>
      </c>
      <c r="M1767" s="199">
        <v>5.3815057677512296E-2</v>
      </c>
      <c r="N1767" s="199">
        <v>5.9888934267485483E-2</v>
      </c>
    </row>
    <row r="1768" spans="3:14">
      <c r="C1768" s="29">
        <v>14</v>
      </c>
      <c r="D1768" s="34" t="s">
        <v>2215</v>
      </c>
      <c r="E1768" s="199">
        <v>3.6821878887353304E-2</v>
      </c>
      <c r="F1768" s="199">
        <v>4.8235822522503143E-2</v>
      </c>
      <c r="G1768" s="199">
        <v>4.8959960420283659E-2</v>
      </c>
      <c r="H1768" s="199">
        <v>5.2357588234099681E-2</v>
      </c>
      <c r="I1768" s="199">
        <v>4.2485766103877533E-2</v>
      </c>
      <c r="J1768" s="199">
        <v>3.8459113292353242E-2</v>
      </c>
      <c r="K1768" s="199">
        <v>4.7968215442563161E-2</v>
      </c>
      <c r="L1768" s="199">
        <v>5.5627327204209515E-2</v>
      </c>
      <c r="M1768" s="199">
        <v>5.3363716312993609E-2</v>
      </c>
      <c r="N1768" s="199">
        <v>5.054658103697765E-2</v>
      </c>
    </row>
    <row r="1769" spans="3:14">
      <c r="C1769" s="29">
        <v>15</v>
      </c>
      <c r="D1769" s="34" t="s">
        <v>2216</v>
      </c>
      <c r="E1769" s="199">
        <v>3.820166942964405E-2</v>
      </c>
      <c r="F1769" s="199">
        <v>4.7057611098737372E-2</v>
      </c>
      <c r="G1769" s="199">
        <v>4.6674054820305268E-2</v>
      </c>
      <c r="H1769" s="199">
        <v>4.7580488165415047E-2</v>
      </c>
      <c r="I1769" s="199">
        <v>4.3800359833339179E-2</v>
      </c>
      <c r="J1769" s="199">
        <v>3.8762006591567276E-2</v>
      </c>
      <c r="K1769" s="199">
        <v>4.6365101071718602E-2</v>
      </c>
      <c r="L1769" s="199">
        <v>5.2772082462580354E-2</v>
      </c>
      <c r="M1769" s="199">
        <v>5.4115707291058905E-2</v>
      </c>
      <c r="N1769" s="199">
        <v>4.6463339130888057E-2</v>
      </c>
    </row>
    <row r="1770" spans="3:14">
      <c r="C1770" s="29">
        <v>16</v>
      </c>
      <c r="D1770" s="34" t="s">
        <v>2217</v>
      </c>
      <c r="E1770" s="199">
        <v>4.0218975434232758E-2</v>
      </c>
      <c r="F1770" s="199">
        <v>4.4580028995786197E-2</v>
      </c>
      <c r="G1770" s="199">
        <v>4.4041139554484618E-2</v>
      </c>
      <c r="H1770" s="199">
        <v>4.1586065395574474E-2</v>
      </c>
      <c r="I1770" s="199">
        <v>4.7244959912473572E-2</v>
      </c>
      <c r="J1770" s="199">
        <v>4.1453299544491028E-2</v>
      </c>
      <c r="K1770" s="199">
        <v>4.5788423231164069E-2</v>
      </c>
      <c r="L1770" s="199">
        <v>4.9303504678897103E-2</v>
      </c>
      <c r="M1770" s="199">
        <v>4.6323688001210096E-2</v>
      </c>
      <c r="N1770" s="199">
        <v>3.6429216459510153E-2</v>
      </c>
    </row>
    <row r="1771" spans="3:14">
      <c r="C1771" s="29">
        <v>17</v>
      </c>
      <c r="D1771" s="34" t="s">
        <v>2218</v>
      </c>
      <c r="E1771" s="199">
        <v>4.7266416823399084E-2</v>
      </c>
      <c r="F1771" s="199">
        <v>4.9515932900060518E-2</v>
      </c>
      <c r="G1771" s="199">
        <v>4.5706778440714829E-2</v>
      </c>
      <c r="H1771" s="199">
        <v>3.9973880603941005E-2</v>
      </c>
      <c r="I1771" s="199">
        <v>4.5532607322547242E-2</v>
      </c>
      <c r="J1771" s="199">
        <v>4.9242947640199597E-2</v>
      </c>
      <c r="K1771" s="199">
        <v>5.0048171488775023E-2</v>
      </c>
      <c r="L1771" s="199">
        <v>4.7938334305611889E-2</v>
      </c>
      <c r="M1771" s="199">
        <v>3.6404860135141458E-2</v>
      </c>
      <c r="N1771" s="199">
        <v>3.1823335116129933E-2</v>
      </c>
    </row>
    <row r="1772" spans="3:14">
      <c r="C1772" s="29">
        <v>18</v>
      </c>
      <c r="D1772" s="34" t="s">
        <v>2219</v>
      </c>
      <c r="E1772" s="199">
        <v>5.2219918822470103E-2</v>
      </c>
      <c r="F1772" s="199">
        <v>4.4397145180591673E-2</v>
      </c>
      <c r="G1772" s="199">
        <v>4.502787886507055E-2</v>
      </c>
      <c r="H1772" s="199">
        <v>4.015944328720103E-2</v>
      </c>
      <c r="I1772" s="199">
        <v>3.9728026988056941E-2</v>
      </c>
      <c r="J1772" s="199">
        <v>5.6402125992921173E-2</v>
      </c>
      <c r="K1772" s="199">
        <v>4.571569161449527E-2</v>
      </c>
      <c r="L1772" s="199">
        <v>4.4777447464370332E-2</v>
      </c>
      <c r="M1772" s="199">
        <v>3.5637375957571459E-2</v>
      </c>
      <c r="N1772" s="199">
        <v>2.9924088354622926E-2</v>
      </c>
    </row>
    <row r="1773" spans="3:14">
      <c r="C1773" s="29">
        <v>19</v>
      </c>
      <c r="D1773" s="34" t="s">
        <v>2220</v>
      </c>
      <c r="E1773" s="199">
        <v>5.3369363502212351E-2</v>
      </c>
      <c r="F1773" s="199">
        <v>4.053984361042165E-2</v>
      </c>
      <c r="G1773" s="199">
        <v>4.3924530939295187E-2</v>
      </c>
      <c r="H1773" s="199">
        <v>3.9192087413692123E-2</v>
      </c>
      <c r="I1773" s="199">
        <v>3.7865558339913959E-2</v>
      </c>
      <c r="J1773" s="199">
        <v>5.6878334519366198E-2</v>
      </c>
      <c r="K1773" s="199">
        <v>4.0174223811550724E-2</v>
      </c>
      <c r="L1773" s="199">
        <v>4.1786614577959166E-2</v>
      </c>
      <c r="M1773" s="199">
        <v>3.5031999572713864E-2</v>
      </c>
      <c r="N1773" s="199">
        <v>3.2894676647000451E-2</v>
      </c>
    </row>
    <row r="1774" spans="3:14">
      <c r="C1774" s="29">
        <v>20</v>
      </c>
      <c r="D1774" s="34" t="s">
        <v>2221</v>
      </c>
      <c r="E1774" s="199">
        <v>5.1866127974100874E-2</v>
      </c>
      <c r="F1774" s="199">
        <v>3.9584614067062804E-2</v>
      </c>
      <c r="G1774" s="199">
        <v>4.1944243421363478E-2</v>
      </c>
      <c r="H1774" s="199">
        <v>3.8943808030876194E-2</v>
      </c>
      <c r="I1774" s="199">
        <v>3.9743191631565387E-2</v>
      </c>
      <c r="J1774" s="199">
        <v>5.6832498250648789E-2</v>
      </c>
      <c r="K1774" s="199">
        <v>3.8610073576881836E-2</v>
      </c>
      <c r="L1774" s="199">
        <v>4.0133148136376945E-2</v>
      </c>
      <c r="M1774" s="199">
        <v>3.5013978535395222E-2</v>
      </c>
      <c r="N1774" s="199">
        <v>3.627755398089054E-2</v>
      </c>
    </row>
    <row r="1775" spans="3:14">
      <c r="C1775" s="29">
        <v>21</v>
      </c>
      <c r="D1775" s="34" t="s">
        <v>2222</v>
      </c>
      <c r="E1775" s="199">
        <v>4.9982165992725376E-2</v>
      </c>
      <c r="F1775" s="199">
        <v>3.8472338008777918E-2</v>
      </c>
      <c r="G1775" s="199">
        <v>4.1023196196520229E-2</v>
      </c>
      <c r="H1775" s="199">
        <v>3.7666918527182409E-2</v>
      </c>
      <c r="I1775" s="199">
        <v>4.2913019500340308E-2</v>
      </c>
      <c r="J1775" s="199">
        <v>5.3415175270170083E-2</v>
      </c>
      <c r="K1775" s="199">
        <v>3.7570483685735595E-2</v>
      </c>
      <c r="L1775" s="199">
        <v>3.7669659741129576E-2</v>
      </c>
      <c r="M1775" s="199">
        <v>3.4098330444667056E-2</v>
      </c>
      <c r="N1775" s="199">
        <v>3.9645459150529319E-2</v>
      </c>
    </row>
    <row r="1776" spans="3:14">
      <c r="C1776" s="29">
        <v>22</v>
      </c>
      <c r="D1776" s="34" t="s">
        <v>2223</v>
      </c>
      <c r="E1776" s="199">
        <v>4.6793017801246319E-2</v>
      </c>
      <c r="F1776" s="199">
        <v>3.6070652180273784E-2</v>
      </c>
      <c r="G1776" s="199">
        <v>3.7696862384023297E-2</v>
      </c>
      <c r="H1776" s="199">
        <v>3.8300779053904811E-2</v>
      </c>
      <c r="I1776" s="199">
        <v>4.0343655864431983E-2</v>
      </c>
      <c r="J1776" s="199">
        <v>4.9944638750806382E-2</v>
      </c>
      <c r="K1776" s="199">
        <v>3.7175861297162896E-2</v>
      </c>
      <c r="L1776" s="199">
        <v>3.3451632847918043E-2</v>
      </c>
      <c r="M1776" s="199">
        <v>3.3654409507279555E-2</v>
      </c>
      <c r="N1776" s="199">
        <v>4.9924127171345055E-2</v>
      </c>
    </row>
    <row r="1777" spans="1:14">
      <c r="C1777" s="29">
        <v>23</v>
      </c>
      <c r="D1777" s="34" t="s">
        <v>2224</v>
      </c>
      <c r="E1777" s="199">
        <v>4.201065133306605E-2</v>
      </c>
      <c r="F1777" s="199">
        <v>3.6042728559353358E-2</v>
      </c>
      <c r="G1777" s="199">
        <v>3.5040303724858293E-2</v>
      </c>
      <c r="H1777" s="199">
        <v>3.7029683110797795E-2</v>
      </c>
      <c r="I1777" s="199">
        <v>4.3644122267651235E-2</v>
      </c>
      <c r="J1777" s="199">
        <v>4.1965476481478692E-2</v>
      </c>
      <c r="K1777" s="199">
        <v>3.7468793112296506E-2</v>
      </c>
      <c r="L1777" s="199">
        <v>3.1009035107776601E-2</v>
      </c>
      <c r="M1777" s="199">
        <v>3.4063429974203814E-2</v>
      </c>
      <c r="N1777" s="199">
        <v>4.3633045562791184E-2</v>
      </c>
    </row>
    <row r="1778" spans="1:14">
      <c r="C1778" s="29">
        <v>24</v>
      </c>
      <c r="D1778" s="34" t="s">
        <v>2225</v>
      </c>
      <c r="E1778" s="199">
        <v>3.7391478724719852E-2</v>
      </c>
      <c r="F1778" s="199">
        <v>3.6751759544319085E-2</v>
      </c>
      <c r="G1778" s="199">
        <v>3.32010504876065E-2</v>
      </c>
      <c r="H1778" s="199">
        <v>3.5984873519541369E-2</v>
      </c>
      <c r="I1778" s="199">
        <v>4.7890500700356109E-2</v>
      </c>
      <c r="J1778" s="199">
        <v>3.6553044016911056E-2</v>
      </c>
      <c r="K1778" s="199">
        <v>3.7202038641555392E-2</v>
      </c>
      <c r="L1778" s="199">
        <v>2.8317823488369094E-2</v>
      </c>
      <c r="M1778" s="199">
        <v>3.4021842965006974E-2</v>
      </c>
      <c r="N1778" s="199">
        <v>5.9430065159413355E-2</v>
      </c>
    </row>
    <row r="1779" spans="1:14">
      <c r="A1779" s="16" t="s">
        <v>440</v>
      </c>
      <c r="B1779" s="16" t="s">
        <v>311</v>
      </c>
      <c r="C1779" s="29">
        <v>1</v>
      </c>
      <c r="D1779" s="34" t="s">
        <v>2226</v>
      </c>
      <c r="E1779" s="199">
        <v>3.3126658561385212E-2</v>
      </c>
      <c r="F1779" s="199">
        <v>3.6956905861083279E-2</v>
      </c>
      <c r="G1779" s="199">
        <v>3.4309477614404574E-2</v>
      </c>
      <c r="H1779" s="199">
        <v>3.9292611885053369E-2</v>
      </c>
      <c r="I1779" s="199">
        <v>4.7655802324565004E-2</v>
      </c>
      <c r="J1779" s="199">
        <v>3.1461570276657823E-2</v>
      </c>
      <c r="K1779" s="199">
        <v>3.8594308760265018E-2</v>
      </c>
      <c r="L1779" s="199">
        <v>3.0220517895374648E-2</v>
      </c>
      <c r="M1779" s="199">
        <v>3.6408307952630142E-2</v>
      </c>
      <c r="N1779" s="199">
        <v>4.9855394071229915E-2</v>
      </c>
    </row>
    <row r="1780" spans="1:14">
      <c r="C1780" s="29">
        <v>2</v>
      </c>
      <c r="D1780" s="34" t="s">
        <v>2227</v>
      </c>
      <c r="E1780" s="199">
        <v>3.3487612079297471E-2</v>
      </c>
      <c r="F1780" s="199">
        <v>3.6376509999861452E-2</v>
      </c>
      <c r="G1780" s="199">
        <v>3.3623873806667919E-2</v>
      </c>
      <c r="H1780" s="199">
        <v>3.6577044783842799E-2</v>
      </c>
      <c r="I1780" s="199">
        <v>4.568767802957252E-2</v>
      </c>
      <c r="J1780" s="199">
        <v>2.9782026207659115E-2</v>
      </c>
      <c r="K1780" s="199">
        <v>3.7310224235494065E-2</v>
      </c>
      <c r="L1780" s="199">
        <v>2.8462612532000491E-2</v>
      </c>
      <c r="M1780" s="199">
        <v>3.623071290905007E-2</v>
      </c>
      <c r="N1780" s="199">
        <v>4.3120451409926056E-2</v>
      </c>
    </row>
    <row r="1781" spans="1:14">
      <c r="C1781" s="29">
        <v>3</v>
      </c>
      <c r="D1781" s="34" t="s">
        <v>2228</v>
      </c>
      <c r="E1781" s="199">
        <v>3.2414478517814892E-2</v>
      </c>
      <c r="F1781" s="199">
        <v>3.6151562933875579E-2</v>
      </c>
      <c r="G1781" s="199">
        <v>3.3666696926848157E-2</v>
      </c>
      <c r="H1781" s="199">
        <v>3.6124731193670288E-2</v>
      </c>
      <c r="I1781" s="199">
        <v>4.1169108842754022E-2</v>
      </c>
      <c r="J1781" s="199">
        <v>3.0554214341139099E-2</v>
      </c>
      <c r="K1781" s="199">
        <v>3.6854526401267532E-2</v>
      </c>
      <c r="L1781" s="199">
        <v>2.828409330181916E-2</v>
      </c>
      <c r="M1781" s="199">
        <v>3.5627754786437989E-2</v>
      </c>
      <c r="N1781" s="199">
        <v>2.8447876898819648E-2</v>
      </c>
    </row>
    <row r="1782" spans="1:14">
      <c r="C1782" s="29">
        <v>4</v>
      </c>
      <c r="D1782" s="34" t="s">
        <v>2229</v>
      </c>
      <c r="E1782" s="199">
        <v>3.3163655610325631E-2</v>
      </c>
      <c r="F1782" s="199">
        <v>3.6301444150144309E-2</v>
      </c>
      <c r="G1782" s="199">
        <v>3.3974985262870884E-2</v>
      </c>
      <c r="H1782" s="199">
        <v>3.5680650916662733E-2</v>
      </c>
      <c r="I1782" s="199">
        <v>3.7902730122083374E-2</v>
      </c>
      <c r="J1782" s="199">
        <v>3.0830834566585329E-2</v>
      </c>
      <c r="K1782" s="199">
        <v>3.7277135658102277E-2</v>
      </c>
      <c r="L1782" s="199">
        <v>2.8133630430294817E-2</v>
      </c>
      <c r="M1782" s="199">
        <v>3.4898661814285185E-2</v>
      </c>
      <c r="N1782" s="199">
        <v>2.4198608688035157E-2</v>
      </c>
    </row>
    <row r="1783" spans="1:14">
      <c r="C1783" s="29">
        <v>5</v>
      </c>
      <c r="D1783" s="34" t="s">
        <v>2230</v>
      </c>
      <c r="E1783" s="199">
        <v>3.3713036366594326E-2</v>
      </c>
      <c r="F1783" s="199">
        <v>3.7304180995127702E-2</v>
      </c>
      <c r="G1783" s="199">
        <v>3.6541545648128018E-2</v>
      </c>
      <c r="H1783" s="199">
        <v>3.6402783793390778E-2</v>
      </c>
      <c r="I1783" s="199">
        <v>3.6479048529491347E-2</v>
      </c>
      <c r="J1783" s="199">
        <v>3.2729319859156801E-2</v>
      </c>
      <c r="K1783" s="199">
        <v>3.8814891903532558E-2</v>
      </c>
      <c r="L1783" s="199">
        <v>3.197115498561974E-2</v>
      </c>
      <c r="M1783" s="199">
        <v>3.8029877806312833E-2</v>
      </c>
      <c r="N1783" s="199">
        <v>2.5415897162628747E-2</v>
      </c>
    </row>
    <row r="1784" spans="1:14">
      <c r="C1784" s="29">
        <v>6</v>
      </c>
      <c r="D1784" s="34" t="s">
        <v>2231</v>
      </c>
      <c r="E1784" s="199">
        <v>3.7656637775337475E-2</v>
      </c>
      <c r="F1784" s="199">
        <v>3.9652592505377587E-2</v>
      </c>
      <c r="G1784" s="199">
        <v>3.959189421839953E-2</v>
      </c>
      <c r="H1784" s="199">
        <v>3.8216187225282063E-2</v>
      </c>
      <c r="I1784" s="199">
        <v>3.836711588277001E-2</v>
      </c>
      <c r="J1784" s="199">
        <v>3.6689018862351257E-2</v>
      </c>
      <c r="K1784" s="199">
        <v>4.0022956748827866E-2</v>
      </c>
      <c r="L1784" s="199">
        <v>3.9674040620578624E-2</v>
      </c>
      <c r="M1784" s="199">
        <v>4.525354737714099E-2</v>
      </c>
      <c r="N1784" s="199">
        <v>3.2451585117487754E-2</v>
      </c>
    </row>
    <row r="1785" spans="1:14">
      <c r="C1785" s="29">
        <v>7</v>
      </c>
      <c r="D1785" s="34" t="s">
        <v>2232</v>
      </c>
      <c r="E1785" s="199">
        <v>4.5547270898893565E-2</v>
      </c>
      <c r="F1785" s="199">
        <v>4.1931580628797385E-2</v>
      </c>
      <c r="G1785" s="199">
        <v>4.2394698332056564E-2</v>
      </c>
      <c r="H1785" s="199">
        <v>4.2970763504951243E-2</v>
      </c>
      <c r="I1785" s="199">
        <v>3.8236555081812097E-2</v>
      </c>
      <c r="J1785" s="199">
        <v>4.4239723387783737E-2</v>
      </c>
      <c r="K1785" s="199">
        <v>4.0596698525260252E-2</v>
      </c>
      <c r="L1785" s="199">
        <v>4.3148055341923126E-2</v>
      </c>
      <c r="M1785" s="199">
        <v>4.7151042730938654E-2</v>
      </c>
      <c r="N1785" s="199">
        <v>3.6125057484688992E-2</v>
      </c>
    </row>
    <row r="1786" spans="1:14">
      <c r="C1786" s="29">
        <v>8</v>
      </c>
      <c r="D1786" s="34" t="s">
        <v>2233</v>
      </c>
      <c r="E1786" s="199">
        <v>4.6584491434904139E-2</v>
      </c>
      <c r="F1786" s="199">
        <v>4.4003234607766638E-2</v>
      </c>
      <c r="G1786" s="199">
        <v>4.6832295109333427E-2</v>
      </c>
      <c r="H1786" s="199">
        <v>4.6483535739937264E-2</v>
      </c>
      <c r="I1786" s="199">
        <v>4.3048990130935424E-2</v>
      </c>
      <c r="J1786" s="199">
        <v>4.8320444950676195E-2</v>
      </c>
      <c r="K1786" s="199">
        <v>4.2464677003617876E-2</v>
      </c>
      <c r="L1786" s="199">
        <v>4.8058660047820841E-2</v>
      </c>
      <c r="M1786" s="199">
        <v>5.2180636755907006E-2</v>
      </c>
      <c r="N1786" s="199">
        <v>3.9159957078098884E-2</v>
      </c>
    </row>
    <row r="1787" spans="1:14">
      <c r="C1787" s="29">
        <v>9</v>
      </c>
      <c r="D1787" s="34" t="s">
        <v>2234</v>
      </c>
      <c r="E1787" s="199">
        <v>4.6057530387727183E-2</v>
      </c>
      <c r="F1787" s="199">
        <v>4.6766446240162664E-2</v>
      </c>
      <c r="G1787" s="199">
        <v>4.7062365839598649E-2</v>
      </c>
      <c r="H1787" s="199">
        <v>4.6180588713009334E-2</v>
      </c>
      <c r="I1787" s="199">
        <v>4.8036801218752478E-2</v>
      </c>
      <c r="J1787" s="199">
        <v>4.7623349322882751E-2</v>
      </c>
      <c r="K1787" s="199">
        <v>4.3547774962373366E-2</v>
      </c>
      <c r="L1787" s="199">
        <v>5.0933433815949863E-2</v>
      </c>
      <c r="M1787" s="199">
        <v>5.1286129712348104E-2</v>
      </c>
      <c r="N1787" s="199">
        <v>4.2452680063944877E-2</v>
      </c>
    </row>
    <row r="1788" spans="1:14">
      <c r="C1788" s="29">
        <v>10</v>
      </c>
      <c r="D1788" s="34" t="s">
        <v>2235</v>
      </c>
      <c r="E1788" s="199">
        <v>4.5450646715398814E-2</v>
      </c>
      <c r="F1788" s="199">
        <v>4.6632174080104873E-2</v>
      </c>
      <c r="G1788" s="199">
        <v>4.8566848419059346E-2</v>
      </c>
      <c r="H1788" s="199">
        <v>4.811074960167297E-2</v>
      </c>
      <c r="I1788" s="199">
        <v>5.3242861126874305E-2</v>
      </c>
      <c r="J1788" s="199">
        <v>4.5481223534267742E-2</v>
      </c>
      <c r="K1788" s="199">
        <v>4.546591713961104E-2</v>
      </c>
      <c r="L1788" s="199">
        <v>5.308513119473441E-2</v>
      </c>
      <c r="M1788" s="199">
        <v>5.0986548411199609E-2</v>
      </c>
      <c r="N1788" s="199">
        <v>3.814063492295227E-2</v>
      </c>
    </row>
    <row r="1789" spans="1:14">
      <c r="C1789" s="29">
        <v>11</v>
      </c>
      <c r="D1789" s="34" t="s">
        <v>2236</v>
      </c>
      <c r="E1789" s="199">
        <v>4.3937171717846411E-2</v>
      </c>
      <c r="F1789" s="199">
        <v>4.8331768274965034E-2</v>
      </c>
      <c r="G1789" s="199">
        <v>4.8967100621861527E-2</v>
      </c>
      <c r="H1789" s="199">
        <v>4.628606588245332E-2</v>
      </c>
      <c r="I1789" s="199">
        <v>4.0841249998265675E-2</v>
      </c>
      <c r="J1789" s="199">
        <v>4.3868187940329616E-2</v>
      </c>
      <c r="K1789" s="199">
        <v>4.6791583566451876E-2</v>
      </c>
      <c r="L1789" s="199">
        <v>5.4103816083836576E-2</v>
      </c>
      <c r="M1789" s="199">
        <v>4.9940397090866076E-2</v>
      </c>
      <c r="N1789" s="199">
        <v>4.2723350828144505E-2</v>
      </c>
    </row>
    <row r="1790" spans="1:14">
      <c r="C1790" s="29">
        <v>12</v>
      </c>
      <c r="D1790" s="34" t="s">
        <v>2237</v>
      </c>
      <c r="E1790" s="199">
        <v>4.3145676803522055E-2</v>
      </c>
      <c r="F1790" s="199">
        <v>4.7933645058314531E-2</v>
      </c>
      <c r="G1790" s="199">
        <v>4.8018108986366034E-2</v>
      </c>
      <c r="H1790" s="199">
        <v>4.7833604611277745E-2</v>
      </c>
      <c r="I1790" s="199">
        <v>3.6850335143054962E-2</v>
      </c>
      <c r="J1790" s="199">
        <v>4.2028822009924749E-2</v>
      </c>
      <c r="K1790" s="199">
        <v>4.6518868219365864E-2</v>
      </c>
      <c r="L1790" s="199">
        <v>5.3680662443328246E-2</v>
      </c>
      <c r="M1790" s="199">
        <v>4.8041754254182459E-2</v>
      </c>
      <c r="N1790" s="199">
        <v>5.0927565642040103E-2</v>
      </c>
    </row>
    <row r="1791" spans="1:14">
      <c r="C1791" s="29">
        <v>13</v>
      </c>
      <c r="D1791" s="34" t="s">
        <v>2238</v>
      </c>
      <c r="E1791" s="199">
        <v>4.148026905041733E-2</v>
      </c>
      <c r="F1791" s="199">
        <v>4.5668842192059397E-2</v>
      </c>
      <c r="G1791" s="199">
        <v>4.7553378864815359E-2</v>
      </c>
      <c r="H1791" s="199">
        <v>4.6292289489255178E-2</v>
      </c>
      <c r="I1791" s="199">
        <v>4.2539372891914805E-2</v>
      </c>
      <c r="J1791" s="199">
        <v>4.1372734666889954E-2</v>
      </c>
      <c r="K1791" s="199">
        <v>4.5158432244624035E-2</v>
      </c>
      <c r="L1791" s="199">
        <v>5.3075444743777907E-2</v>
      </c>
      <c r="M1791" s="199">
        <v>5.0428077317396861E-2</v>
      </c>
      <c r="N1791" s="199">
        <v>6.0754053126802099E-2</v>
      </c>
    </row>
    <row r="1792" spans="1:14">
      <c r="C1792" s="29">
        <v>14</v>
      </c>
      <c r="D1792" s="34" t="s">
        <v>2239</v>
      </c>
      <c r="E1792" s="199">
        <v>3.9215317428091034E-2</v>
      </c>
      <c r="F1792" s="199">
        <v>4.5198922590168382E-2</v>
      </c>
      <c r="G1792" s="199">
        <v>4.8051925708841793E-2</v>
      </c>
      <c r="H1792" s="199">
        <v>4.7858369380010132E-2</v>
      </c>
      <c r="I1792" s="199">
        <v>4.3185933287731869E-2</v>
      </c>
      <c r="J1792" s="199">
        <v>3.8648683942800161E-2</v>
      </c>
      <c r="K1792" s="199">
        <v>4.578379751011552E-2</v>
      </c>
      <c r="L1792" s="199">
        <v>5.3629070069793956E-2</v>
      </c>
      <c r="M1792" s="199">
        <v>4.9530745700580234E-2</v>
      </c>
      <c r="N1792" s="199">
        <v>6.212083829100757E-2</v>
      </c>
    </row>
    <row r="1793" spans="1:14">
      <c r="C1793" s="29">
        <v>15</v>
      </c>
      <c r="D1793" s="34" t="s">
        <v>2240</v>
      </c>
      <c r="E1793" s="199">
        <v>3.8577619439057131E-2</v>
      </c>
      <c r="F1793" s="199">
        <v>4.5260726015436022E-2</v>
      </c>
      <c r="G1793" s="199">
        <v>4.7111684084546773E-2</v>
      </c>
      <c r="H1793" s="199">
        <v>4.5506494301283125E-2</v>
      </c>
      <c r="I1793" s="199">
        <v>4.4554393627633943E-2</v>
      </c>
      <c r="J1793" s="199">
        <v>4.0274301697505309E-2</v>
      </c>
      <c r="K1793" s="199">
        <v>4.601588203055134E-2</v>
      </c>
      <c r="L1793" s="199">
        <v>5.1749403956949554E-2</v>
      </c>
      <c r="M1793" s="199">
        <v>5.0506282689470383E-2</v>
      </c>
      <c r="N1793" s="199">
        <v>5.3631353426817428E-2</v>
      </c>
    </row>
    <row r="1794" spans="1:14">
      <c r="C1794" s="29">
        <v>16</v>
      </c>
      <c r="D1794" s="34" t="s">
        <v>2241</v>
      </c>
      <c r="E1794" s="199">
        <v>4.0341793125528137E-2</v>
      </c>
      <c r="F1794" s="199">
        <v>4.297150763220229E-2</v>
      </c>
      <c r="G1794" s="199">
        <v>4.4653673800673734E-2</v>
      </c>
      <c r="H1794" s="199">
        <v>4.1815830638544015E-2</v>
      </c>
      <c r="I1794" s="199">
        <v>4.4483355232213702E-2</v>
      </c>
      <c r="J1794" s="199">
        <v>4.1219274935029748E-2</v>
      </c>
      <c r="K1794" s="199">
        <v>4.4755684981437553E-2</v>
      </c>
      <c r="L1794" s="199">
        <v>4.7024820328356948E-2</v>
      </c>
      <c r="M1794" s="199">
        <v>4.3178633515591869E-2</v>
      </c>
      <c r="N1794" s="199">
        <v>4.9656843780339147E-2</v>
      </c>
    </row>
    <row r="1795" spans="1:14">
      <c r="C1795" s="29">
        <v>17</v>
      </c>
      <c r="D1795" s="34" t="s">
        <v>2242</v>
      </c>
      <c r="E1795" s="199">
        <v>4.3830090068062162E-2</v>
      </c>
      <c r="F1795" s="199">
        <v>4.6864451074514119E-2</v>
      </c>
      <c r="G1795" s="199">
        <v>4.5115787465081061E-2</v>
      </c>
      <c r="H1795" s="199">
        <v>4.0999047075037709E-2</v>
      </c>
      <c r="I1795" s="199">
        <v>4.5332208558739186E-2</v>
      </c>
      <c r="J1795" s="199">
        <v>4.7193301660650173E-2</v>
      </c>
      <c r="K1795" s="199">
        <v>4.9087966226294431E-2</v>
      </c>
      <c r="L1795" s="199">
        <v>4.6385803097809451E-2</v>
      </c>
      <c r="M1795" s="199">
        <v>3.6569838235806854E-2</v>
      </c>
      <c r="N1795" s="199">
        <v>5.0725803508208447E-2</v>
      </c>
    </row>
    <row r="1796" spans="1:14">
      <c r="C1796" s="29">
        <v>18</v>
      </c>
      <c r="D1796" s="34" t="s">
        <v>2243</v>
      </c>
      <c r="E1796" s="199">
        <v>4.9017124832984059E-2</v>
      </c>
      <c r="F1796" s="199">
        <v>4.2955595359527796E-2</v>
      </c>
      <c r="G1796" s="199">
        <v>4.3983676699616212E-2</v>
      </c>
      <c r="H1796" s="199">
        <v>4.0820118379484301E-2</v>
      </c>
      <c r="I1796" s="199">
        <v>4.1883793949804161E-2</v>
      </c>
      <c r="J1796" s="199">
        <v>5.3177016908421783E-2</v>
      </c>
      <c r="K1796" s="199">
        <v>4.5002964590555292E-2</v>
      </c>
      <c r="L1796" s="199">
        <v>4.3919275453468444E-2</v>
      </c>
      <c r="M1796" s="199">
        <v>3.5787696247157226E-2</v>
      </c>
      <c r="N1796" s="199">
        <v>4.0092851459563622E-2</v>
      </c>
    </row>
    <row r="1797" spans="1:14">
      <c r="C1797" s="29">
        <v>19</v>
      </c>
      <c r="D1797" s="34" t="s">
        <v>2244</v>
      </c>
      <c r="E1797" s="199">
        <v>4.9298342727097939E-2</v>
      </c>
      <c r="F1797" s="199">
        <v>4.1290014141884032E-2</v>
      </c>
      <c r="G1797" s="199">
        <v>4.2597210800148687E-2</v>
      </c>
      <c r="H1797" s="199">
        <v>4.0266995324969204E-2</v>
      </c>
      <c r="I1797" s="199">
        <v>4.1378755357363371E-2</v>
      </c>
      <c r="J1797" s="199">
        <v>5.4295356561319764E-2</v>
      </c>
      <c r="K1797" s="199">
        <v>4.079987477654428E-2</v>
      </c>
      <c r="L1797" s="199">
        <v>4.1597343851490901E-2</v>
      </c>
      <c r="M1797" s="199">
        <v>3.5157728142768054E-2</v>
      </c>
      <c r="N1797" s="199">
        <v>3.9380990269575818E-2</v>
      </c>
    </row>
    <row r="1798" spans="1:14">
      <c r="C1798" s="29">
        <v>20</v>
      </c>
      <c r="D1798" s="34" t="s">
        <v>2245</v>
      </c>
      <c r="E1798" s="199">
        <v>5.0337325166481678E-2</v>
      </c>
      <c r="F1798" s="199">
        <v>4.0295727807906738E-2</v>
      </c>
      <c r="G1798" s="199">
        <v>4.0553323886345284E-2</v>
      </c>
      <c r="H1798" s="199">
        <v>3.969422901148574E-2</v>
      </c>
      <c r="I1798" s="199">
        <v>3.300219081301501E-2</v>
      </c>
      <c r="J1798" s="199">
        <v>5.1608509762290568E-2</v>
      </c>
      <c r="K1798" s="199">
        <v>3.88597472744888E-2</v>
      </c>
      <c r="L1798" s="199">
        <v>4.0149432398018325E-2</v>
      </c>
      <c r="M1798" s="199">
        <v>3.5077316072836914E-2</v>
      </c>
      <c r="N1798" s="199">
        <v>3.2526333462293694E-2</v>
      </c>
    </row>
    <row r="1799" spans="1:14">
      <c r="C1799" s="29">
        <v>21</v>
      </c>
      <c r="D1799" s="34" t="s">
        <v>2246</v>
      </c>
      <c r="E1799" s="199">
        <v>4.9387749827123836E-2</v>
      </c>
      <c r="F1799" s="199">
        <v>3.869094808286843E-2</v>
      </c>
      <c r="G1799" s="199">
        <v>3.8965226436517314E-2</v>
      </c>
      <c r="H1799" s="199">
        <v>3.8898320462460667E-2</v>
      </c>
      <c r="I1799" s="199">
        <v>3.4461946590781389E-2</v>
      </c>
      <c r="J1799" s="199">
        <v>4.9260005533825507E-2</v>
      </c>
      <c r="K1799" s="199">
        <v>3.8013467095234524E-2</v>
      </c>
      <c r="L1799" s="199">
        <v>3.7801546603336053E-2</v>
      </c>
      <c r="M1799" s="199">
        <v>3.4121904168408115E-2</v>
      </c>
      <c r="N1799" s="199">
        <v>3.0226069945179679E-2</v>
      </c>
    </row>
    <row r="1800" spans="1:14">
      <c r="C1800" s="29">
        <v>22</v>
      </c>
      <c r="D1800" s="34" t="s">
        <v>2247</v>
      </c>
      <c r="E1800" s="199">
        <v>4.6193611856713272E-2</v>
      </c>
      <c r="F1800" s="199">
        <v>3.7765953302476181E-2</v>
      </c>
      <c r="G1800" s="199">
        <v>3.7523400774225453E-2</v>
      </c>
      <c r="H1800" s="199">
        <v>4.0161647814000258E-2</v>
      </c>
      <c r="I1800" s="199">
        <v>3.8641140943228951E-2</v>
      </c>
      <c r="J1800" s="199">
        <v>4.4975166186251615E-2</v>
      </c>
      <c r="K1800" s="199">
        <v>3.7372973095160161E-2</v>
      </c>
      <c r="L1800" s="199">
        <v>3.4238553929659188E-2</v>
      </c>
      <c r="M1800" s="199">
        <v>3.4453703258277651E-2</v>
      </c>
      <c r="N1800" s="199">
        <v>3.587978947829451E-2</v>
      </c>
    </row>
    <row r="1801" spans="1:14">
      <c r="C1801" s="29">
        <v>23</v>
      </c>
      <c r="D1801" s="34" t="s">
        <v>2248</v>
      </c>
      <c r="E1801" s="199">
        <v>4.1559876110785481E-2</v>
      </c>
      <c r="F1801" s="199">
        <v>3.7050955698083997E-2</v>
      </c>
      <c r="G1801" s="199">
        <v>3.5649945145450071E-2</v>
      </c>
      <c r="H1801" s="199">
        <v>3.9235951131461451E-2</v>
      </c>
      <c r="I1801" s="199">
        <v>3.9479865748532413E-2</v>
      </c>
      <c r="J1801" s="199">
        <v>3.8538971117960001E-2</v>
      </c>
      <c r="K1801" s="199">
        <v>3.7663272278493823E-2</v>
      </c>
      <c r="L1801" s="199">
        <v>3.1453335179025876E-2</v>
      </c>
      <c r="M1801" s="199">
        <v>3.4604553123823552E-2</v>
      </c>
      <c r="N1801" s="199">
        <v>4.8165380712883135E-2</v>
      </c>
    </row>
    <row r="1802" spans="1:14">
      <c r="C1802" s="29">
        <v>24</v>
      </c>
      <c r="D1802" s="34" t="s">
        <v>2249</v>
      </c>
      <c r="E1802" s="199">
        <v>3.6476013498610856E-2</v>
      </c>
      <c r="F1802" s="199">
        <v>3.7644310767291765E-2</v>
      </c>
      <c r="G1802" s="199">
        <v>3.4690875548143672E-2</v>
      </c>
      <c r="H1802" s="199">
        <v>3.8291389140804502E-2</v>
      </c>
      <c r="I1802" s="199">
        <v>4.3538766568110149E-2</v>
      </c>
      <c r="J1802" s="199">
        <v>3.5827941767641418E-2</v>
      </c>
      <c r="K1802" s="199">
        <v>3.7226374772330796E-2</v>
      </c>
      <c r="L1802" s="199">
        <v>2.9220161695032734E-2</v>
      </c>
      <c r="M1802" s="199">
        <v>3.4548149926583158E-2</v>
      </c>
      <c r="N1802" s="199">
        <v>4.3820633171037938E-2</v>
      </c>
    </row>
    <row r="1803" spans="1:14">
      <c r="A1803" s="16" t="s">
        <v>440</v>
      </c>
      <c r="B1803" s="16" t="s">
        <v>420</v>
      </c>
      <c r="C1803" s="29">
        <v>1</v>
      </c>
      <c r="D1803" s="34" t="s">
        <v>2250</v>
      </c>
      <c r="E1803" s="199">
        <v>3.4471448434272273E-2</v>
      </c>
      <c r="F1803" s="199">
        <v>3.643463982758368E-2</v>
      </c>
      <c r="G1803" s="199">
        <v>3.3350462987421191E-2</v>
      </c>
      <c r="H1803" s="199">
        <v>3.5818149281741402E-2</v>
      </c>
      <c r="I1803" s="199">
        <v>4.7651285211989525E-2</v>
      </c>
      <c r="J1803" s="199">
        <v>3.2390213414108908E-2</v>
      </c>
      <c r="K1803" s="199">
        <v>3.7142319109865589E-2</v>
      </c>
      <c r="L1803" s="199">
        <v>2.8253446077902221E-2</v>
      </c>
      <c r="M1803" s="199">
        <v>3.5454328178901311E-2</v>
      </c>
      <c r="N1803" s="199">
        <v>3.1841127319126056E-2</v>
      </c>
    </row>
    <row r="1804" spans="1:14">
      <c r="C1804" s="29">
        <v>2</v>
      </c>
      <c r="D1804" s="34" t="s">
        <v>2251</v>
      </c>
      <c r="E1804" s="199">
        <v>3.3399161852934352E-2</v>
      </c>
      <c r="F1804" s="199">
        <v>3.612054405200732E-2</v>
      </c>
      <c r="G1804" s="199">
        <v>3.3750074149898182E-2</v>
      </c>
      <c r="H1804" s="199">
        <v>3.4570653112515087E-2</v>
      </c>
      <c r="I1804" s="199">
        <v>4.7315588907150326E-2</v>
      </c>
      <c r="J1804" s="199">
        <v>3.0531924184549974E-2</v>
      </c>
      <c r="K1804" s="199">
        <v>3.6885943991025405E-2</v>
      </c>
      <c r="L1804" s="199">
        <v>2.7285821183926324E-2</v>
      </c>
      <c r="M1804" s="199">
        <v>3.6015809462976014E-2</v>
      </c>
      <c r="N1804" s="199">
        <v>2.6671149713998452E-2</v>
      </c>
    </row>
    <row r="1805" spans="1:14">
      <c r="C1805" s="29">
        <v>3</v>
      </c>
      <c r="D1805" s="34" t="s">
        <v>2252</v>
      </c>
      <c r="E1805" s="199">
        <v>3.3490808501721113E-2</v>
      </c>
      <c r="F1805" s="199">
        <v>3.589334924740531E-2</v>
      </c>
      <c r="G1805" s="199">
        <v>3.3084102274808548E-2</v>
      </c>
      <c r="H1805" s="199">
        <v>3.3772739508826956E-2</v>
      </c>
      <c r="I1805" s="199">
        <v>4.0152430565748222E-2</v>
      </c>
      <c r="J1805" s="199">
        <v>3.0018859065050595E-2</v>
      </c>
      <c r="K1805" s="199">
        <v>3.6216500638419517E-2</v>
      </c>
      <c r="L1805" s="199">
        <v>2.6379346710878403E-2</v>
      </c>
      <c r="M1805" s="199">
        <v>3.4637487124495298E-2</v>
      </c>
      <c r="N1805" s="199">
        <v>3.5880451877206974E-2</v>
      </c>
    </row>
    <row r="1806" spans="1:14">
      <c r="C1806" s="29">
        <v>4</v>
      </c>
      <c r="D1806" s="34" t="s">
        <v>2253</v>
      </c>
      <c r="E1806" s="199">
        <v>3.3857803482334546E-2</v>
      </c>
      <c r="F1806" s="199">
        <v>3.5280789827143458E-2</v>
      </c>
      <c r="G1806" s="199">
        <v>3.3471558695112362E-2</v>
      </c>
      <c r="H1806" s="199">
        <v>3.3353105974896262E-2</v>
      </c>
      <c r="I1806" s="199">
        <v>3.5646515788748674E-2</v>
      </c>
      <c r="J1806" s="199">
        <v>3.066904574312081E-2</v>
      </c>
      <c r="K1806" s="199">
        <v>3.6218546742710397E-2</v>
      </c>
      <c r="L1806" s="199">
        <v>2.6846538486255563E-2</v>
      </c>
      <c r="M1806" s="199">
        <v>3.4485554406366095E-2</v>
      </c>
      <c r="N1806" s="199">
        <v>3.4938750111276159E-2</v>
      </c>
    </row>
    <row r="1807" spans="1:14">
      <c r="C1807" s="29">
        <v>5</v>
      </c>
      <c r="D1807" s="34" t="s">
        <v>2254</v>
      </c>
      <c r="E1807" s="199">
        <v>3.4770577175560521E-2</v>
      </c>
      <c r="F1807" s="199">
        <v>3.7257565203402329E-2</v>
      </c>
      <c r="G1807" s="199">
        <v>3.5922870606383266E-2</v>
      </c>
      <c r="H1807" s="199">
        <v>3.4286335650201658E-2</v>
      </c>
      <c r="I1807" s="199">
        <v>3.8857161393622816E-2</v>
      </c>
      <c r="J1807" s="199">
        <v>3.1510330534811185E-2</v>
      </c>
      <c r="K1807" s="199">
        <v>3.7244519395984423E-2</v>
      </c>
      <c r="L1807" s="199">
        <v>3.0937740531832059E-2</v>
      </c>
      <c r="M1807" s="199">
        <v>3.7637506160149076E-2</v>
      </c>
      <c r="N1807" s="199">
        <v>3.2875995594336876E-2</v>
      </c>
    </row>
    <row r="1808" spans="1:14">
      <c r="C1808" s="29">
        <v>6</v>
      </c>
      <c r="D1808" s="34" t="s">
        <v>2255</v>
      </c>
      <c r="E1808" s="199">
        <v>3.8315056116036555E-2</v>
      </c>
      <c r="F1808" s="199">
        <v>3.8752714947462782E-2</v>
      </c>
      <c r="G1808" s="199">
        <v>3.8526732060494895E-2</v>
      </c>
      <c r="H1808" s="199">
        <v>3.7379564853462707E-2</v>
      </c>
      <c r="I1808" s="199">
        <v>3.8279772887000782E-2</v>
      </c>
      <c r="J1808" s="199">
        <v>3.7453807028367946E-2</v>
      </c>
      <c r="K1808" s="199">
        <v>3.8296706667480918E-2</v>
      </c>
      <c r="L1808" s="199">
        <v>3.814679287584586E-2</v>
      </c>
      <c r="M1808" s="199">
        <v>4.2356303727251521E-2</v>
      </c>
      <c r="N1808" s="199">
        <v>3.8484532177574048E-2</v>
      </c>
    </row>
    <row r="1809" spans="3:14">
      <c r="C1809" s="29">
        <v>7</v>
      </c>
      <c r="D1809" s="34" t="s">
        <v>2256</v>
      </c>
      <c r="E1809" s="199">
        <v>4.6166053852098508E-2</v>
      </c>
      <c r="F1809" s="199">
        <v>4.1358547358539569E-2</v>
      </c>
      <c r="G1809" s="199">
        <v>4.2561867624681192E-2</v>
      </c>
      <c r="H1809" s="199">
        <v>4.3946286709318917E-2</v>
      </c>
      <c r="I1809" s="199">
        <v>4.1722287664662808E-2</v>
      </c>
      <c r="J1809" s="199">
        <v>4.3672464805537707E-2</v>
      </c>
      <c r="K1809" s="199">
        <v>3.9638881130014784E-2</v>
      </c>
      <c r="L1809" s="199">
        <v>4.3676565505698088E-2</v>
      </c>
      <c r="M1809" s="199">
        <v>4.536182195177494E-2</v>
      </c>
      <c r="N1809" s="199">
        <v>4.5748683450311495E-2</v>
      </c>
    </row>
    <row r="1810" spans="3:14">
      <c r="C1810" s="29">
        <v>8</v>
      </c>
      <c r="D1810" s="34" t="s">
        <v>2257</v>
      </c>
      <c r="E1810" s="199">
        <v>4.9802305669596363E-2</v>
      </c>
      <c r="F1810" s="199">
        <v>4.2270425222168589E-2</v>
      </c>
      <c r="G1810" s="199">
        <v>4.6039068851214601E-2</v>
      </c>
      <c r="H1810" s="199">
        <v>4.6709332797556395E-2</v>
      </c>
      <c r="I1810" s="199">
        <v>4.1616518771065966E-2</v>
      </c>
      <c r="J1810" s="199">
        <v>4.4749202729075094E-2</v>
      </c>
      <c r="K1810" s="199">
        <v>4.1325150874833752E-2</v>
      </c>
      <c r="L1810" s="199">
        <v>4.7771180201204293E-2</v>
      </c>
      <c r="M1810" s="199">
        <v>5.0290998744351875E-2</v>
      </c>
      <c r="N1810" s="199">
        <v>5.3725220326794082E-2</v>
      </c>
    </row>
    <row r="1811" spans="3:14">
      <c r="C1811" s="29">
        <v>9</v>
      </c>
      <c r="D1811" s="34" t="s">
        <v>2258</v>
      </c>
      <c r="E1811" s="199">
        <v>4.688186199734861E-2</v>
      </c>
      <c r="F1811" s="199">
        <v>4.5701555075405631E-2</v>
      </c>
      <c r="G1811" s="199">
        <v>4.7649699395988232E-2</v>
      </c>
      <c r="H1811" s="199">
        <v>4.8426493250534511E-2</v>
      </c>
      <c r="I1811" s="199">
        <v>4.6408900486662547E-2</v>
      </c>
      <c r="J1811" s="199">
        <v>4.600811019328107E-2</v>
      </c>
      <c r="K1811" s="199">
        <v>4.4468281850901042E-2</v>
      </c>
      <c r="L1811" s="199">
        <v>5.1524583226394756E-2</v>
      </c>
      <c r="M1811" s="199">
        <v>5.1060814683680317E-2</v>
      </c>
      <c r="N1811" s="199">
        <v>5.0029324540625836E-2</v>
      </c>
    </row>
    <row r="1812" spans="3:14">
      <c r="C1812" s="29">
        <v>10</v>
      </c>
      <c r="D1812" s="34" t="s">
        <v>2259</v>
      </c>
      <c r="E1812" s="199">
        <v>4.452166378347764E-2</v>
      </c>
      <c r="F1812" s="199">
        <v>4.7693289428593577E-2</v>
      </c>
      <c r="G1812" s="199">
        <v>4.91145197637224E-2</v>
      </c>
      <c r="H1812" s="199">
        <v>4.9535599109799745E-2</v>
      </c>
      <c r="I1812" s="199">
        <v>4.5202381239293897E-2</v>
      </c>
      <c r="J1812" s="199">
        <v>4.439845107009828E-2</v>
      </c>
      <c r="K1812" s="199">
        <v>4.7444524166730152E-2</v>
      </c>
      <c r="L1812" s="199">
        <v>5.3993272856484184E-2</v>
      </c>
      <c r="M1812" s="199">
        <v>5.0023935572067232E-2</v>
      </c>
      <c r="N1812" s="199">
        <v>5.1288927018549521E-2</v>
      </c>
    </row>
    <row r="1813" spans="3:14">
      <c r="C1813" s="29">
        <v>11</v>
      </c>
      <c r="D1813" s="34" t="s">
        <v>2260</v>
      </c>
      <c r="E1813" s="199">
        <v>4.3141560988202633E-2</v>
      </c>
      <c r="F1813" s="199">
        <v>4.8747972096977586E-2</v>
      </c>
      <c r="G1813" s="199">
        <v>5.0600684917904218E-2</v>
      </c>
      <c r="H1813" s="199">
        <v>4.9427306584914406E-2</v>
      </c>
      <c r="I1813" s="199">
        <v>4.4691926395358413E-2</v>
      </c>
      <c r="J1813" s="199">
        <v>4.2954495599913968E-2</v>
      </c>
      <c r="K1813" s="199">
        <v>4.8252787825840374E-2</v>
      </c>
      <c r="L1813" s="199">
        <v>5.5394634891995073E-2</v>
      </c>
      <c r="M1813" s="199">
        <v>5.0804538381870733E-2</v>
      </c>
      <c r="N1813" s="199">
        <v>6.1758486225320687E-2</v>
      </c>
    </row>
    <row r="1814" spans="3:14">
      <c r="C1814" s="29">
        <v>12</v>
      </c>
      <c r="D1814" s="34" t="s">
        <v>2261</v>
      </c>
      <c r="E1814" s="199">
        <v>4.1360349413021004E-2</v>
      </c>
      <c r="F1814" s="199">
        <v>4.8731196672849988E-2</v>
      </c>
      <c r="G1814" s="199">
        <v>4.9683617149505269E-2</v>
      </c>
      <c r="H1814" s="199">
        <v>5.0643812448255485E-2</v>
      </c>
      <c r="I1814" s="199">
        <v>4.2576205859619541E-2</v>
      </c>
      <c r="J1814" s="199">
        <v>4.1932038069430806E-2</v>
      </c>
      <c r="K1814" s="199">
        <v>4.8330924526452781E-2</v>
      </c>
      <c r="L1814" s="199">
        <v>5.4839588709989957E-2</v>
      </c>
      <c r="M1814" s="199">
        <v>4.8611349056783361E-2</v>
      </c>
      <c r="N1814" s="199">
        <v>3.8399656833054338E-2</v>
      </c>
    </row>
    <row r="1815" spans="3:14">
      <c r="C1815" s="29">
        <v>13</v>
      </c>
      <c r="D1815" s="34" t="s">
        <v>2262</v>
      </c>
      <c r="E1815" s="199">
        <v>4.0027255497523645E-2</v>
      </c>
      <c r="F1815" s="199">
        <v>4.7105967939407765E-2</v>
      </c>
      <c r="G1815" s="199">
        <v>4.9082884204533522E-2</v>
      </c>
      <c r="H1815" s="199">
        <v>4.87861295522714E-2</v>
      </c>
      <c r="I1815" s="199">
        <v>3.7626655680103691E-2</v>
      </c>
      <c r="J1815" s="199">
        <v>4.0781478171680721E-2</v>
      </c>
      <c r="K1815" s="199">
        <v>4.7551201398989711E-2</v>
      </c>
      <c r="L1815" s="199">
        <v>5.4468857617782224E-2</v>
      </c>
      <c r="M1815" s="199">
        <v>5.0354591928459792E-2</v>
      </c>
      <c r="N1815" s="199">
        <v>4.4296202297438116E-2</v>
      </c>
    </row>
    <row r="1816" spans="3:14">
      <c r="C1816" s="29">
        <v>14</v>
      </c>
      <c r="D1816" s="34" t="s">
        <v>2263</v>
      </c>
      <c r="E1816" s="199">
        <v>3.8199104344340477E-2</v>
      </c>
      <c r="F1816" s="199">
        <v>4.6160752927193967E-2</v>
      </c>
      <c r="G1816" s="199">
        <v>4.7975110037150888E-2</v>
      </c>
      <c r="H1816" s="199">
        <v>4.9273892174660175E-2</v>
      </c>
      <c r="I1816" s="199">
        <v>4.2106984893209395E-2</v>
      </c>
      <c r="J1816" s="199">
        <v>4.22723526264141E-2</v>
      </c>
      <c r="K1816" s="199">
        <v>4.7863363463880385E-2</v>
      </c>
      <c r="L1816" s="199">
        <v>5.336562254722451E-2</v>
      </c>
      <c r="M1816" s="199">
        <v>4.999065842916376E-2</v>
      </c>
      <c r="N1816" s="199">
        <v>5.4033738931295039E-2</v>
      </c>
    </row>
    <row r="1817" spans="3:14">
      <c r="C1817" s="29">
        <v>15</v>
      </c>
      <c r="D1817" s="34" t="s">
        <v>2264</v>
      </c>
      <c r="E1817" s="199">
        <v>3.6521169741015963E-2</v>
      </c>
      <c r="F1817" s="199">
        <v>4.6059843942823885E-2</v>
      </c>
      <c r="G1817" s="199">
        <v>4.786971009434203E-2</v>
      </c>
      <c r="H1817" s="199">
        <v>4.7603886571117027E-2</v>
      </c>
      <c r="I1817" s="199">
        <v>4.237963105845307E-2</v>
      </c>
      <c r="J1817" s="199">
        <v>4.3709383788381032E-2</v>
      </c>
      <c r="K1817" s="199">
        <v>4.7377824664461637E-2</v>
      </c>
      <c r="L1817" s="199">
        <v>5.2666210608661682E-2</v>
      </c>
      <c r="M1817" s="199">
        <v>5.0329704573703588E-2</v>
      </c>
      <c r="N1817" s="199">
        <v>4.9596438464720657E-2</v>
      </c>
    </row>
    <row r="1818" spans="3:14">
      <c r="C1818" s="29">
        <v>16</v>
      </c>
      <c r="D1818" s="34" t="s">
        <v>2265</v>
      </c>
      <c r="E1818" s="199">
        <v>4.0007341137143972E-2</v>
      </c>
      <c r="F1818" s="199">
        <v>4.5639218881545499E-2</v>
      </c>
      <c r="G1818" s="199">
        <v>4.4643111510154029E-2</v>
      </c>
      <c r="H1818" s="199">
        <v>4.2909375866643902E-2</v>
      </c>
      <c r="I1818" s="199">
        <v>4.0620280876949771E-2</v>
      </c>
      <c r="J1818" s="199">
        <v>4.385914394185824E-2</v>
      </c>
      <c r="K1818" s="199">
        <v>4.5125920755674932E-2</v>
      </c>
      <c r="L1818" s="199">
        <v>4.7883381732174504E-2</v>
      </c>
      <c r="M1818" s="199">
        <v>4.2607010337770056E-2</v>
      </c>
      <c r="N1818" s="199">
        <v>4.2978343477646147E-2</v>
      </c>
    </row>
    <row r="1819" spans="3:14">
      <c r="C1819" s="29">
        <v>17</v>
      </c>
      <c r="D1819" s="34" t="s">
        <v>2266</v>
      </c>
      <c r="E1819" s="199">
        <v>4.5475149795108423E-2</v>
      </c>
      <c r="F1819" s="199">
        <v>4.6586132806139088E-2</v>
      </c>
      <c r="G1819" s="199">
        <v>4.5088080992846689E-2</v>
      </c>
      <c r="H1819" s="199">
        <v>4.1749247567769231E-2</v>
      </c>
      <c r="I1819" s="199">
        <v>4.0094520383184937E-2</v>
      </c>
      <c r="J1819" s="199">
        <v>4.7342390804672209E-2</v>
      </c>
      <c r="K1819" s="199">
        <v>4.8086336367373729E-2</v>
      </c>
      <c r="L1819" s="199">
        <v>4.7108006339082562E-2</v>
      </c>
      <c r="M1819" s="199">
        <v>3.8051566881064536E-2</v>
      </c>
      <c r="N1819" s="199">
        <v>3.3751586230731767E-2</v>
      </c>
    </row>
    <row r="1820" spans="3:14">
      <c r="C1820" s="29">
        <v>18</v>
      </c>
      <c r="D1820" s="34" t="s">
        <v>2267</v>
      </c>
      <c r="E1820" s="199">
        <v>4.8454925687965347E-2</v>
      </c>
      <c r="F1820" s="199">
        <v>4.4130285508743261E-2</v>
      </c>
      <c r="G1820" s="199">
        <v>4.3577523280471972E-2</v>
      </c>
      <c r="H1820" s="199">
        <v>4.1438650326065127E-2</v>
      </c>
      <c r="I1820" s="199">
        <v>4.4638585063490457E-2</v>
      </c>
      <c r="J1820" s="199">
        <v>5.2611171021095283E-2</v>
      </c>
      <c r="K1820" s="199">
        <v>4.3543809960911374E-2</v>
      </c>
      <c r="L1820" s="199">
        <v>4.4477023875773396E-2</v>
      </c>
      <c r="M1820" s="199">
        <v>3.7440169882634627E-2</v>
      </c>
      <c r="N1820" s="199">
        <v>3.6904410725101637E-2</v>
      </c>
    </row>
    <row r="1821" spans="3:14">
      <c r="C1821" s="29">
        <v>19</v>
      </c>
      <c r="D1821" s="34" t="s">
        <v>2268</v>
      </c>
      <c r="E1821" s="199">
        <v>5.0748579346384201E-2</v>
      </c>
      <c r="F1821" s="199">
        <v>4.1158642001849606E-2</v>
      </c>
      <c r="G1821" s="199">
        <v>4.236566277547904E-2</v>
      </c>
      <c r="H1821" s="199">
        <v>4.0724088249085896E-2</v>
      </c>
      <c r="I1821" s="199">
        <v>4.1743761262930848E-2</v>
      </c>
      <c r="J1821" s="199">
        <v>5.2795131606845486E-2</v>
      </c>
      <c r="K1821" s="199">
        <v>4.089240856134805E-2</v>
      </c>
      <c r="L1821" s="199">
        <v>4.2603276438273573E-2</v>
      </c>
      <c r="M1821" s="199">
        <v>3.7399419483062149E-2</v>
      </c>
      <c r="N1821" s="199">
        <v>3.6982740413231657E-2</v>
      </c>
    </row>
    <row r="1822" spans="3:14">
      <c r="C1822" s="29">
        <v>20</v>
      </c>
      <c r="D1822" s="34" t="s">
        <v>2269</v>
      </c>
      <c r="E1822" s="199">
        <v>4.8956824000979185E-2</v>
      </c>
      <c r="F1822" s="199">
        <v>4.0197517049173397E-2</v>
      </c>
      <c r="G1822" s="199">
        <v>4.0670400749533785E-2</v>
      </c>
      <c r="H1822" s="199">
        <v>3.9560687373909741E-2</v>
      </c>
      <c r="I1822" s="199">
        <v>3.9102166012159767E-2</v>
      </c>
      <c r="J1822" s="199">
        <v>5.1106058824061218E-2</v>
      </c>
      <c r="K1822" s="199">
        <v>3.9033339188339455E-2</v>
      </c>
      <c r="L1822" s="199">
        <v>4.0942553008104815E-2</v>
      </c>
      <c r="M1822" s="199">
        <v>3.6439176503517016E-2</v>
      </c>
      <c r="N1822" s="199">
        <v>4.4225072831336761E-2</v>
      </c>
    </row>
    <row r="1823" spans="3:14">
      <c r="C1823" s="29">
        <v>21</v>
      </c>
      <c r="D1823" s="34" t="s">
        <v>2270</v>
      </c>
      <c r="E1823" s="199">
        <v>4.7586628884625351E-2</v>
      </c>
      <c r="F1823" s="199">
        <v>3.8576733268875812E-2</v>
      </c>
      <c r="G1823" s="199">
        <v>3.9524111470044934E-2</v>
      </c>
      <c r="H1823" s="199">
        <v>3.8631821133672993E-2</v>
      </c>
      <c r="I1823" s="199">
        <v>3.9069612950955561E-2</v>
      </c>
      <c r="J1823" s="199">
        <v>4.9684614018697497E-2</v>
      </c>
      <c r="K1823" s="199">
        <v>3.8648496700945389E-2</v>
      </c>
      <c r="L1823" s="199">
        <v>3.790940041511047E-2</v>
      </c>
      <c r="M1823" s="199">
        <v>3.5583559117337897E-2</v>
      </c>
      <c r="N1823" s="199">
        <v>4.0783803078727664E-2</v>
      </c>
    </row>
    <row r="1824" spans="3:14">
      <c r="C1824" s="29">
        <v>22</v>
      </c>
      <c r="D1824" s="34" t="s">
        <v>2271</v>
      </c>
      <c r="E1824" s="199">
        <v>4.4793103990144058E-2</v>
      </c>
      <c r="F1824" s="199">
        <v>3.7676683682004282E-2</v>
      </c>
      <c r="G1824" s="199">
        <v>3.7696746451740773E-2</v>
      </c>
      <c r="H1824" s="199">
        <v>3.9225545809944536E-2</v>
      </c>
      <c r="I1824" s="199">
        <v>3.9180864465386787E-2</v>
      </c>
      <c r="J1824" s="199">
        <v>4.4349042746105384E-2</v>
      </c>
      <c r="K1824" s="199">
        <v>3.7786859449563677E-2</v>
      </c>
      <c r="L1824" s="199">
        <v>3.5295054620208641E-2</v>
      </c>
      <c r="M1824" s="199">
        <v>3.59957162728754E-2</v>
      </c>
      <c r="N1824" s="199">
        <v>3.6728332568218829E-2</v>
      </c>
    </row>
    <row r="1825" spans="1:14">
      <c r="C1825" s="29">
        <v>23</v>
      </c>
      <c r="D1825" s="34" t="s">
        <v>2272</v>
      </c>
      <c r="E1825" s="199">
        <v>4.1626302404057076E-2</v>
      </c>
      <c r="F1825" s="199">
        <v>3.6037308030380563E-2</v>
      </c>
      <c r="G1825" s="199">
        <v>3.4827811929638013E-2</v>
      </c>
      <c r="H1825" s="199">
        <v>3.713516290512945E-2</v>
      </c>
      <c r="I1825" s="199">
        <v>4.2905048888415752E-2</v>
      </c>
      <c r="J1825" s="199">
        <v>4.0171126255202777E-2</v>
      </c>
      <c r="K1825" s="199">
        <v>3.6452327273996589E-2</v>
      </c>
      <c r="L1825" s="199">
        <v>3.0345261845910451E-2</v>
      </c>
      <c r="M1825" s="199">
        <v>3.4777434430985535E-2</v>
      </c>
      <c r="N1825" s="199">
        <v>3.5062899394134046E-2</v>
      </c>
    </row>
    <row r="1826" spans="1:14">
      <c r="C1826" s="29">
        <v>24</v>
      </c>
      <c r="D1826" s="34" t="s">
        <v>2273</v>
      </c>
      <c r="E1826" s="199">
        <v>3.742496390410803E-2</v>
      </c>
      <c r="F1826" s="199">
        <v>3.642832500232291E-2</v>
      </c>
      <c r="G1826" s="199">
        <v>3.2923588026929941E-2</v>
      </c>
      <c r="H1826" s="199">
        <v>3.5092133187706993E-2</v>
      </c>
      <c r="I1826" s="199">
        <v>4.0410913293836379E-2</v>
      </c>
      <c r="J1826" s="199">
        <v>3.5029163757639876E-2</v>
      </c>
      <c r="K1826" s="199">
        <v>3.6173025294256034E-2</v>
      </c>
      <c r="L1826" s="199">
        <v>2.7885839693286379E-2</v>
      </c>
      <c r="M1826" s="199">
        <v>3.4290544708758024E-2</v>
      </c>
      <c r="N1826" s="199">
        <v>4.3014126399243138E-2</v>
      </c>
    </row>
    <row r="1827" spans="1:14">
      <c r="A1827" s="16" t="s">
        <v>440</v>
      </c>
      <c r="B1827" s="16" t="s">
        <v>424</v>
      </c>
      <c r="C1827" s="29">
        <v>1</v>
      </c>
      <c r="D1827" s="34" t="s">
        <v>2274</v>
      </c>
      <c r="E1827" s="199">
        <v>3.411761809551811E-2</v>
      </c>
      <c r="F1827" s="199">
        <v>4.1658245877615435E-2</v>
      </c>
      <c r="G1827" s="199">
        <v>3.8619065881941854E-2</v>
      </c>
      <c r="H1827" s="199">
        <v>4.3393312056616909E-2</v>
      </c>
      <c r="I1827" s="199">
        <v>4.536662557480535E-2</v>
      </c>
      <c r="J1827" s="199">
        <v>3.0429872452029324E-2</v>
      </c>
      <c r="K1827" s="199">
        <v>4.1261686531334565E-2</v>
      </c>
      <c r="L1827" s="199">
        <v>3.4100932382171059E-2</v>
      </c>
      <c r="M1827" s="199">
        <v>3.8999121328755666E-2</v>
      </c>
      <c r="N1827" s="199">
        <v>4.5403928435981566E-2</v>
      </c>
    </row>
    <row r="1828" spans="1:14">
      <c r="C1828" s="29">
        <v>2</v>
      </c>
      <c r="D1828" s="34" t="s">
        <v>2275</v>
      </c>
      <c r="E1828" s="199">
        <v>3.2466411956767825E-2</v>
      </c>
      <c r="F1828" s="199">
        <v>4.1230988408141774E-2</v>
      </c>
      <c r="G1828" s="199">
        <v>3.8252567090959123E-2</v>
      </c>
      <c r="H1828" s="199">
        <v>4.1217772301794145E-2</v>
      </c>
      <c r="I1828" s="199">
        <v>3.9261006434876282E-2</v>
      </c>
      <c r="J1828" s="199">
        <v>2.9101571031690004E-2</v>
      </c>
      <c r="K1828" s="199">
        <v>4.0513631512162029E-2</v>
      </c>
      <c r="L1828" s="199">
        <v>3.3062224319913437E-2</v>
      </c>
      <c r="M1828" s="199">
        <v>3.9593096885719235E-2</v>
      </c>
      <c r="N1828" s="199">
        <v>3.8298051053886825E-2</v>
      </c>
    </row>
    <row r="1829" spans="1:14">
      <c r="C1829" s="29">
        <v>3</v>
      </c>
      <c r="D1829" s="34" t="s">
        <v>2276</v>
      </c>
      <c r="E1829" s="199">
        <v>3.1821809659751996E-2</v>
      </c>
      <c r="F1829" s="199">
        <v>4.1133769847594849E-2</v>
      </c>
      <c r="G1829" s="199">
        <v>3.7703144262243561E-2</v>
      </c>
      <c r="H1829" s="199">
        <v>4.0300826908551537E-2</v>
      </c>
      <c r="I1829" s="199">
        <v>3.8760355160921758E-2</v>
      </c>
      <c r="J1829" s="199">
        <v>2.8501374748982292E-2</v>
      </c>
      <c r="K1829" s="199">
        <v>4.025296592588367E-2</v>
      </c>
      <c r="L1829" s="199">
        <v>3.208765716649923E-2</v>
      </c>
      <c r="M1829" s="199">
        <v>3.8703490721216163E-2</v>
      </c>
      <c r="N1829" s="199">
        <v>3.7737233770872632E-2</v>
      </c>
    </row>
    <row r="1830" spans="1:14">
      <c r="C1830" s="29">
        <v>4</v>
      </c>
      <c r="D1830" s="34" t="s">
        <v>2277</v>
      </c>
      <c r="E1830" s="199">
        <v>3.2069260692317879E-2</v>
      </c>
      <c r="F1830" s="199">
        <v>4.0856214379197266E-2</v>
      </c>
      <c r="G1830" s="199">
        <v>3.7614829395527363E-2</v>
      </c>
      <c r="H1830" s="199">
        <v>3.9656208583068515E-2</v>
      </c>
      <c r="I1830" s="199">
        <v>3.562802061382362E-2</v>
      </c>
      <c r="J1830" s="199">
        <v>2.7922221176198064E-2</v>
      </c>
      <c r="K1830" s="199">
        <v>4.032908298931643E-2</v>
      </c>
      <c r="L1830" s="199">
        <v>3.2245199481062845E-2</v>
      </c>
      <c r="M1830" s="199">
        <v>3.8953753042971141E-2</v>
      </c>
      <c r="N1830" s="199">
        <v>3.1531972948414144E-2</v>
      </c>
    </row>
    <row r="1831" spans="1:14">
      <c r="C1831" s="29">
        <v>5</v>
      </c>
      <c r="D1831" s="34" t="s">
        <v>2278</v>
      </c>
      <c r="E1831" s="199">
        <v>3.2587574170804628E-2</v>
      </c>
      <c r="F1831" s="199">
        <v>4.112872787826688E-2</v>
      </c>
      <c r="G1831" s="199">
        <v>3.8596558422795968E-2</v>
      </c>
      <c r="H1831" s="199">
        <v>4.0820741162886191E-2</v>
      </c>
      <c r="I1831" s="199">
        <v>3.4995975086605069E-2</v>
      </c>
      <c r="J1831" s="199">
        <v>2.892416035493937E-2</v>
      </c>
      <c r="K1831" s="199">
        <v>4.1391312204897439E-2</v>
      </c>
      <c r="L1831" s="199">
        <v>3.421984767470803E-2</v>
      </c>
      <c r="M1831" s="199">
        <v>4.1439159577710459E-2</v>
      </c>
      <c r="N1831" s="199">
        <v>2.5386314870481753E-2</v>
      </c>
    </row>
    <row r="1832" spans="1:14">
      <c r="C1832" s="29">
        <v>6</v>
      </c>
      <c r="D1832" s="34" t="s">
        <v>2279</v>
      </c>
      <c r="E1832" s="199">
        <v>3.4922917589494722E-2</v>
      </c>
      <c r="F1832" s="199">
        <v>4.2266742372000884E-2</v>
      </c>
      <c r="G1832" s="199">
        <v>4.0357637870076499E-2</v>
      </c>
      <c r="H1832" s="199">
        <v>4.1821324936173937E-2</v>
      </c>
      <c r="I1832" s="199">
        <v>3.1822809804978647E-2</v>
      </c>
      <c r="J1832" s="199">
        <v>3.1056403805335073E-2</v>
      </c>
      <c r="K1832" s="199">
        <v>4.2114317755243665E-2</v>
      </c>
      <c r="L1832" s="199">
        <v>3.7120990320857181E-2</v>
      </c>
      <c r="M1832" s="199">
        <v>4.663324665534916E-2</v>
      </c>
      <c r="N1832" s="199">
        <v>3.8322867854988431E-2</v>
      </c>
    </row>
    <row r="1833" spans="1:14">
      <c r="C1833" s="29">
        <v>7</v>
      </c>
      <c r="D1833" s="34" t="s">
        <v>2280</v>
      </c>
      <c r="E1833" s="199">
        <v>3.8234762046527482E-2</v>
      </c>
      <c r="F1833" s="199">
        <v>4.2631790837560322E-2</v>
      </c>
      <c r="G1833" s="199">
        <v>4.2331020856612118E-2</v>
      </c>
      <c r="H1833" s="199">
        <v>4.2035946545028499E-2</v>
      </c>
      <c r="I1833" s="199">
        <v>3.0656759991007747E-2</v>
      </c>
      <c r="J1833" s="199">
        <v>3.7132682731539635E-2</v>
      </c>
      <c r="K1833" s="199">
        <v>4.2020822986059025E-2</v>
      </c>
      <c r="L1833" s="199">
        <v>4.1251878565455202E-2</v>
      </c>
      <c r="M1833" s="199">
        <v>4.6432618013768703E-2</v>
      </c>
      <c r="N1833" s="199">
        <v>4.1865519239596242E-2</v>
      </c>
    </row>
    <row r="1834" spans="1:14">
      <c r="C1834" s="29">
        <v>8</v>
      </c>
      <c r="D1834" s="34" t="s">
        <v>2281</v>
      </c>
      <c r="E1834" s="199">
        <v>4.2293900266727129E-2</v>
      </c>
      <c r="F1834" s="199">
        <v>4.0140118799177886E-2</v>
      </c>
      <c r="G1834" s="199">
        <v>4.3702035880867143E-2</v>
      </c>
      <c r="H1834" s="199">
        <v>4.2714158363998125E-2</v>
      </c>
      <c r="I1834" s="199">
        <v>3.9615901482084451E-2</v>
      </c>
      <c r="J1834" s="199">
        <v>4.1319081965826288E-2</v>
      </c>
      <c r="K1834" s="199">
        <v>3.820425646851193E-2</v>
      </c>
      <c r="L1834" s="199">
        <v>4.4884889825324466E-2</v>
      </c>
      <c r="M1834" s="199">
        <v>4.6236177213952963E-2</v>
      </c>
      <c r="N1834" s="199">
        <v>4.584532812053245E-2</v>
      </c>
    </row>
    <row r="1835" spans="1:14">
      <c r="C1835" s="29">
        <v>9</v>
      </c>
      <c r="D1835" s="34" t="s">
        <v>2282</v>
      </c>
      <c r="E1835" s="199">
        <v>4.6629648139014206E-2</v>
      </c>
      <c r="F1835" s="199">
        <v>3.8821804470897094E-2</v>
      </c>
      <c r="G1835" s="199">
        <v>4.3647740664640583E-2</v>
      </c>
      <c r="H1835" s="199">
        <v>4.2432914892359848E-2</v>
      </c>
      <c r="I1835" s="199">
        <v>4.7104543060163845E-2</v>
      </c>
      <c r="J1835" s="199">
        <v>4.5400734027106739E-2</v>
      </c>
      <c r="K1835" s="199">
        <v>3.9693566535041039E-2</v>
      </c>
      <c r="L1835" s="199">
        <v>4.6656535076706633E-2</v>
      </c>
      <c r="M1835" s="199">
        <v>4.7753261669537417E-2</v>
      </c>
      <c r="N1835" s="199">
        <v>3.87095433114691E-2</v>
      </c>
    </row>
    <row r="1836" spans="1:14">
      <c r="C1836" s="29">
        <v>10</v>
      </c>
      <c r="D1836" s="34" t="s">
        <v>2283</v>
      </c>
      <c r="E1836" s="199">
        <v>4.7892367288829514E-2</v>
      </c>
      <c r="F1836" s="199">
        <v>4.0280354749996042E-2</v>
      </c>
      <c r="G1836" s="199">
        <v>4.5423719672825588E-2</v>
      </c>
      <c r="H1836" s="199">
        <v>4.2066463251261177E-2</v>
      </c>
      <c r="I1836" s="199">
        <v>4.9237592857280209E-2</v>
      </c>
      <c r="J1836" s="199">
        <v>4.7736190947197055E-2</v>
      </c>
      <c r="K1836" s="199">
        <v>4.2100834050446213E-2</v>
      </c>
      <c r="L1836" s="199">
        <v>4.8036026346953482E-2</v>
      </c>
      <c r="M1836" s="199">
        <v>4.682643024490344E-2</v>
      </c>
      <c r="N1836" s="199">
        <v>3.5810643989625301E-2</v>
      </c>
    </row>
    <row r="1837" spans="1:14">
      <c r="C1837" s="29">
        <v>11</v>
      </c>
      <c r="D1837" s="34" t="s">
        <v>2284</v>
      </c>
      <c r="E1837" s="199">
        <v>4.7666535893578464E-2</v>
      </c>
      <c r="F1837" s="199">
        <v>4.0363510170603682E-2</v>
      </c>
      <c r="G1837" s="199">
        <v>4.5537856390807235E-2</v>
      </c>
      <c r="H1837" s="199">
        <v>4.2158390119418902E-2</v>
      </c>
      <c r="I1837" s="199">
        <v>5.1426547526381525E-2</v>
      </c>
      <c r="J1837" s="199">
        <v>4.9092551003871346E-2</v>
      </c>
      <c r="K1837" s="199">
        <v>4.3802803064621365E-2</v>
      </c>
      <c r="L1837" s="199">
        <v>4.8304397080931677E-2</v>
      </c>
      <c r="M1837" s="199">
        <v>4.5315782657216634E-2</v>
      </c>
      <c r="N1837" s="199">
        <v>4.4519007972768539E-2</v>
      </c>
    </row>
    <row r="1838" spans="1:14">
      <c r="C1838" s="29">
        <v>12</v>
      </c>
      <c r="D1838" s="34" t="s">
        <v>2285</v>
      </c>
      <c r="E1838" s="199">
        <v>4.7545194984896143E-2</v>
      </c>
      <c r="F1838" s="199">
        <v>4.0085831124526482E-2</v>
      </c>
      <c r="G1838" s="199">
        <v>4.4040134284329929E-2</v>
      </c>
      <c r="H1838" s="199">
        <v>4.1801420006388409E-2</v>
      </c>
      <c r="I1838" s="199">
        <v>5.3239835699023366E-2</v>
      </c>
      <c r="J1838" s="199">
        <v>4.8238093289790049E-2</v>
      </c>
      <c r="K1838" s="199">
        <v>4.3148320307189784E-2</v>
      </c>
      <c r="L1838" s="199">
        <v>4.7556842835657705E-2</v>
      </c>
      <c r="M1838" s="199">
        <v>4.477973891133176E-2</v>
      </c>
      <c r="N1838" s="199">
        <v>4.9963008118699831E-2</v>
      </c>
    </row>
    <row r="1839" spans="1:14">
      <c r="C1839" s="29">
        <v>13</v>
      </c>
      <c r="D1839" s="34" t="s">
        <v>2286</v>
      </c>
      <c r="E1839" s="199">
        <v>4.6104628781735615E-2</v>
      </c>
      <c r="F1839" s="199">
        <v>3.9581214027618765E-2</v>
      </c>
      <c r="G1839" s="199">
        <v>4.3052719098103917E-2</v>
      </c>
      <c r="H1839" s="199">
        <v>4.2371127980975157E-2</v>
      </c>
      <c r="I1839" s="199">
        <v>4.9427265862443635E-2</v>
      </c>
      <c r="J1839" s="199">
        <v>4.5578453931827814E-2</v>
      </c>
      <c r="K1839" s="199">
        <v>4.3844164716550338E-2</v>
      </c>
      <c r="L1839" s="199">
        <v>4.7200400380692523E-2</v>
      </c>
      <c r="M1839" s="199">
        <v>4.4103402466328594E-2</v>
      </c>
      <c r="N1839" s="199">
        <v>5.9387453473800679E-2</v>
      </c>
    </row>
    <row r="1840" spans="1:14">
      <c r="C1840" s="29">
        <v>14</v>
      </c>
      <c r="D1840" s="34" t="s">
        <v>2287</v>
      </c>
      <c r="E1840" s="199">
        <v>4.3467566698470697E-2</v>
      </c>
      <c r="F1840" s="199">
        <v>3.822408395017337E-2</v>
      </c>
      <c r="G1840" s="199">
        <v>4.2902847759765265E-2</v>
      </c>
      <c r="H1840" s="199">
        <v>4.1332743678567908E-2</v>
      </c>
      <c r="I1840" s="199">
        <v>4.6790834829471155E-2</v>
      </c>
      <c r="J1840" s="199">
        <v>4.5828178329864494E-2</v>
      </c>
      <c r="K1840" s="199">
        <v>4.3293521984570406E-2</v>
      </c>
      <c r="L1840" s="199">
        <v>4.6982450575056497E-2</v>
      </c>
      <c r="M1840" s="199">
        <v>4.3384412077425445E-2</v>
      </c>
      <c r="N1840" s="199">
        <v>7.1953875535894427E-2</v>
      </c>
    </row>
    <row r="1841" spans="1:14">
      <c r="C1841" s="29">
        <v>15</v>
      </c>
      <c r="D1841" s="34" t="s">
        <v>2288</v>
      </c>
      <c r="E1841" s="199">
        <v>4.223394096877927E-2</v>
      </c>
      <c r="F1841" s="199">
        <v>3.7570358025051716E-2</v>
      </c>
      <c r="G1841" s="199">
        <v>4.225152409737E-2</v>
      </c>
      <c r="H1841" s="199">
        <v>4.0569135315408053E-2</v>
      </c>
      <c r="I1841" s="199">
        <v>4.4170190097929669E-2</v>
      </c>
      <c r="J1841" s="199">
        <v>4.6631836478505377E-2</v>
      </c>
      <c r="K1841" s="199">
        <v>4.1176502838813869E-2</v>
      </c>
      <c r="L1841" s="199">
        <v>4.6189053125703768E-2</v>
      </c>
      <c r="M1841" s="199">
        <v>4.3430400784212161E-2</v>
      </c>
      <c r="N1841" s="199">
        <v>5.9270793297681985E-2</v>
      </c>
    </row>
    <row r="1842" spans="1:14">
      <c r="C1842" s="29">
        <v>16</v>
      </c>
      <c r="D1842" s="34" t="s">
        <v>2289</v>
      </c>
      <c r="E1842" s="199">
        <v>4.372969483989389E-2</v>
      </c>
      <c r="F1842" s="199">
        <v>3.877520332791725E-2</v>
      </c>
      <c r="G1842" s="199">
        <v>4.2034714201123001E-2</v>
      </c>
      <c r="H1842" s="199">
        <v>4.0232446881622745E-2</v>
      </c>
      <c r="I1842" s="199">
        <v>4.2347643793621527E-2</v>
      </c>
      <c r="J1842" s="199">
        <v>4.5307930150795227E-2</v>
      </c>
      <c r="K1842" s="199">
        <v>4.13254629051754E-2</v>
      </c>
      <c r="L1842" s="199">
        <v>4.5112074233220972E-2</v>
      </c>
      <c r="M1842" s="199">
        <v>4.0818816128154169E-2</v>
      </c>
      <c r="N1842" s="199">
        <v>5.3079319586946616E-2</v>
      </c>
    </row>
    <row r="1843" spans="1:14">
      <c r="C1843" s="29">
        <v>17</v>
      </c>
      <c r="D1843" s="34" t="s">
        <v>2290</v>
      </c>
      <c r="E1843" s="199">
        <v>4.6359751610096117E-2</v>
      </c>
      <c r="F1843" s="199">
        <v>4.5919859232170845E-2</v>
      </c>
      <c r="G1843" s="199">
        <v>4.3690481119349395E-2</v>
      </c>
      <c r="H1843" s="199">
        <v>4.1672760065913576E-2</v>
      </c>
      <c r="I1843" s="199">
        <v>4.6333388169959355E-2</v>
      </c>
      <c r="J1843" s="199">
        <v>4.8882656182290637E-2</v>
      </c>
      <c r="K1843" s="199">
        <v>4.6021473071113886E-2</v>
      </c>
      <c r="L1843" s="199">
        <v>4.8296653207321821E-2</v>
      </c>
      <c r="M1843" s="199">
        <v>3.8231350338555993E-2</v>
      </c>
      <c r="N1843" s="199">
        <v>4.8594266088710938E-2</v>
      </c>
    </row>
    <row r="1844" spans="1:14">
      <c r="C1844" s="29">
        <v>18</v>
      </c>
      <c r="D1844" s="34" t="s">
        <v>2291</v>
      </c>
      <c r="E1844" s="199">
        <v>4.865849884834321E-2</v>
      </c>
      <c r="F1844" s="199">
        <v>4.7552901194875048E-2</v>
      </c>
      <c r="G1844" s="199">
        <v>4.4323232022968236E-2</v>
      </c>
      <c r="H1844" s="199">
        <v>4.2528420880384367E-2</v>
      </c>
      <c r="I1844" s="199">
        <v>4.8389880339835163E-2</v>
      </c>
      <c r="J1844" s="199">
        <v>5.3100951521332422E-2</v>
      </c>
      <c r="K1844" s="199">
        <v>4.419718205680781E-2</v>
      </c>
      <c r="L1844" s="199">
        <v>4.7907032145663657E-2</v>
      </c>
      <c r="M1844" s="199">
        <v>3.8953210174594223E-2</v>
      </c>
      <c r="N1844" s="199">
        <v>4.4837172089455868E-2</v>
      </c>
    </row>
    <row r="1845" spans="1:14">
      <c r="C1845" s="29">
        <v>19</v>
      </c>
      <c r="D1845" s="34" t="s">
        <v>2292</v>
      </c>
      <c r="E1845" s="199">
        <v>4.7585811794863243E-2</v>
      </c>
      <c r="F1845" s="199">
        <v>4.561506724318784E-2</v>
      </c>
      <c r="G1845" s="199">
        <v>4.4214209807321547E-2</v>
      </c>
      <c r="H1845" s="199">
        <v>4.2433919557585617E-2</v>
      </c>
      <c r="I1845" s="199">
        <v>4.5738849945388904E-2</v>
      </c>
      <c r="J1845" s="199">
        <v>5.4220757249924541E-2</v>
      </c>
      <c r="K1845" s="199">
        <v>4.2286312483967518E-2</v>
      </c>
      <c r="L1845" s="199">
        <v>4.6790858962729644E-2</v>
      </c>
      <c r="M1845" s="199">
        <v>3.8476726844918797E-2</v>
      </c>
      <c r="N1845" s="199">
        <v>3.5249190378377739E-2</v>
      </c>
    </row>
    <row r="1846" spans="1:14">
      <c r="C1846" s="29">
        <v>20</v>
      </c>
      <c r="D1846" s="34" t="s">
        <v>2293</v>
      </c>
      <c r="E1846" s="199">
        <v>4.7366898780144634E-2</v>
      </c>
      <c r="F1846" s="199">
        <v>4.5714843861702631E-2</v>
      </c>
      <c r="G1846" s="199">
        <v>4.2463249898549195E-2</v>
      </c>
      <c r="H1846" s="199">
        <v>4.1926249660690015E-2</v>
      </c>
      <c r="I1846" s="199">
        <v>3.705982628421562E-2</v>
      </c>
      <c r="J1846" s="199">
        <v>4.9926097810114936E-2</v>
      </c>
      <c r="K1846" s="199">
        <v>4.102676784688928E-2</v>
      </c>
      <c r="L1846" s="199">
        <v>4.4407737926526004E-2</v>
      </c>
      <c r="M1846" s="199">
        <v>3.8186835131649464E-2</v>
      </c>
      <c r="N1846" s="199">
        <v>2.7222333933178751E-2</v>
      </c>
    </row>
    <row r="1847" spans="1:14">
      <c r="C1847" s="29">
        <v>21</v>
      </c>
      <c r="D1847" s="34" t="s">
        <v>2294</v>
      </c>
      <c r="E1847" s="199">
        <v>4.6981126017987485E-2</v>
      </c>
      <c r="F1847" s="199">
        <v>4.47286692629019E-2</v>
      </c>
      <c r="G1847" s="199">
        <v>4.172094161138179E-2</v>
      </c>
      <c r="H1847" s="199">
        <v>4.1217646718640928E-2</v>
      </c>
      <c r="I1847" s="199">
        <v>3.5313481525160874E-2</v>
      </c>
      <c r="J1847" s="199">
        <v>4.7719715686476441E-2</v>
      </c>
      <c r="K1847" s="199">
        <v>4.0912136982971845E-2</v>
      </c>
      <c r="L1847" s="199">
        <v>4.1244583229669424E-2</v>
      </c>
      <c r="M1847" s="199">
        <v>3.8246473100484173E-2</v>
      </c>
      <c r="N1847" s="199">
        <v>2.7080644846547326E-2</v>
      </c>
    </row>
    <row r="1848" spans="1:14">
      <c r="C1848" s="29">
        <v>22</v>
      </c>
      <c r="D1848" s="34" t="s">
        <v>2295</v>
      </c>
      <c r="E1848" s="199">
        <v>4.3617539801908058E-2</v>
      </c>
      <c r="F1848" s="199">
        <v>4.2454370362948378E-2</v>
      </c>
      <c r="G1848" s="199">
        <v>4.0732912198359304E-2</v>
      </c>
      <c r="H1848" s="199">
        <v>4.1463601324224122E-2</v>
      </c>
      <c r="I1848" s="199">
        <v>3.4123811606041339E-2</v>
      </c>
      <c r="J1848" s="199">
        <v>4.3896998961303245E-2</v>
      </c>
      <c r="K1848" s="199">
        <v>4.0893345038067339E-2</v>
      </c>
      <c r="L1848" s="199">
        <v>3.8867293185178828E-2</v>
      </c>
      <c r="M1848" s="199">
        <v>3.8387308667979375E-2</v>
      </c>
      <c r="N1848" s="199">
        <v>2.6918381147036787E-2</v>
      </c>
    </row>
    <row r="1849" spans="1:14">
      <c r="C1849" s="29">
        <v>23</v>
      </c>
      <c r="D1849" s="34" t="s">
        <v>2296</v>
      </c>
      <c r="E1849" s="199">
        <v>3.9487355971361097E-2</v>
      </c>
      <c r="F1849" s="199">
        <v>4.2063728959942315E-2</v>
      </c>
      <c r="G1849" s="199">
        <v>3.969860900618493E-2</v>
      </c>
      <c r="H1849" s="199">
        <v>4.2720249146929339E-2</v>
      </c>
      <c r="I1849" s="199">
        <v>3.5053660368525863E-2</v>
      </c>
      <c r="J1849" s="199">
        <v>3.9172674860521846E-2</v>
      </c>
      <c r="K1849" s="199">
        <v>4.0963475801525366E-2</v>
      </c>
      <c r="L1849" s="199">
        <v>3.5364331509714866E-2</v>
      </c>
      <c r="M1849" s="199">
        <v>3.859507215108493E-2</v>
      </c>
      <c r="N1849" s="199">
        <v>3.827196159631846E-2</v>
      </c>
    </row>
    <row r="1850" spans="1:14">
      <c r="C1850" s="29">
        <v>24</v>
      </c>
      <c r="D1850" s="34" t="s">
        <v>2297</v>
      </c>
      <c r="E1850" s="199">
        <v>3.6159185102188768E-2</v>
      </c>
      <c r="F1850" s="199">
        <v>4.1201601635931201E-2</v>
      </c>
      <c r="G1850" s="199">
        <v>3.7088248505896357E-2</v>
      </c>
      <c r="H1850" s="199">
        <v>4.1112219661511955E-2</v>
      </c>
      <c r="I1850" s="199">
        <v>3.8135193885455068E-2</v>
      </c>
      <c r="J1850" s="199">
        <v>3.4878811302537817E-2</v>
      </c>
      <c r="K1850" s="199">
        <v>3.9226053942839664E-2</v>
      </c>
      <c r="L1850" s="199">
        <v>3.2110110442281119E-2</v>
      </c>
      <c r="M1850" s="199">
        <v>3.7520115212180107E-2</v>
      </c>
      <c r="N1850" s="199">
        <v>3.4741188338733638E-2</v>
      </c>
    </row>
    <row r="1851" spans="1:14">
      <c r="A1851" s="16" t="s">
        <v>441</v>
      </c>
      <c r="B1851" s="16" t="s">
        <v>423</v>
      </c>
      <c r="C1851" s="29">
        <v>1</v>
      </c>
      <c r="D1851" s="34" t="s">
        <v>2298</v>
      </c>
      <c r="E1851" s="199">
        <v>3.5354230367573049E-2</v>
      </c>
      <c r="F1851" s="199">
        <v>4.1541744456481955E-2</v>
      </c>
      <c r="G1851" s="199">
        <v>3.7343598727512646E-2</v>
      </c>
      <c r="H1851" s="199">
        <v>4.1768471741254504E-2</v>
      </c>
      <c r="I1851" s="199">
        <v>4.077114111278976E-2</v>
      </c>
      <c r="J1851" s="199">
        <v>3.2724008873333196E-2</v>
      </c>
      <c r="K1851" s="199">
        <v>4.0916069002437348E-2</v>
      </c>
      <c r="L1851" s="199">
        <v>3.5842812686294453E-2</v>
      </c>
      <c r="M1851" s="199">
        <v>4.2324403354046393E-2</v>
      </c>
      <c r="N1851" s="199">
        <v>3.252660353701016E-2</v>
      </c>
    </row>
    <row r="1852" spans="1:14">
      <c r="C1852" s="29">
        <v>2</v>
      </c>
      <c r="D1852" s="34" t="s">
        <v>2299</v>
      </c>
      <c r="E1852" s="199">
        <v>3.2636514966525421E-2</v>
      </c>
      <c r="F1852" s="199">
        <v>4.2242815598642638E-2</v>
      </c>
      <c r="G1852" s="199">
        <v>3.8268033019872451E-2</v>
      </c>
      <c r="H1852" s="199">
        <v>4.2204460201973375E-2</v>
      </c>
      <c r="I1852" s="199">
        <v>3.6075918517278684E-2</v>
      </c>
      <c r="J1852" s="199">
        <v>3.1730127394569485E-2</v>
      </c>
      <c r="K1852" s="199">
        <v>4.1665744546886645E-2</v>
      </c>
      <c r="L1852" s="199">
        <v>3.65298231451806E-2</v>
      </c>
      <c r="M1852" s="199">
        <v>4.2940429104616221E-2</v>
      </c>
      <c r="N1852" s="199">
        <v>2.8833133895180045E-2</v>
      </c>
    </row>
    <row r="1853" spans="1:14">
      <c r="C1853" s="29">
        <v>3</v>
      </c>
      <c r="D1853" s="34" t="s">
        <v>2300</v>
      </c>
      <c r="E1853" s="199">
        <v>3.2592289945424874E-2</v>
      </c>
      <c r="F1853" s="199">
        <v>4.1932188993503809E-2</v>
      </c>
      <c r="G1853" s="199">
        <v>3.7191016335408215E-2</v>
      </c>
      <c r="H1853" s="199">
        <v>4.1198908526639717E-2</v>
      </c>
      <c r="I1853" s="199">
        <v>3.3439923042448819E-2</v>
      </c>
      <c r="J1853" s="199">
        <v>3.1547040462607111E-2</v>
      </c>
      <c r="K1853" s="199">
        <v>4.1287074622488353E-2</v>
      </c>
      <c r="L1853" s="199">
        <v>3.5590600206802638E-2</v>
      </c>
      <c r="M1853" s="199">
        <v>4.1654138938490709E-2</v>
      </c>
      <c r="N1853" s="199">
        <v>2.7966391793868089E-2</v>
      </c>
    </row>
    <row r="1854" spans="1:14">
      <c r="C1854" s="29">
        <v>4</v>
      </c>
      <c r="D1854" s="34" t="s">
        <v>2301</v>
      </c>
      <c r="E1854" s="199">
        <v>3.2541513069346467E-2</v>
      </c>
      <c r="F1854" s="199">
        <v>4.184597918921306E-2</v>
      </c>
      <c r="G1854" s="199">
        <v>3.8325011954240193E-2</v>
      </c>
      <c r="H1854" s="199">
        <v>4.0381451912914597E-2</v>
      </c>
      <c r="I1854" s="199">
        <v>3.3710864383101578E-2</v>
      </c>
      <c r="J1854" s="199">
        <v>3.085597055976972E-2</v>
      </c>
      <c r="K1854" s="199">
        <v>4.1863652872026431E-2</v>
      </c>
      <c r="L1854" s="199">
        <v>3.5863460873040647E-2</v>
      </c>
      <c r="M1854" s="199">
        <v>4.2359819468626193E-2</v>
      </c>
      <c r="N1854" s="199">
        <v>2.9047402486581084E-2</v>
      </c>
    </row>
    <row r="1855" spans="1:14">
      <c r="C1855" s="29">
        <v>5</v>
      </c>
      <c r="D1855" s="34" t="s">
        <v>2302</v>
      </c>
      <c r="E1855" s="199">
        <v>3.3294678580210332E-2</v>
      </c>
      <c r="F1855" s="199">
        <v>4.3060549908418018E-2</v>
      </c>
      <c r="G1855" s="199">
        <v>3.8934720530776061E-2</v>
      </c>
      <c r="H1855" s="199">
        <v>4.1284227008177229E-2</v>
      </c>
      <c r="I1855" s="199">
        <v>3.2618225661195939E-2</v>
      </c>
      <c r="J1855" s="199">
        <v>3.09392439447604E-2</v>
      </c>
      <c r="K1855" s="199">
        <v>4.2908788132735347E-2</v>
      </c>
      <c r="L1855" s="199">
        <v>3.6658550842055833E-2</v>
      </c>
      <c r="M1855" s="199">
        <v>4.2654210761380408E-2</v>
      </c>
      <c r="N1855" s="199">
        <v>2.9469231444606343E-2</v>
      </c>
    </row>
    <row r="1856" spans="1:14">
      <c r="C1856" s="29">
        <v>6</v>
      </c>
      <c r="D1856" s="34" t="s">
        <v>2303</v>
      </c>
      <c r="E1856" s="199">
        <v>3.4105196647057648E-2</v>
      </c>
      <c r="F1856" s="199">
        <v>4.2564800423095961E-2</v>
      </c>
      <c r="G1856" s="199">
        <v>4.0562422270929467E-2</v>
      </c>
      <c r="H1856" s="199">
        <v>4.1948214755724078E-2</v>
      </c>
      <c r="I1856" s="199">
        <v>3.9382399606752168E-2</v>
      </c>
      <c r="J1856" s="199">
        <v>3.2723936293392757E-2</v>
      </c>
      <c r="K1856" s="199">
        <v>4.3749604637879032E-2</v>
      </c>
      <c r="L1856" s="199">
        <v>3.7271365303528273E-2</v>
      </c>
      <c r="M1856" s="199">
        <v>4.2935640911969074E-2</v>
      </c>
      <c r="N1856" s="199">
        <v>3.6300177274704762E-2</v>
      </c>
    </row>
    <row r="1857" spans="3:14">
      <c r="C1857" s="29">
        <v>7</v>
      </c>
      <c r="D1857" s="34" t="s">
        <v>2304</v>
      </c>
      <c r="E1857" s="199">
        <v>3.5981933811842705E-2</v>
      </c>
      <c r="F1857" s="199">
        <v>4.3225163615264177E-2</v>
      </c>
      <c r="G1857" s="199">
        <v>4.245535198719131E-2</v>
      </c>
      <c r="H1857" s="199">
        <v>4.1342981339786679E-2</v>
      </c>
      <c r="I1857" s="199">
        <v>3.9435518209652694E-2</v>
      </c>
      <c r="J1857" s="199">
        <v>3.5862268724423031E-2</v>
      </c>
      <c r="K1857" s="199">
        <v>4.4736528801766116E-2</v>
      </c>
      <c r="L1857" s="199">
        <v>4.0115720417459436E-2</v>
      </c>
      <c r="M1857" s="199">
        <v>4.2409930381330001E-2</v>
      </c>
      <c r="N1857" s="199">
        <v>3.9333281377474771E-2</v>
      </c>
    </row>
    <row r="1858" spans="3:14">
      <c r="C1858" s="29">
        <v>8</v>
      </c>
      <c r="D1858" s="34" t="s">
        <v>2305</v>
      </c>
      <c r="E1858" s="199">
        <v>4.0038679610463715E-2</v>
      </c>
      <c r="F1858" s="199">
        <v>4.1159531179611082E-2</v>
      </c>
      <c r="G1858" s="199">
        <v>4.3742732600842951E-2</v>
      </c>
      <c r="H1858" s="199">
        <v>4.1720795472169649E-2</v>
      </c>
      <c r="I1858" s="199">
        <v>4.0778434284812717E-2</v>
      </c>
      <c r="J1858" s="199">
        <v>3.9287683045400097E-2</v>
      </c>
      <c r="K1858" s="199">
        <v>4.202352179706214E-2</v>
      </c>
      <c r="L1858" s="199">
        <v>4.2431107264270657E-2</v>
      </c>
      <c r="M1858" s="199">
        <v>4.1202645393882499E-2</v>
      </c>
      <c r="N1858" s="199">
        <v>6.3891697683985393E-2</v>
      </c>
    </row>
    <row r="1859" spans="3:14">
      <c r="C1859" s="29">
        <v>9</v>
      </c>
      <c r="D1859" s="34" t="s">
        <v>2306</v>
      </c>
      <c r="E1859" s="199">
        <v>4.4576569813731481E-2</v>
      </c>
      <c r="F1859" s="199">
        <v>3.7133467791044539E-2</v>
      </c>
      <c r="G1859" s="199">
        <v>4.5182502278937699E-2</v>
      </c>
      <c r="H1859" s="199">
        <v>4.1409739716570963E-2</v>
      </c>
      <c r="I1859" s="199">
        <v>4.5285128383530417E-2</v>
      </c>
      <c r="J1859" s="199">
        <v>4.249114790853159E-2</v>
      </c>
      <c r="K1859" s="199">
        <v>3.8641870850108347E-2</v>
      </c>
      <c r="L1859" s="199">
        <v>4.3379939965801369E-2</v>
      </c>
      <c r="M1859" s="199">
        <v>4.2498759610439245E-2</v>
      </c>
      <c r="N1859" s="199">
        <v>6.845546084024462E-2</v>
      </c>
    </row>
    <row r="1860" spans="3:14">
      <c r="C1860" s="29">
        <v>10</v>
      </c>
      <c r="D1860" s="34" t="s">
        <v>2307</v>
      </c>
      <c r="E1860" s="199">
        <v>4.6753890201615911E-2</v>
      </c>
      <c r="F1860" s="199">
        <v>3.6934572495133836E-2</v>
      </c>
      <c r="G1860" s="199">
        <v>4.5237372184272699E-2</v>
      </c>
      <c r="H1860" s="199">
        <v>4.0356917774443918E-2</v>
      </c>
      <c r="I1860" s="199">
        <v>4.6619900416598144E-2</v>
      </c>
      <c r="J1860" s="199">
        <v>4.604364970520769E-2</v>
      </c>
      <c r="K1860" s="199">
        <v>3.9379164389579384E-2</v>
      </c>
      <c r="L1860" s="199">
        <v>4.4205853957720302E-2</v>
      </c>
      <c r="M1860" s="199">
        <v>4.1604275690923807E-2</v>
      </c>
      <c r="N1860" s="199">
        <v>5.3899402277442311E-2</v>
      </c>
    </row>
    <row r="1861" spans="3:14">
      <c r="C1861" s="29">
        <v>11</v>
      </c>
      <c r="D1861" s="34" t="s">
        <v>2308</v>
      </c>
      <c r="E1861" s="199">
        <v>4.5959948327862578E-2</v>
      </c>
      <c r="F1861" s="199">
        <v>3.7526958814016118E-2</v>
      </c>
      <c r="G1861" s="199">
        <v>4.5536145438829577E-2</v>
      </c>
      <c r="H1861" s="199">
        <v>3.9785034546734981E-2</v>
      </c>
      <c r="I1861" s="199">
        <v>4.5452871340058369E-2</v>
      </c>
      <c r="J1861" s="199">
        <v>4.7797761705604076E-2</v>
      </c>
      <c r="K1861" s="199">
        <v>3.9748179484779447E-2</v>
      </c>
      <c r="L1861" s="199">
        <v>4.6426908781661683E-2</v>
      </c>
      <c r="M1861" s="199">
        <v>4.188306408005197E-2</v>
      </c>
      <c r="N1861" s="199">
        <v>5.0576463404167583E-2</v>
      </c>
    </row>
    <row r="1862" spans="3:14">
      <c r="C1862" s="29">
        <v>12</v>
      </c>
      <c r="D1862" s="34" t="s">
        <v>2309</v>
      </c>
      <c r="E1862" s="199">
        <v>4.5989189455169825E-2</v>
      </c>
      <c r="F1862" s="199">
        <v>3.8069888594952167E-2</v>
      </c>
      <c r="G1862" s="199">
        <v>4.5445943438782277E-2</v>
      </c>
      <c r="H1862" s="199">
        <v>4.0233899080126402E-2</v>
      </c>
      <c r="I1862" s="199">
        <v>4.8481725681191391E-2</v>
      </c>
      <c r="J1862" s="199">
        <v>4.5988815560210193E-2</v>
      </c>
      <c r="K1862" s="199">
        <v>4.1199084020022619E-2</v>
      </c>
      <c r="L1862" s="199">
        <v>4.6904162236415345E-2</v>
      </c>
      <c r="M1862" s="199">
        <v>4.2183151670955391E-2</v>
      </c>
      <c r="N1862" s="199">
        <v>4.9762992499612801E-2</v>
      </c>
    </row>
    <row r="1863" spans="3:14">
      <c r="C1863" s="29">
        <v>13</v>
      </c>
      <c r="D1863" s="34" t="s">
        <v>2310</v>
      </c>
      <c r="E1863" s="199">
        <v>4.4575162157616546E-2</v>
      </c>
      <c r="F1863" s="199">
        <v>3.745201525965268E-2</v>
      </c>
      <c r="G1863" s="199">
        <v>4.4729816772302956E-2</v>
      </c>
      <c r="H1863" s="199">
        <v>4.0650341430527023E-2</v>
      </c>
      <c r="I1863" s="199">
        <v>4.967367309547626E-2</v>
      </c>
      <c r="J1863" s="199">
        <v>4.5871526376469685E-2</v>
      </c>
      <c r="K1863" s="199">
        <v>4.017810150573331E-2</v>
      </c>
      <c r="L1863" s="199">
        <v>4.6759490149905165E-2</v>
      </c>
      <c r="M1863" s="199">
        <v>4.1505622411383336E-2</v>
      </c>
      <c r="N1863" s="199">
        <v>5.370585026255794E-2</v>
      </c>
    </row>
    <row r="1864" spans="3:14">
      <c r="C1864" s="29">
        <v>14</v>
      </c>
      <c r="D1864" s="34" t="s">
        <v>2311</v>
      </c>
      <c r="E1864" s="199">
        <v>4.3652424712872707E-2</v>
      </c>
      <c r="F1864" s="199">
        <v>3.7081068232709125E-2</v>
      </c>
      <c r="G1864" s="199">
        <v>4.3622494512321107E-2</v>
      </c>
      <c r="H1864" s="199">
        <v>4.1416061752252528E-2</v>
      </c>
      <c r="I1864" s="199">
        <v>4.875607050212153E-2</v>
      </c>
      <c r="J1864" s="199">
        <v>4.5896639035859672E-2</v>
      </c>
      <c r="K1864" s="199">
        <v>3.8679957270484497E-2</v>
      </c>
      <c r="L1864" s="199">
        <v>4.7153315226095553E-2</v>
      </c>
      <c r="M1864" s="199">
        <v>4.2213119152522918E-2</v>
      </c>
      <c r="N1864" s="199">
        <v>5.9161018111220397E-2</v>
      </c>
    </row>
    <row r="1865" spans="3:14">
      <c r="C1865" s="29">
        <v>15</v>
      </c>
      <c r="D1865" s="34" t="s">
        <v>0</v>
      </c>
      <c r="E1865" s="199">
        <v>4.2762875391707617E-2</v>
      </c>
      <c r="F1865" s="199">
        <v>3.7909160594713602E-2</v>
      </c>
      <c r="G1865" s="199">
        <v>4.2027582315212753E-2</v>
      </c>
      <c r="H1865" s="199">
        <v>4.0621631268486877E-2</v>
      </c>
      <c r="I1865" s="199">
        <v>4.4936514760833185E-2</v>
      </c>
      <c r="J1865" s="199">
        <v>4.6009295200069182E-2</v>
      </c>
      <c r="K1865" s="199">
        <v>4.002578717107675E-2</v>
      </c>
      <c r="L1865" s="199">
        <v>4.5790009261628253E-2</v>
      </c>
      <c r="M1865" s="199">
        <v>4.1177300994870839E-2</v>
      </c>
      <c r="N1865" s="199">
        <v>5.3163075957821042E-2</v>
      </c>
    </row>
    <row r="1866" spans="3:14">
      <c r="C1866" s="29">
        <v>16</v>
      </c>
      <c r="D1866" s="34" t="s">
        <v>1</v>
      </c>
      <c r="E1866" s="199">
        <v>4.318727874683552E-2</v>
      </c>
      <c r="F1866" s="199">
        <v>3.9202365139941873E-2</v>
      </c>
      <c r="G1866" s="199">
        <v>4.0583981234375212E-2</v>
      </c>
      <c r="H1866" s="199">
        <v>3.9176785113775169E-2</v>
      </c>
      <c r="I1866" s="199">
        <v>4.1513342918992432E-2</v>
      </c>
      <c r="J1866" s="199">
        <v>4.8676591882123969E-2</v>
      </c>
      <c r="K1866" s="199">
        <v>3.9345184406297293E-2</v>
      </c>
      <c r="L1866" s="199">
        <v>4.4700561330121687E-2</v>
      </c>
      <c r="M1866" s="199">
        <v>3.9629971774429888E-2</v>
      </c>
      <c r="N1866" s="199">
        <v>4.2113445946012608E-2</v>
      </c>
    </row>
    <row r="1867" spans="3:14">
      <c r="C1867" s="29">
        <v>17</v>
      </c>
      <c r="D1867" s="34" t="s">
        <v>2</v>
      </c>
      <c r="E1867" s="199">
        <v>4.7042626479668948E-2</v>
      </c>
      <c r="F1867" s="199">
        <v>4.7072231584067148E-2</v>
      </c>
      <c r="G1867" s="199">
        <v>4.3150921479015433E-2</v>
      </c>
      <c r="H1867" s="199">
        <v>4.1645511047264341E-2</v>
      </c>
      <c r="I1867" s="199">
        <v>4.0247734467275725E-2</v>
      </c>
      <c r="J1867" s="199">
        <v>5.0641278450812448E-2</v>
      </c>
      <c r="K1867" s="199">
        <v>4.4829691634159466E-2</v>
      </c>
      <c r="L1867" s="199">
        <v>4.8794953895847176E-2</v>
      </c>
      <c r="M1867" s="199">
        <v>4.0484664161946578E-2</v>
      </c>
      <c r="N1867" s="199">
        <v>4.0288019603800407E-2</v>
      </c>
    </row>
    <row r="1868" spans="3:14">
      <c r="C1868" s="29">
        <v>18</v>
      </c>
      <c r="D1868" s="34" t="s">
        <v>3</v>
      </c>
      <c r="E1868" s="199">
        <v>5.0643095141400078E-2</v>
      </c>
      <c r="F1868" s="199">
        <v>4.8069570610796059E-2</v>
      </c>
      <c r="G1868" s="199">
        <v>4.360785433578554E-2</v>
      </c>
      <c r="H1868" s="199">
        <v>4.2580534324535728E-2</v>
      </c>
      <c r="I1868" s="199">
        <v>4.0704043930178575E-2</v>
      </c>
      <c r="J1868" s="199">
        <v>5.2742564499615646E-2</v>
      </c>
      <c r="K1868" s="199">
        <v>4.4185670641049946E-2</v>
      </c>
      <c r="L1868" s="199">
        <v>4.8671859973162486E-2</v>
      </c>
      <c r="M1868" s="199">
        <v>4.1147746288531531E-2</v>
      </c>
      <c r="N1868" s="199">
        <v>3.2658203123073236E-2</v>
      </c>
    </row>
    <row r="1869" spans="3:14">
      <c r="C1869" s="29">
        <v>19</v>
      </c>
      <c r="D1869" s="34" t="s">
        <v>4</v>
      </c>
      <c r="E1869" s="199">
        <v>5.0949712027310863E-2</v>
      </c>
      <c r="F1869" s="199">
        <v>4.7014267877808449E-2</v>
      </c>
      <c r="G1869" s="199">
        <v>4.3337998212633053E-2</v>
      </c>
      <c r="H1869" s="199">
        <v>4.2754651307251972E-2</v>
      </c>
      <c r="I1869" s="199">
        <v>4.093961338652001E-2</v>
      </c>
      <c r="J1869" s="199">
        <v>5.1111108566332948E-2</v>
      </c>
      <c r="K1869" s="199">
        <v>4.3580033863373016E-2</v>
      </c>
      <c r="L1869" s="199">
        <v>4.4267879385530985E-2</v>
      </c>
      <c r="M1869" s="199">
        <v>4.1470784182123029E-2</v>
      </c>
      <c r="N1869" s="199">
        <v>3.384398050274199E-2</v>
      </c>
    </row>
    <row r="1870" spans="3:14">
      <c r="C1870" s="29">
        <v>20</v>
      </c>
      <c r="D1870" s="34" t="s">
        <v>5</v>
      </c>
      <c r="E1870" s="199">
        <v>5.0006165494075237E-2</v>
      </c>
      <c r="F1870" s="199">
        <v>4.6913687856773675E-2</v>
      </c>
      <c r="G1870" s="199">
        <v>4.1725153410332463E-2</v>
      </c>
      <c r="H1870" s="199">
        <v>4.2430719478980736E-2</v>
      </c>
      <c r="I1870" s="199">
        <v>4.4643815456978611E-2</v>
      </c>
      <c r="J1870" s="199">
        <v>5.0207863304295011E-2</v>
      </c>
      <c r="K1870" s="199">
        <v>4.2844339013152329E-2</v>
      </c>
      <c r="L1870" s="199">
        <v>4.2585267812575441E-2</v>
      </c>
      <c r="M1870" s="199">
        <v>4.1693930470489457E-2</v>
      </c>
      <c r="N1870" s="199">
        <v>3.6778236940418138E-2</v>
      </c>
    </row>
    <row r="1871" spans="3:14">
      <c r="C1871" s="29">
        <v>21</v>
      </c>
      <c r="D1871" s="34" t="s">
        <v>6</v>
      </c>
      <c r="E1871" s="199">
        <v>4.809632557836719E-2</v>
      </c>
      <c r="F1871" s="199">
        <v>4.5293026308555952E-2</v>
      </c>
      <c r="G1871" s="199">
        <v>4.1495374697215939E-2</v>
      </c>
      <c r="H1871" s="199">
        <v>4.2868099947556103E-2</v>
      </c>
      <c r="I1871" s="199">
        <v>4.5256198801172695E-2</v>
      </c>
      <c r="J1871" s="199">
        <v>4.6999366231960119E-2</v>
      </c>
      <c r="K1871" s="199">
        <v>4.3766610302944091E-2</v>
      </c>
      <c r="L1871" s="199">
        <v>4.0480379255974398E-2</v>
      </c>
      <c r="M1871" s="199">
        <v>4.1673209154033677E-2</v>
      </c>
      <c r="N1871" s="199">
        <v>3.3911851953425193E-2</v>
      </c>
    </row>
    <row r="1872" spans="3:14">
      <c r="C1872" s="29">
        <v>22</v>
      </c>
      <c r="D1872" s="34" t="s">
        <v>7</v>
      </c>
      <c r="E1872" s="199">
        <v>4.5021651220251625E-2</v>
      </c>
      <c r="F1872" s="199">
        <v>4.2947645989503576E-2</v>
      </c>
      <c r="G1872" s="199">
        <v>4.0091265185016364E-2</v>
      </c>
      <c r="H1872" s="199">
        <v>4.4135001097946186E-2</v>
      </c>
      <c r="I1872" s="199">
        <v>4.1323112682060369E-2</v>
      </c>
      <c r="J1872" s="199">
        <v>4.281706813104813E-2</v>
      </c>
      <c r="K1872" s="199">
        <v>4.2611055769992384E-2</v>
      </c>
      <c r="L1872" s="199">
        <v>3.8043691050993644E-2</v>
      </c>
      <c r="M1872" s="199">
        <v>4.108194991715601E-2</v>
      </c>
      <c r="N1872" s="199">
        <v>3.7198684793342283E-2</v>
      </c>
    </row>
    <row r="1873" spans="1:14">
      <c r="C1873" s="29">
        <v>23</v>
      </c>
      <c r="D1873" s="34" t="s">
        <v>8</v>
      </c>
      <c r="E1873" s="199">
        <v>3.9577051792008579E-2</v>
      </c>
      <c r="F1873" s="199">
        <v>4.205239298252423E-2</v>
      </c>
      <c r="G1873" s="199">
        <v>3.9351523251784391E-2</v>
      </c>
      <c r="H1873" s="199">
        <v>4.4400526596572107E-2</v>
      </c>
      <c r="I1873" s="199">
        <v>4.0205555622409635E-2</v>
      </c>
      <c r="J1873" s="199">
        <v>3.7598481705064732E-2</v>
      </c>
      <c r="K1873" s="199">
        <v>4.102434101558898E-2</v>
      </c>
      <c r="L1873" s="199">
        <v>3.6283271395736685E-2</v>
      </c>
      <c r="M1873" s="199">
        <v>4.0682218386164419E-2</v>
      </c>
      <c r="N1873" s="199">
        <v>3.574655142988771E-2</v>
      </c>
    </row>
    <row r="1874" spans="1:14">
      <c r="C1874" s="29">
        <v>24</v>
      </c>
      <c r="D1874" s="34" t="s">
        <v>9</v>
      </c>
      <c r="E1874" s="199">
        <v>3.4660996461061203E-2</v>
      </c>
      <c r="F1874" s="199">
        <v>4.175490650357612E-2</v>
      </c>
      <c r="G1874" s="199">
        <v>3.8051183826409388E-2</v>
      </c>
      <c r="H1874" s="199">
        <v>4.3685034558335042E-2</v>
      </c>
      <c r="I1874" s="199">
        <v>3.9748273736570382E-2</v>
      </c>
      <c r="J1874" s="199">
        <v>3.3436562438538896E-2</v>
      </c>
      <c r="K1874" s="199">
        <v>4.0809944248376882E-2</v>
      </c>
      <c r="L1874" s="199">
        <v>3.524901558219725E-2</v>
      </c>
      <c r="M1874" s="199">
        <v>4.0589013739636241E-2</v>
      </c>
      <c r="N1874" s="199">
        <v>3.136884286082111E-2</v>
      </c>
    </row>
    <row r="1875" spans="1:14">
      <c r="A1875" s="16" t="s">
        <v>441</v>
      </c>
      <c r="B1875" s="16" t="s">
        <v>308</v>
      </c>
      <c r="C1875" s="29">
        <v>1</v>
      </c>
      <c r="D1875" s="34" t="s">
        <v>10</v>
      </c>
      <c r="E1875" s="199">
        <v>3.3096112108586193E-2</v>
      </c>
      <c r="F1875" s="199">
        <v>3.5401949146562181E-2</v>
      </c>
      <c r="G1875" s="199">
        <v>3.3603072872745304E-2</v>
      </c>
      <c r="H1875" s="199">
        <v>3.5354758957929854E-2</v>
      </c>
      <c r="I1875" s="199">
        <v>4.0285214859347884E-2</v>
      </c>
      <c r="J1875" s="199">
        <v>3.3009867156047375E-2</v>
      </c>
      <c r="K1875" s="199">
        <v>3.6587981349961801E-2</v>
      </c>
      <c r="L1875" s="199">
        <v>2.6216703584326331E-2</v>
      </c>
      <c r="M1875" s="199">
        <v>3.3701407174608573E-2</v>
      </c>
      <c r="N1875" s="199">
        <v>3.1531763776794675E-2</v>
      </c>
    </row>
    <row r="1876" spans="1:14">
      <c r="C1876" s="29">
        <v>2</v>
      </c>
      <c r="D1876" s="34" t="s">
        <v>11</v>
      </c>
      <c r="E1876" s="199">
        <v>3.2096211457508912E-2</v>
      </c>
      <c r="F1876" s="199">
        <v>3.5458015198872213E-2</v>
      </c>
      <c r="G1876" s="199">
        <v>3.4055941373142738E-2</v>
      </c>
      <c r="H1876" s="199">
        <v>3.5755345068011118E-2</v>
      </c>
      <c r="I1876" s="199">
        <v>4.0330799294206902E-2</v>
      </c>
      <c r="J1876" s="199">
        <v>3.0560762833017698E-2</v>
      </c>
      <c r="K1876" s="199">
        <v>3.6845705954051594E-2</v>
      </c>
      <c r="L1876" s="199">
        <v>2.6100901694718646E-2</v>
      </c>
      <c r="M1876" s="199">
        <v>3.4894680995929614E-2</v>
      </c>
      <c r="N1876" s="199">
        <v>3.3479038346910392E-2</v>
      </c>
    </row>
    <row r="1877" spans="1:14">
      <c r="C1877" s="29">
        <v>3</v>
      </c>
      <c r="D1877" s="34" t="s">
        <v>12</v>
      </c>
      <c r="E1877" s="199">
        <v>3.1771059482628448E-2</v>
      </c>
      <c r="F1877" s="199">
        <v>3.4884615029310138E-2</v>
      </c>
      <c r="G1877" s="199">
        <v>3.3133909407929554E-2</v>
      </c>
      <c r="H1877" s="199">
        <v>3.4899593450159604E-2</v>
      </c>
      <c r="I1877" s="199">
        <v>4.3091307861018127E-2</v>
      </c>
      <c r="J1877" s="199">
        <v>3.0680054097570263E-2</v>
      </c>
      <c r="K1877" s="199">
        <v>3.6262432329916279E-2</v>
      </c>
      <c r="L1877" s="199">
        <v>2.502188931479777E-2</v>
      </c>
      <c r="M1877" s="199">
        <v>3.3951238979693925E-2</v>
      </c>
      <c r="N1877" s="199">
        <v>4.4724019781677213E-2</v>
      </c>
    </row>
    <row r="1878" spans="1:14">
      <c r="C1878" s="29">
        <v>4</v>
      </c>
      <c r="D1878" s="34" t="s">
        <v>13</v>
      </c>
      <c r="E1878" s="199">
        <v>3.2244487363384776E-2</v>
      </c>
      <c r="F1878" s="199">
        <v>3.5197679507736966E-2</v>
      </c>
      <c r="G1878" s="199">
        <v>3.3900178568562783E-2</v>
      </c>
      <c r="H1878" s="199">
        <v>3.552281936109182E-2</v>
      </c>
      <c r="I1878" s="199">
        <v>3.9197431252311621E-2</v>
      </c>
      <c r="J1878" s="199">
        <v>3.1132512037806908E-2</v>
      </c>
      <c r="K1878" s="199">
        <v>3.7118761574406238E-2</v>
      </c>
      <c r="L1878" s="199">
        <v>2.624960637362769E-2</v>
      </c>
      <c r="M1878" s="199">
        <v>3.4252574157441228E-2</v>
      </c>
      <c r="N1878" s="199">
        <v>4.5261820507854898E-2</v>
      </c>
    </row>
    <row r="1879" spans="1:14">
      <c r="C1879" s="29">
        <v>5</v>
      </c>
      <c r="D1879" s="34" t="s">
        <v>14</v>
      </c>
      <c r="E1879" s="199">
        <v>3.3381527850404963E-2</v>
      </c>
      <c r="F1879" s="199">
        <v>3.5989404522129523E-2</v>
      </c>
      <c r="G1879" s="199">
        <v>3.5206298051009235E-2</v>
      </c>
      <c r="H1879" s="199">
        <v>3.7728066128710908E-2</v>
      </c>
      <c r="I1879" s="199">
        <v>3.732658479529409E-2</v>
      </c>
      <c r="J1879" s="199">
        <v>3.1336891306944378E-2</v>
      </c>
      <c r="K1879" s="199">
        <v>3.7263622643646653E-2</v>
      </c>
      <c r="L1879" s="199">
        <v>3.0856892867054585E-2</v>
      </c>
      <c r="M1879" s="199">
        <v>3.7402369424793622E-2</v>
      </c>
      <c r="N1879" s="199">
        <v>3.5886775970577316E-2</v>
      </c>
    </row>
    <row r="1880" spans="1:14">
      <c r="C1880" s="29">
        <v>6</v>
      </c>
      <c r="D1880" s="34" t="s">
        <v>15</v>
      </c>
      <c r="E1880" s="199">
        <v>3.6807897032757365E-2</v>
      </c>
      <c r="F1880" s="199">
        <v>3.796244396719943E-2</v>
      </c>
      <c r="G1880" s="199">
        <v>3.7658202168972782E-2</v>
      </c>
      <c r="H1880" s="199">
        <v>3.986521509685452E-2</v>
      </c>
      <c r="I1880" s="199">
        <v>3.5901806180165717E-2</v>
      </c>
      <c r="J1880" s="199">
        <v>3.4122767838577761E-2</v>
      </c>
      <c r="K1880" s="199">
        <v>3.7819722893175624E-2</v>
      </c>
      <c r="L1880" s="199">
        <v>3.8825251553770757E-2</v>
      </c>
      <c r="M1880" s="199">
        <v>4.4790339477335142E-2</v>
      </c>
      <c r="N1880" s="199">
        <v>3.5737340305041575E-2</v>
      </c>
    </row>
    <row r="1881" spans="1:14">
      <c r="C1881" s="29">
        <v>7</v>
      </c>
      <c r="D1881" s="34" t="s">
        <v>16</v>
      </c>
      <c r="E1881" s="199">
        <v>4.180650164628999E-2</v>
      </c>
      <c r="F1881" s="199">
        <v>4.2154000464218404E-2</v>
      </c>
      <c r="G1881" s="199">
        <v>4.2654098529793502E-2</v>
      </c>
      <c r="H1881" s="199">
        <v>4.5797586395117218E-2</v>
      </c>
      <c r="I1881" s="199">
        <v>3.7447083185115221E-2</v>
      </c>
      <c r="J1881" s="199">
        <v>4.0680782063669853E-2</v>
      </c>
      <c r="K1881" s="199">
        <v>3.997957009213899E-2</v>
      </c>
      <c r="L1881" s="199">
        <v>4.373083344079421E-2</v>
      </c>
      <c r="M1881" s="199">
        <v>4.7904338552431647E-2</v>
      </c>
      <c r="N1881" s="199">
        <v>4.4924175546875854E-2</v>
      </c>
    </row>
    <row r="1882" spans="1:14">
      <c r="C1882" s="29">
        <v>8</v>
      </c>
      <c r="D1882" s="34" t="s">
        <v>17</v>
      </c>
      <c r="E1882" s="199">
        <v>4.4917931261650272E-2</v>
      </c>
      <c r="F1882" s="199">
        <v>4.6894628952476522E-2</v>
      </c>
      <c r="G1882" s="199">
        <v>4.6205208959698853E-2</v>
      </c>
      <c r="H1882" s="199">
        <v>5.1635742709500623E-2</v>
      </c>
      <c r="I1882" s="199">
        <v>4.0261892590350248E-2</v>
      </c>
      <c r="J1882" s="199">
        <v>4.2799733610709281E-2</v>
      </c>
      <c r="K1882" s="199">
        <v>4.3054604010479385E-2</v>
      </c>
      <c r="L1882" s="199">
        <v>4.895742907699234E-2</v>
      </c>
      <c r="M1882" s="199">
        <v>5.3233184890366575E-2</v>
      </c>
      <c r="N1882" s="199">
        <v>4.4364577753074431E-2</v>
      </c>
    </row>
    <row r="1883" spans="1:14">
      <c r="C1883" s="29">
        <v>9</v>
      </c>
      <c r="D1883" s="34" t="s">
        <v>18</v>
      </c>
      <c r="E1883" s="199">
        <v>4.5468208658525182E-2</v>
      </c>
      <c r="F1883" s="199">
        <v>4.7305741309822347E-2</v>
      </c>
      <c r="G1883" s="199">
        <v>4.7680201192877698E-2</v>
      </c>
      <c r="H1883" s="199">
        <v>5.2683602771787338E-2</v>
      </c>
      <c r="I1883" s="199">
        <v>4.5279478523488362E-2</v>
      </c>
      <c r="J1883" s="199">
        <v>4.2398001788790197E-2</v>
      </c>
      <c r="K1883" s="199">
        <v>4.347643181266822E-2</v>
      </c>
      <c r="L1883" s="199">
        <v>5.2587159264861495E-2</v>
      </c>
      <c r="M1883" s="199">
        <v>5.3881493705667659E-2</v>
      </c>
      <c r="N1883" s="199">
        <v>4.5021424002427854E-2</v>
      </c>
    </row>
    <row r="1884" spans="1:14">
      <c r="C1884" s="29">
        <v>10</v>
      </c>
      <c r="D1884" s="34" t="s">
        <v>19</v>
      </c>
      <c r="E1884" s="199">
        <v>4.4342746264809212E-2</v>
      </c>
      <c r="F1884" s="199">
        <v>4.8317928953303585E-2</v>
      </c>
      <c r="G1884" s="199">
        <v>4.8653748259978279E-2</v>
      </c>
      <c r="H1884" s="199">
        <v>5.2633069698442614E-2</v>
      </c>
      <c r="I1884" s="199">
        <v>4.8048939072339092E-2</v>
      </c>
      <c r="J1884" s="199">
        <v>4.1512691261517243E-2</v>
      </c>
      <c r="K1884" s="199">
        <v>4.7045914853797846E-2</v>
      </c>
      <c r="L1884" s="199">
        <v>5.4524093209331201E-2</v>
      </c>
      <c r="M1884" s="199">
        <v>5.2403063776545473E-2</v>
      </c>
      <c r="N1884" s="199">
        <v>4.4377362571584499E-2</v>
      </c>
    </row>
    <row r="1885" spans="1:14">
      <c r="C1885" s="29">
        <v>11</v>
      </c>
      <c r="D1885" s="34" t="s">
        <v>20</v>
      </c>
      <c r="E1885" s="199">
        <v>4.3161067672341562E-2</v>
      </c>
      <c r="F1885" s="199">
        <v>4.8947085631753699E-2</v>
      </c>
      <c r="G1885" s="199">
        <v>4.8710703578548842E-2</v>
      </c>
      <c r="H1885" s="199">
        <v>4.9466774918104459E-2</v>
      </c>
      <c r="I1885" s="199">
        <v>4.5696805791461237E-2</v>
      </c>
      <c r="J1885" s="199">
        <v>4.346616556761506E-2</v>
      </c>
      <c r="K1885" s="199">
        <v>4.6963345407087818E-2</v>
      </c>
      <c r="L1885" s="199">
        <v>5.4194975717193949E-2</v>
      </c>
      <c r="M1885" s="199">
        <v>5.0007685058224428E-2</v>
      </c>
      <c r="N1885" s="199">
        <v>4.0941809374583443E-2</v>
      </c>
    </row>
    <row r="1886" spans="1:14">
      <c r="C1886" s="29">
        <v>12</v>
      </c>
      <c r="D1886" s="34" t="s">
        <v>21</v>
      </c>
      <c r="E1886" s="199">
        <v>4.2044183034046716E-2</v>
      </c>
      <c r="F1886" s="199">
        <v>4.9532277471047659E-2</v>
      </c>
      <c r="G1886" s="199">
        <v>4.8254634648506822E-2</v>
      </c>
      <c r="H1886" s="199">
        <v>4.9457210878745307E-2</v>
      </c>
      <c r="I1886" s="199">
        <v>4.1822011039207338E-2</v>
      </c>
      <c r="J1886" s="199">
        <v>4.3071473323643701E-2</v>
      </c>
      <c r="K1886" s="199">
        <v>4.7094333610054766E-2</v>
      </c>
      <c r="L1886" s="199">
        <v>5.3865718848642101E-2</v>
      </c>
      <c r="M1886" s="199">
        <v>5.0427194859370181E-2</v>
      </c>
      <c r="N1886" s="199">
        <v>4.8836330010957225E-2</v>
      </c>
    </row>
    <row r="1887" spans="1:14">
      <c r="C1887" s="29">
        <v>13</v>
      </c>
      <c r="D1887" s="34" t="s">
        <v>22</v>
      </c>
      <c r="E1887" s="199">
        <v>4.1313662267485361E-2</v>
      </c>
      <c r="F1887" s="199">
        <v>4.8378096455955137E-2</v>
      </c>
      <c r="G1887" s="199">
        <v>4.8529388708074592E-2</v>
      </c>
      <c r="H1887" s="199">
        <v>4.9555748072719612E-2</v>
      </c>
      <c r="I1887" s="199">
        <v>4.5037186062235134E-2</v>
      </c>
      <c r="J1887" s="199">
        <v>4.1869214588029058E-2</v>
      </c>
      <c r="K1887" s="199">
        <v>4.6503101485031735E-2</v>
      </c>
      <c r="L1887" s="199">
        <v>5.4466172353610988E-2</v>
      </c>
      <c r="M1887" s="199">
        <v>5.1792775775617875E-2</v>
      </c>
      <c r="N1887" s="199">
        <v>4.8272330886193315E-2</v>
      </c>
    </row>
    <row r="1888" spans="1:14">
      <c r="C1888" s="29">
        <v>14</v>
      </c>
      <c r="D1888" s="34" t="s">
        <v>23</v>
      </c>
      <c r="E1888" s="199">
        <v>4.0998887416749515E-2</v>
      </c>
      <c r="F1888" s="199">
        <v>4.7162799961481192E-2</v>
      </c>
      <c r="G1888" s="199">
        <v>4.8216470937704925E-2</v>
      </c>
      <c r="H1888" s="199">
        <v>4.979429728519684E-2</v>
      </c>
      <c r="I1888" s="199">
        <v>4.5094902788542418E-2</v>
      </c>
      <c r="J1888" s="199">
        <v>4.0363062159816256E-2</v>
      </c>
      <c r="K1888" s="199">
        <v>4.7445665992565278E-2</v>
      </c>
      <c r="L1888" s="199">
        <v>5.5323576234334204E-2</v>
      </c>
      <c r="M1888" s="199">
        <v>4.9602197117698692E-2</v>
      </c>
      <c r="N1888" s="199">
        <v>4.6623508472771684E-2</v>
      </c>
    </row>
    <row r="1889" spans="1:14">
      <c r="C1889" s="29">
        <v>15</v>
      </c>
      <c r="D1889" s="34" t="s">
        <v>24</v>
      </c>
      <c r="E1889" s="199">
        <v>4.0458190667944621E-2</v>
      </c>
      <c r="F1889" s="199">
        <v>4.6191568782023545E-2</v>
      </c>
      <c r="G1889" s="199">
        <v>4.5993585044436444E-2</v>
      </c>
      <c r="H1889" s="199">
        <v>4.5612329113492167E-2</v>
      </c>
      <c r="I1889" s="199">
        <v>4.5176648519271514E-2</v>
      </c>
      <c r="J1889" s="199">
        <v>4.2114099297148301E-2</v>
      </c>
      <c r="K1889" s="199">
        <v>4.7895280410011065E-2</v>
      </c>
      <c r="L1889" s="199">
        <v>5.2636179940964339E-2</v>
      </c>
      <c r="M1889" s="199">
        <v>4.9678306159237101E-2</v>
      </c>
      <c r="N1889" s="199">
        <v>6.8738519861739539E-2</v>
      </c>
    </row>
    <row r="1890" spans="1:14">
      <c r="C1890" s="29">
        <v>16</v>
      </c>
      <c r="D1890" s="34" t="s">
        <v>25</v>
      </c>
      <c r="E1890" s="199">
        <v>4.2083594004627682E-2</v>
      </c>
      <c r="F1890" s="199">
        <v>4.62682775112883E-2</v>
      </c>
      <c r="G1890" s="199">
        <v>4.4898185343034989E-2</v>
      </c>
      <c r="H1890" s="199">
        <v>4.0478095292133802E-2</v>
      </c>
      <c r="I1890" s="199">
        <v>4.6926761007993187E-2</v>
      </c>
      <c r="J1890" s="199">
        <v>4.4333851426834991E-2</v>
      </c>
      <c r="K1890" s="199">
        <v>4.6146004640405622E-2</v>
      </c>
      <c r="L1890" s="199">
        <v>4.9633812861538062E-2</v>
      </c>
      <c r="M1890" s="199">
        <v>4.3728250948160914E-2</v>
      </c>
      <c r="N1890" s="199">
        <v>5.3840643315300453E-2</v>
      </c>
    </row>
    <row r="1891" spans="1:14">
      <c r="C1891" s="29">
        <v>17</v>
      </c>
      <c r="D1891" s="34" t="s">
        <v>26</v>
      </c>
      <c r="E1891" s="199">
        <v>4.6243459271233689E-2</v>
      </c>
      <c r="F1891" s="199">
        <v>4.9391967241793518E-2</v>
      </c>
      <c r="G1891" s="199">
        <v>4.5570989628943508E-2</v>
      </c>
      <c r="H1891" s="199">
        <v>3.8682400921495184E-2</v>
      </c>
      <c r="I1891" s="199">
        <v>4.3692150760800699E-2</v>
      </c>
      <c r="J1891" s="199">
        <v>4.9272578374467996E-2</v>
      </c>
      <c r="K1891" s="199">
        <v>4.9291138778893955E-2</v>
      </c>
      <c r="L1891" s="199">
        <v>4.8093683569405292E-2</v>
      </c>
      <c r="M1891" s="199">
        <v>3.6379852204196046E-2</v>
      </c>
      <c r="N1891" s="199">
        <v>4.8497427526846021E-2</v>
      </c>
    </row>
    <row r="1892" spans="1:14">
      <c r="C1892" s="29">
        <v>18</v>
      </c>
      <c r="D1892" s="34" t="s">
        <v>27</v>
      </c>
      <c r="E1892" s="199">
        <v>5.0167156871627878E-2</v>
      </c>
      <c r="F1892" s="199">
        <v>4.3562481073717137E-2</v>
      </c>
      <c r="G1892" s="199">
        <v>4.4346334694336152E-2</v>
      </c>
      <c r="H1892" s="199">
        <v>3.7726732680915642E-2</v>
      </c>
      <c r="I1892" s="199">
        <v>3.6978988755839409E-2</v>
      </c>
      <c r="J1892" s="199">
        <v>5.4737515917291729E-2</v>
      </c>
      <c r="K1892" s="199">
        <v>4.4465479961516827E-2</v>
      </c>
      <c r="L1892" s="199">
        <v>4.4567709166739994E-2</v>
      </c>
      <c r="M1892" s="199">
        <v>3.5973083420632899E-2</v>
      </c>
      <c r="N1892" s="199">
        <v>4.7845820957209836E-2</v>
      </c>
    </row>
    <row r="1893" spans="1:14">
      <c r="C1893" s="29">
        <v>19</v>
      </c>
      <c r="D1893" s="34" t="s">
        <v>28</v>
      </c>
      <c r="E1893" s="199">
        <v>5.077545192099385E-2</v>
      </c>
      <c r="F1893" s="199">
        <v>3.9212583443112424E-2</v>
      </c>
      <c r="G1893" s="199">
        <v>4.2871568494711666E-2</v>
      </c>
      <c r="H1893" s="199">
        <v>3.7350056669232246E-2</v>
      </c>
      <c r="I1893" s="199">
        <v>3.7597735619700964E-2</v>
      </c>
      <c r="J1893" s="199">
        <v>5.4974992349496446E-2</v>
      </c>
      <c r="K1893" s="199">
        <v>3.9884204357186565E-2</v>
      </c>
      <c r="L1893" s="199">
        <v>4.2039221896918784E-2</v>
      </c>
      <c r="M1893" s="199">
        <v>3.5754194086819582E-2</v>
      </c>
      <c r="N1893" s="199">
        <v>3.1061240538186367E-2</v>
      </c>
    </row>
    <row r="1894" spans="1:14">
      <c r="C1894" s="29">
        <v>20</v>
      </c>
      <c r="D1894" s="34" t="s">
        <v>29</v>
      </c>
      <c r="E1894" s="199">
        <v>5.0659343640455157E-2</v>
      </c>
      <c r="F1894" s="199">
        <v>3.8487826213423525E-2</v>
      </c>
      <c r="G1894" s="199">
        <v>4.1200096594412018E-2</v>
      </c>
      <c r="H1894" s="199">
        <v>3.6332911887195098E-2</v>
      </c>
      <c r="I1894" s="199">
        <v>4.0061415308360451E-2</v>
      </c>
      <c r="J1894" s="199">
        <v>5.4405429615324359E-2</v>
      </c>
      <c r="K1894" s="199">
        <v>3.8384967242183481E-2</v>
      </c>
      <c r="L1894" s="199">
        <v>4.0214256990655541E-2</v>
      </c>
      <c r="M1894" s="199">
        <v>3.5693657400104356E-2</v>
      </c>
      <c r="N1894" s="199">
        <v>3.1053485812204847E-2</v>
      </c>
    </row>
    <row r="1895" spans="1:14">
      <c r="C1895" s="29">
        <v>21</v>
      </c>
      <c r="D1895" s="34" t="s">
        <v>30</v>
      </c>
      <c r="E1895" s="199">
        <v>5.0247592615098029E-2</v>
      </c>
      <c r="F1895" s="199">
        <v>3.6487372829042602E-2</v>
      </c>
      <c r="G1895" s="199">
        <v>3.979862177478629E-2</v>
      </c>
      <c r="H1895" s="199">
        <v>3.5709272147636757E-2</v>
      </c>
      <c r="I1895" s="199">
        <v>4.2761851364117177E-2</v>
      </c>
      <c r="J1895" s="199">
        <v>5.0335533208587323E-2</v>
      </c>
      <c r="K1895" s="199">
        <v>3.7796651417143265E-2</v>
      </c>
      <c r="L1895" s="199">
        <v>3.8488946220823952E-2</v>
      </c>
      <c r="M1895" s="199">
        <v>3.446451997373598E-2</v>
      </c>
      <c r="N1895" s="199">
        <v>3.3616317955502122E-2</v>
      </c>
    </row>
    <row r="1896" spans="1:14">
      <c r="C1896" s="29">
        <v>22</v>
      </c>
      <c r="D1896" s="34" t="s">
        <v>31</v>
      </c>
      <c r="E1896" s="199">
        <v>4.7124655796974196E-2</v>
      </c>
      <c r="F1896" s="199">
        <v>3.6159701770390074E-2</v>
      </c>
      <c r="G1896" s="199">
        <v>3.8263401873625001E-2</v>
      </c>
      <c r="H1896" s="199">
        <v>3.6915352687975557E-2</v>
      </c>
      <c r="I1896" s="199">
        <v>4.4848369914744161E-2</v>
      </c>
      <c r="J1896" s="199">
        <v>4.6389798322522595E-2</v>
      </c>
      <c r="K1896" s="199">
        <v>3.817799170882287E-2</v>
      </c>
      <c r="L1896" s="199">
        <v>3.4354693323056379E-2</v>
      </c>
      <c r="M1896" s="199">
        <v>3.4087345405616018E-2</v>
      </c>
      <c r="N1896" s="199">
        <v>2.9734134459403379E-2</v>
      </c>
    </row>
    <row r="1897" spans="1:14">
      <c r="C1897" s="29">
        <v>23</v>
      </c>
      <c r="D1897" s="34" t="s">
        <v>32</v>
      </c>
      <c r="E1897" s="199">
        <v>4.2053427994556504E-2</v>
      </c>
      <c r="F1897" s="199">
        <v>3.5102330460528547E-2</v>
      </c>
      <c r="G1897" s="199">
        <v>3.646134422442452E-2</v>
      </c>
      <c r="H1897" s="199">
        <v>3.5976789363942177E-2</v>
      </c>
      <c r="I1897" s="199">
        <v>4.3000256780537462E-2</v>
      </c>
      <c r="J1897" s="199">
        <v>4.0229944684008263E-2</v>
      </c>
      <c r="K1897" s="199">
        <v>3.74196855754379E-2</v>
      </c>
      <c r="L1897" s="199">
        <v>3.0804477379710662E-2</v>
      </c>
      <c r="M1897" s="199">
        <v>3.3139319319562245E-2</v>
      </c>
      <c r="N1897" s="199">
        <v>3.0298133584167275E-2</v>
      </c>
    </row>
    <row r="1898" spans="1:14">
      <c r="C1898" s="29">
        <v>24</v>
      </c>
      <c r="D1898" s="34" t="s">
        <v>33</v>
      </c>
      <c r="E1898" s="199">
        <v>3.6736643699319949E-2</v>
      </c>
      <c r="F1898" s="199">
        <v>3.5549224102811368E-2</v>
      </c>
      <c r="G1898" s="199">
        <v>3.4133815069743369E-2</v>
      </c>
      <c r="H1898" s="199">
        <v>3.5066228443609383E-2</v>
      </c>
      <c r="I1898" s="199">
        <v>3.4134378673551853E-2</v>
      </c>
      <c r="J1898" s="199">
        <v>3.6202277170562965E-2</v>
      </c>
      <c r="K1898" s="199">
        <v>3.7077401899416156E-2</v>
      </c>
      <c r="L1898" s="199">
        <v>2.8245815116130772E-2</v>
      </c>
      <c r="M1898" s="199">
        <v>3.2856927136210246E-2</v>
      </c>
      <c r="N1898" s="199">
        <v>3.5331998682115749E-2</v>
      </c>
    </row>
    <row r="1899" spans="1:14">
      <c r="A1899" s="16" t="s">
        <v>441</v>
      </c>
      <c r="B1899" s="16" t="s">
        <v>309</v>
      </c>
      <c r="C1899" s="29">
        <v>1</v>
      </c>
      <c r="D1899" s="34" t="s">
        <v>34</v>
      </c>
      <c r="E1899" s="199">
        <v>3.3770963637372427E-2</v>
      </c>
      <c r="F1899" s="199">
        <v>3.5827280286001489E-2</v>
      </c>
      <c r="G1899" s="199">
        <v>3.4966737848379517E-2</v>
      </c>
      <c r="H1899" s="199">
        <v>3.6784509375974439E-2</v>
      </c>
      <c r="I1899" s="199">
        <v>3.8380591686855585E-2</v>
      </c>
      <c r="J1899" s="199">
        <v>3.3199789333582523E-2</v>
      </c>
      <c r="K1899" s="199">
        <v>3.8007894532599985E-2</v>
      </c>
      <c r="L1899" s="199">
        <v>2.9097851132317016E-2</v>
      </c>
      <c r="M1899" s="199">
        <v>3.4476875811930069E-2</v>
      </c>
      <c r="N1899" s="199">
        <v>3.0097093127685656E-2</v>
      </c>
    </row>
    <row r="1900" spans="1:14">
      <c r="C1900" s="29">
        <v>2</v>
      </c>
      <c r="D1900" s="34" t="s">
        <v>35</v>
      </c>
      <c r="E1900" s="199">
        <v>3.2419508690263527E-2</v>
      </c>
      <c r="F1900" s="199">
        <v>3.596174900425763E-2</v>
      </c>
      <c r="G1900" s="199">
        <v>3.4751497158346897E-2</v>
      </c>
      <c r="H1900" s="199">
        <v>3.5323662256521018E-2</v>
      </c>
      <c r="I1900" s="199">
        <v>3.7064217466961112E-2</v>
      </c>
      <c r="J1900" s="199">
        <v>3.2039948353054633E-2</v>
      </c>
      <c r="K1900" s="199">
        <v>3.7828193311869297E-2</v>
      </c>
      <c r="L1900" s="199">
        <v>2.7972954892913911E-2</v>
      </c>
      <c r="M1900" s="199">
        <v>3.4771792587786329E-2</v>
      </c>
      <c r="N1900" s="199">
        <v>3.0808859377806547E-2</v>
      </c>
    </row>
    <row r="1901" spans="1:14">
      <c r="C1901" s="29">
        <v>3</v>
      </c>
      <c r="D1901" s="34" t="s">
        <v>36</v>
      </c>
      <c r="E1901" s="199">
        <v>3.2580714569970325E-2</v>
      </c>
      <c r="F1901" s="199">
        <v>3.5515977203238153E-2</v>
      </c>
      <c r="G1901" s="199">
        <v>3.446358388546826E-2</v>
      </c>
      <c r="H1901" s="199">
        <v>3.4660231217948465E-2</v>
      </c>
      <c r="I1901" s="199">
        <v>3.9717003792393221E-2</v>
      </c>
      <c r="J1901" s="199">
        <v>3.090225182358709E-2</v>
      </c>
      <c r="K1901" s="199">
        <v>3.7498796078828049E-2</v>
      </c>
      <c r="L1901" s="199">
        <v>2.7273907791461972E-2</v>
      </c>
      <c r="M1901" s="199">
        <v>3.4153921665965141E-2</v>
      </c>
      <c r="N1901" s="199">
        <v>2.5711223444467034E-2</v>
      </c>
    </row>
    <row r="1902" spans="1:14">
      <c r="C1902" s="29">
        <v>4</v>
      </c>
      <c r="D1902" s="34" t="s">
        <v>37</v>
      </c>
      <c r="E1902" s="199">
        <v>3.2268452603293758E-2</v>
      </c>
      <c r="F1902" s="199">
        <v>3.5717547765278433E-2</v>
      </c>
      <c r="G1902" s="199">
        <v>3.5219093045846264E-2</v>
      </c>
      <c r="H1902" s="199">
        <v>3.4802956538162462E-2</v>
      </c>
      <c r="I1902" s="199">
        <v>3.8011486175518104E-2</v>
      </c>
      <c r="J1902" s="199">
        <v>3.2532451087133651E-2</v>
      </c>
      <c r="K1902" s="199">
        <v>3.8489696772479168E-2</v>
      </c>
      <c r="L1902" s="199">
        <v>2.8000927133225342E-2</v>
      </c>
      <c r="M1902" s="199">
        <v>3.4652231732709468E-2</v>
      </c>
      <c r="N1902" s="199">
        <v>2.9753250418947275E-2</v>
      </c>
    </row>
    <row r="1903" spans="1:14">
      <c r="C1903" s="29">
        <v>5</v>
      </c>
      <c r="D1903" s="34" t="s">
        <v>38</v>
      </c>
      <c r="E1903" s="199">
        <v>3.3406279368399926E-2</v>
      </c>
      <c r="F1903" s="199">
        <v>3.7312227598146147E-2</v>
      </c>
      <c r="G1903" s="199">
        <v>3.624825173906359E-2</v>
      </c>
      <c r="H1903" s="199">
        <v>3.6180404804750502E-2</v>
      </c>
      <c r="I1903" s="199">
        <v>3.5882492733394791E-2</v>
      </c>
      <c r="J1903" s="199">
        <v>3.3414738420277743E-2</v>
      </c>
      <c r="K1903" s="199">
        <v>3.8044500336822905E-2</v>
      </c>
      <c r="L1903" s="199">
        <v>3.2363633490246797E-2</v>
      </c>
      <c r="M1903" s="199">
        <v>3.6784959663943094E-2</v>
      </c>
      <c r="N1903" s="199">
        <v>2.9164454322410768E-2</v>
      </c>
    </row>
    <row r="1904" spans="1:14">
      <c r="C1904" s="29">
        <v>6</v>
      </c>
      <c r="D1904" s="34" t="s">
        <v>39</v>
      </c>
      <c r="E1904" s="199">
        <v>3.6259891214807244E-2</v>
      </c>
      <c r="F1904" s="199">
        <v>3.9648747958220765E-2</v>
      </c>
      <c r="G1904" s="199">
        <v>4.0107030499921856E-2</v>
      </c>
      <c r="H1904" s="199">
        <v>4.013403777694597E-2</v>
      </c>
      <c r="I1904" s="199">
        <v>4.3348583398062954E-2</v>
      </c>
      <c r="J1904" s="199">
        <v>3.6667301868694158E-2</v>
      </c>
      <c r="K1904" s="199">
        <v>4.0294574689784375E-2</v>
      </c>
      <c r="L1904" s="199">
        <v>4.0849682120499213E-2</v>
      </c>
      <c r="M1904" s="199">
        <v>4.4400706457824381E-2</v>
      </c>
      <c r="N1904" s="199">
        <v>4.2415031176782914E-2</v>
      </c>
    </row>
    <row r="1905" spans="3:14">
      <c r="C1905" s="29">
        <v>7</v>
      </c>
      <c r="D1905" s="34" t="s">
        <v>40</v>
      </c>
      <c r="E1905" s="199">
        <v>4.2647184156420818E-2</v>
      </c>
      <c r="F1905" s="199">
        <v>4.3196222978955735E-2</v>
      </c>
      <c r="G1905" s="199">
        <v>4.3252792826707562E-2</v>
      </c>
      <c r="H1905" s="199">
        <v>4.6539977884655498E-2</v>
      </c>
      <c r="I1905" s="199">
        <v>4.8943748166916358E-2</v>
      </c>
      <c r="J1905" s="199">
        <v>4.2245696166771853E-2</v>
      </c>
      <c r="K1905" s="199">
        <v>4.1453103014343587E-2</v>
      </c>
      <c r="L1905" s="199">
        <v>4.5528917005058109E-2</v>
      </c>
      <c r="M1905" s="199">
        <v>4.7793717671374046E-2</v>
      </c>
      <c r="N1905" s="199">
        <v>4.8364970678625496E-2</v>
      </c>
    </row>
    <row r="1906" spans="3:14">
      <c r="C1906" s="29">
        <v>8</v>
      </c>
      <c r="D1906" s="34" t="s">
        <v>41</v>
      </c>
      <c r="E1906" s="199">
        <v>4.5334317449726436E-2</v>
      </c>
      <c r="F1906" s="199">
        <v>4.7153857529023693E-2</v>
      </c>
      <c r="G1906" s="199">
        <v>4.6453717876089234E-2</v>
      </c>
      <c r="H1906" s="199">
        <v>4.993755339992418E-2</v>
      </c>
      <c r="I1906" s="199">
        <v>4.9201305193845496E-2</v>
      </c>
      <c r="J1906" s="199">
        <v>4.5194804566936357E-2</v>
      </c>
      <c r="K1906" s="199">
        <v>4.358457291147385E-2</v>
      </c>
      <c r="L1906" s="199">
        <v>5.0252631997776062E-2</v>
      </c>
      <c r="M1906" s="199">
        <v>5.1580580520390364E-2</v>
      </c>
      <c r="N1906" s="199">
        <v>5.2983555949446044E-2</v>
      </c>
    </row>
    <row r="1907" spans="3:14">
      <c r="C1907" s="29">
        <v>9</v>
      </c>
      <c r="D1907" s="34" t="s">
        <v>42</v>
      </c>
      <c r="E1907" s="199">
        <v>4.469506275209284E-2</v>
      </c>
      <c r="F1907" s="199">
        <v>4.7829194985481972E-2</v>
      </c>
      <c r="G1907" s="199">
        <v>4.7439754873896248E-2</v>
      </c>
      <c r="H1907" s="199">
        <v>4.9667874322420959E-2</v>
      </c>
      <c r="I1907" s="199">
        <v>4.8403363403775657E-2</v>
      </c>
      <c r="J1907" s="199">
        <v>4.5103095266848414E-2</v>
      </c>
      <c r="K1907" s="199">
        <v>4.5280087207071745E-2</v>
      </c>
      <c r="L1907" s="199">
        <v>5.2721531728810701E-2</v>
      </c>
      <c r="M1907" s="199">
        <v>5.1998763838644574E-2</v>
      </c>
      <c r="N1907" s="199">
        <v>6.1637851910774581E-2</v>
      </c>
    </row>
    <row r="1908" spans="3:14">
      <c r="C1908" s="29">
        <v>10</v>
      </c>
      <c r="D1908" s="34" t="s">
        <v>43</v>
      </c>
      <c r="E1908" s="199">
        <v>4.5146565958245871E-2</v>
      </c>
      <c r="F1908" s="199">
        <v>4.7608807244604048E-2</v>
      </c>
      <c r="G1908" s="199">
        <v>4.7361927942538268E-2</v>
      </c>
      <c r="H1908" s="199">
        <v>4.8202534993094216E-2</v>
      </c>
      <c r="I1908" s="199">
        <v>4.2343753629473721E-2</v>
      </c>
      <c r="J1908" s="199">
        <v>4.1770723047768854E-2</v>
      </c>
      <c r="K1908" s="199">
        <v>4.4981355242030917E-2</v>
      </c>
      <c r="L1908" s="199">
        <v>5.3406069719312499E-2</v>
      </c>
      <c r="M1908" s="199">
        <v>4.8884308441835382E-2</v>
      </c>
      <c r="N1908" s="199">
        <v>6.6081949836862233E-2</v>
      </c>
    </row>
    <row r="1909" spans="3:14">
      <c r="C1909" s="29">
        <v>11</v>
      </c>
      <c r="D1909" s="34" t="s">
        <v>44</v>
      </c>
      <c r="E1909" s="199">
        <v>4.3067997752582E-2</v>
      </c>
      <c r="F1909" s="199">
        <v>4.8847756998662922E-2</v>
      </c>
      <c r="G1909" s="199">
        <v>4.8819841015905779E-2</v>
      </c>
      <c r="H1909" s="199">
        <v>4.7740325659825084E-2</v>
      </c>
      <c r="I1909" s="199">
        <v>3.6417389413206477E-2</v>
      </c>
      <c r="J1909" s="199">
        <v>4.125737325699505E-2</v>
      </c>
      <c r="K1909" s="199">
        <v>4.7039338505890239E-2</v>
      </c>
      <c r="L1909" s="199">
        <v>5.4636682592961838E-2</v>
      </c>
      <c r="M1909" s="199">
        <v>5.1034655867501395E-2</v>
      </c>
      <c r="N1909" s="199">
        <v>5.7500685908962609E-2</v>
      </c>
    </row>
    <row r="1910" spans="3:14">
      <c r="C1910" s="29">
        <v>12</v>
      </c>
      <c r="D1910" s="34" t="s">
        <v>45</v>
      </c>
      <c r="E1910" s="199">
        <v>4.1978699878152587E-2</v>
      </c>
      <c r="F1910" s="199">
        <v>4.8753916503259713E-2</v>
      </c>
      <c r="G1910" s="199">
        <v>4.8030687338663759E-2</v>
      </c>
      <c r="H1910" s="199">
        <v>4.8481540288921376E-2</v>
      </c>
      <c r="I1910" s="199">
        <v>3.9305652802406797E-2</v>
      </c>
      <c r="J1910" s="199">
        <v>4.0357577438976319E-2</v>
      </c>
      <c r="K1910" s="199">
        <v>4.6769827928517971E-2</v>
      </c>
      <c r="L1910" s="199">
        <v>5.4423084867518207E-2</v>
      </c>
      <c r="M1910" s="199">
        <v>5.0783927664983478E-2</v>
      </c>
      <c r="N1910" s="199">
        <v>4.5743910214023339E-2</v>
      </c>
    </row>
    <row r="1911" spans="3:14">
      <c r="C1911" s="29">
        <v>13</v>
      </c>
      <c r="D1911" s="34" t="s">
        <v>46</v>
      </c>
      <c r="E1911" s="199">
        <v>4.1180480083456858E-2</v>
      </c>
      <c r="F1911" s="199">
        <v>4.5523693031837703E-2</v>
      </c>
      <c r="G1911" s="199">
        <v>4.633901629839645E-2</v>
      </c>
      <c r="H1911" s="199">
        <v>4.6496764778808979E-2</v>
      </c>
      <c r="I1911" s="199">
        <v>3.9355556071747386E-2</v>
      </c>
      <c r="J1911" s="199">
        <v>4.1226692204571723E-2</v>
      </c>
      <c r="K1911" s="199">
        <v>4.4812586258098586E-2</v>
      </c>
      <c r="L1911" s="199">
        <v>5.1939230706639174E-2</v>
      </c>
      <c r="M1911" s="199">
        <v>4.9936583803769162E-2</v>
      </c>
      <c r="N1911" s="199">
        <v>3.3946078673264553E-2</v>
      </c>
    </row>
    <row r="1912" spans="3:14">
      <c r="C1912" s="29">
        <v>14</v>
      </c>
      <c r="D1912" s="34" t="s">
        <v>47</v>
      </c>
      <c r="E1912" s="199">
        <v>3.8862672088612368E-2</v>
      </c>
      <c r="F1912" s="199">
        <v>4.4273415669860899E-2</v>
      </c>
      <c r="G1912" s="199">
        <v>4.6695407250006406E-2</v>
      </c>
      <c r="H1912" s="199">
        <v>4.8484079364067158E-2</v>
      </c>
      <c r="I1912" s="199">
        <v>3.8955947027488155E-2</v>
      </c>
      <c r="J1912" s="199">
        <v>4.1491914266422299E-2</v>
      </c>
      <c r="K1912" s="199">
        <v>4.5853376455025713E-2</v>
      </c>
      <c r="L1912" s="199">
        <v>5.2700187490646366E-2</v>
      </c>
      <c r="M1912" s="199">
        <v>5.1028922539948E-2</v>
      </c>
      <c r="N1912" s="199">
        <v>3.9974774340885907E-2</v>
      </c>
    </row>
    <row r="1913" spans="3:14">
      <c r="C1913" s="29">
        <v>15</v>
      </c>
      <c r="D1913" s="34" t="s">
        <v>48</v>
      </c>
      <c r="E1913" s="199">
        <v>3.9417621998908886E-2</v>
      </c>
      <c r="F1913" s="199">
        <v>4.3798932210990543E-2</v>
      </c>
      <c r="G1913" s="199">
        <v>4.6124804345967572E-2</v>
      </c>
      <c r="H1913" s="199">
        <v>4.6157944731951311E-2</v>
      </c>
      <c r="I1913" s="199">
        <v>4.5428311720069975E-2</v>
      </c>
      <c r="J1913" s="199">
        <v>4.1079114651999447E-2</v>
      </c>
      <c r="K1913" s="199">
        <v>4.5452170240146729E-2</v>
      </c>
      <c r="L1913" s="199">
        <v>5.1639261828216126E-2</v>
      </c>
      <c r="M1913" s="199">
        <v>5.1349918964309321E-2</v>
      </c>
      <c r="N1913" s="199">
        <v>4.2421939612377543E-2</v>
      </c>
    </row>
    <row r="1914" spans="3:14">
      <c r="C1914" s="29">
        <v>16</v>
      </c>
      <c r="D1914" s="34" t="s">
        <v>49</v>
      </c>
      <c r="E1914" s="199">
        <v>4.153576839045265E-2</v>
      </c>
      <c r="F1914" s="199">
        <v>4.3350088017182237E-2</v>
      </c>
      <c r="G1914" s="199">
        <v>4.4116585947809976E-2</v>
      </c>
      <c r="H1914" s="199">
        <v>4.1902747757825758E-2</v>
      </c>
      <c r="I1914" s="199">
        <v>4.3900837736775708E-2</v>
      </c>
      <c r="J1914" s="199">
        <v>4.3796150050259455E-2</v>
      </c>
      <c r="K1914" s="199">
        <v>4.3249221390968859E-2</v>
      </c>
      <c r="L1914" s="199">
        <v>4.7717566164057333E-2</v>
      </c>
      <c r="M1914" s="199">
        <v>4.4473491750300992E-2</v>
      </c>
      <c r="N1914" s="199">
        <v>4.9662572267170919E-2</v>
      </c>
    </row>
    <row r="1915" spans="3:14">
      <c r="C1915" s="29">
        <v>17</v>
      </c>
      <c r="D1915" s="34" t="s">
        <v>50</v>
      </c>
      <c r="E1915" s="199">
        <v>4.6541633328380495E-2</v>
      </c>
      <c r="F1915" s="199">
        <v>4.7254471030894286E-2</v>
      </c>
      <c r="G1915" s="199">
        <v>4.41560510940174E-2</v>
      </c>
      <c r="H1915" s="199">
        <v>3.9866116520697527E-2</v>
      </c>
      <c r="I1915" s="199">
        <v>3.3931670554697181E-2</v>
      </c>
      <c r="J1915" s="199">
        <v>5.0140412723883789E-2</v>
      </c>
      <c r="K1915" s="199">
        <v>4.681182421931316E-2</v>
      </c>
      <c r="L1915" s="199">
        <v>4.6248780175753283E-2</v>
      </c>
      <c r="M1915" s="199">
        <v>3.5665422581199986E-2</v>
      </c>
      <c r="N1915" s="199">
        <v>5.2457527924883597E-2</v>
      </c>
    </row>
    <row r="1916" spans="3:14">
      <c r="C1916" s="29">
        <v>18</v>
      </c>
      <c r="D1916" s="34" t="s">
        <v>51</v>
      </c>
      <c r="E1916" s="199">
        <v>4.9250240443536798E-2</v>
      </c>
      <c r="F1916" s="199">
        <v>4.3076959169421315E-2</v>
      </c>
      <c r="G1916" s="199">
        <v>4.3634294570292539E-2</v>
      </c>
      <c r="H1916" s="199">
        <v>4.0161674633340472E-2</v>
      </c>
      <c r="I1916" s="199">
        <v>3.7566951425867877E-2</v>
      </c>
      <c r="J1916" s="199">
        <v>5.5285561824670308E-2</v>
      </c>
      <c r="K1916" s="199">
        <v>4.3917916750755501E-2</v>
      </c>
      <c r="L1916" s="199">
        <v>4.3755470755561285E-2</v>
      </c>
      <c r="M1916" s="199">
        <v>3.5987677540877921E-2</v>
      </c>
      <c r="N1916" s="199">
        <v>5.449749026404041E-2</v>
      </c>
    </row>
    <row r="1917" spans="3:14">
      <c r="C1917" s="29">
        <v>19</v>
      </c>
      <c r="D1917" s="34" t="s">
        <v>52</v>
      </c>
      <c r="E1917" s="199">
        <v>5.1090233639344382E-2</v>
      </c>
      <c r="F1917" s="199">
        <v>4.0316546764002301E-2</v>
      </c>
      <c r="G1917" s="199">
        <v>4.195731368979666E-2</v>
      </c>
      <c r="H1917" s="199">
        <v>4.0286919397743114E-2</v>
      </c>
      <c r="I1917" s="199">
        <v>4.3256179390383703E-2</v>
      </c>
      <c r="J1917" s="199">
        <v>5.2720203238052918E-2</v>
      </c>
      <c r="K1917" s="199">
        <v>4.0280287150119609E-2</v>
      </c>
      <c r="L1917" s="199">
        <v>4.0859945167573866E-2</v>
      </c>
      <c r="M1917" s="199">
        <v>3.579358342760694E-2</v>
      </c>
      <c r="N1917" s="199">
        <v>4.0787403750688379E-2</v>
      </c>
    </row>
    <row r="1918" spans="3:14">
      <c r="C1918" s="29">
        <v>20</v>
      </c>
      <c r="D1918" s="34" t="s">
        <v>53</v>
      </c>
      <c r="E1918" s="199">
        <v>5.1173602351121936E-2</v>
      </c>
      <c r="F1918" s="199">
        <v>3.9191167567664671E-2</v>
      </c>
      <c r="G1918" s="199">
        <v>3.9824618041587524E-2</v>
      </c>
      <c r="H1918" s="199">
        <v>3.8453072373700312E-2</v>
      </c>
      <c r="I1918" s="199">
        <v>4.3955973829755586E-2</v>
      </c>
      <c r="J1918" s="199">
        <v>4.9632484942787526E-2</v>
      </c>
      <c r="K1918" s="199">
        <v>3.799674227594154E-2</v>
      </c>
      <c r="L1918" s="199">
        <v>3.8673066927898334E-2</v>
      </c>
      <c r="M1918" s="199">
        <v>3.4859051036403826E-2</v>
      </c>
      <c r="N1918" s="199">
        <v>4.0195449512165755E-2</v>
      </c>
    </row>
    <row r="1919" spans="3:14">
      <c r="C1919" s="29">
        <v>21</v>
      </c>
      <c r="D1919" s="34" t="s">
        <v>54</v>
      </c>
      <c r="E1919" s="199">
        <v>4.9718843596359814E-2</v>
      </c>
      <c r="F1919" s="199">
        <v>3.8197665678413047E-2</v>
      </c>
      <c r="G1919" s="199">
        <v>3.9129996288709161E-2</v>
      </c>
      <c r="H1919" s="199">
        <v>3.806268957003596E-2</v>
      </c>
      <c r="I1919" s="199">
        <v>4.7529609485858493E-2</v>
      </c>
      <c r="J1919" s="199">
        <v>4.8542145420683046E-2</v>
      </c>
      <c r="K1919" s="199">
        <v>3.7964413107749173E-2</v>
      </c>
      <c r="L1919" s="199">
        <v>3.6851723006635348E-2</v>
      </c>
      <c r="M1919" s="199">
        <v>3.4937569656433839E-2</v>
      </c>
      <c r="N1919" s="199">
        <v>3.564950150702588E-2</v>
      </c>
    </row>
    <row r="1920" spans="3:14">
      <c r="C1920" s="29">
        <v>22</v>
      </c>
      <c r="D1920" s="34" t="s">
        <v>55</v>
      </c>
      <c r="E1920" s="199">
        <v>4.6900067429126037E-2</v>
      </c>
      <c r="F1920" s="199">
        <v>3.7442887727258303E-2</v>
      </c>
      <c r="G1920" s="199">
        <v>3.8431350199608937E-2</v>
      </c>
      <c r="H1920" s="199">
        <v>3.8383736090873123E-2</v>
      </c>
      <c r="I1920" s="199">
        <v>4.6828666377882883E-2</v>
      </c>
      <c r="J1920" s="199">
        <v>4.4242703048388225E-2</v>
      </c>
      <c r="K1920" s="199">
        <v>3.8300067155561793E-2</v>
      </c>
      <c r="L1920" s="199">
        <v>3.3301526862821493E-2</v>
      </c>
      <c r="M1920" s="199">
        <v>3.5056221569337603E-2</v>
      </c>
      <c r="N1920" s="199">
        <v>3.0865705933556642E-2</v>
      </c>
    </row>
    <row r="1921" spans="1:14">
      <c r="C1921" s="29">
        <v>23</v>
      </c>
      <c r="D1921" s="34" t="s">
        <v>56</v>
      </c>
      <c r="E1921" s="199">
        <v>4.2819181827589078E-2</v>
      </c>
      <c r="F1921" s="199">
        <v>3.7203211641875421E-2</v>
      </c>
      <c r="G1921" s="199">
        <v>3.7249911689806035E-2</v>
      </c>
      <c r="H1921" s="199">
        <v>3.7168495663406145E-2</v>
      </c>
      <c r="I1921" s="199">
        <v>4.0536770285934255E-2</v>
      </c>
      <c r="J1921" s="199">
        <v>3.9925600053768752E-2</v>
      </c>
      <c r="K1921" s="199">
        <v>3.7914386092060597E-2</v>
      </c>
      <c r="L1921" s="199">
        <v>3.0965404656049307E-2</v>
      </c>
      <c r="M1921" s="199">
        <v>3.4943652577130731E-2</v>
      </c>
      <c r="N1921" s="199">
        <v>2.947671561128799E-2</v>
      </c>
    </row>
    <row r="1922" spans="1:14">
      <c r="C1922" s="29">
        <v>24</v>
      </c>
      <c r="D1922" s="34" t="s">
        <v>57</v>
      </c>
      <c r="E1922" s="199">
        <v>3.7934016791783147E-2</v>
      </c>
      <c r="F1922" s="199">
        <v>3.6997675435468738E-2</v>
      </c>
      <c r="G1922" s="199">
        <v>3.5225734533173986E-2</v>
      </c>
      <c r="H1922" s="199">
        <v>3.6120150598406307E-2</v>
      </c>
      <c r="I1922" s="199">
        <v>4.1733938230728733E-2</v>
      </c>
      <c r="J1922" s="199">
        <v>3.7231266943885892E-2</v>
      </c>
      <c r="K1922" s="199">
        <v>3.8175068372546646E-2</v>
      </c>
      <c r="L1922" s="199">
        <v>2.8819961786046497E-2</v>
      </c>
      <c r="M1922" s="199">
        <v>3.4651462627793769E-2</v>
      </c>
      <c r="N1922" s="199">
        <v>2.9802004235857937E-2</v>
      </c>
    </row>
    <row r="1923" spans="1:14">
      <c r="A1923" s="16" t="s">
        <v>441</v>
      </c>
      <c r="B1923" s="16" t="s">
        <v>310</v>
      </c>
      <c r="C1923" s="29">
        <v>1</v>
      </c>
      <c r="D1923" s="34" t="s">
        <v>58</v>
      </c>
      <c r="E1923" s="199">
        <v>3.4743881879279584E-2</v>
      </c>
      <c r="F1923" s="199">
        <v>3.692697050092688E-2</v>
      </c>
      <c r="G1923" s="199">
        <v>3.5385691849539332E-2</v>
      </c>
      <c r="H1923" s="199">
        <v>3.6528783019425866E-2</v>
      </c>
      <c r="I1923" s="199">
        <v>4.121164969131242E-2</v>
      </c>
      <c r="J1923" s="199">
        <v>3.4268338519417366E-2</v>
      </c>
      <c r="K1923" s="199">
        <v>3.9134893087830358E-2</v>
      </c>
      <c r="L1923" s="199">
        <v>3.0098685316179069E-2</v>
      </c>
      <c r="M1923" s="199">
        <v>3.5036246790698534E-2</v>
      </c>
      <c r="N1923" s="199">
        <v>4.2256083063905846E-2</v>
      </c>
    </row>
    <row r="1924" spans="1:14">
      <c r="C1924" s="29">
        <v>2</v>
      </c>
      <c r="D1924" s="34" t="s">
        <v>59</v>
      </c>
      <c r="E1924" s="199">
        <v>3.3951350095325294E-2</v>
      </c>
      <c r="F1924" s="199">
        <v>3.6809837612917562E-2</v>
      </c>
      <c r="G1924" s="199">
        <v>3.4866733942168042E-2</v>
      </c>
      <c r="H1924" s="199">
        <v>3.5695475812693458E-2</v>
      </c>
      <c r="I1924" s="199">
        <v>4.1945566505020716E-2</v>
      </c>
      <c r="J1924" s="199">
        <v>3.2320788057657687E-2</v>
      </c>
      <c r="K1924" s="199">
        <v>3.8924754540566556E-2</v>
      </c>
      <c r="L1924" s="199">
        <v>2.9368116063703643E-2</v>
      </c>
      <c r="M1924" s="199">
        <v>3.5327649886610919E-2</v>
      </c>
      <c r="N1924" s="199">
        <v>3.9879057909157009E-2</v>
      </c>
    </row>
    <row r="1925" spans="1:14">
      <c r="C1925" s="29">
        <v>3</v>
      </c>
      <c r="D1925" s="34" t="s">
        <v>60</v>
      </c>
      <c r="E1925" s="199">
        <v>3.325583196242253E-2</v>
      </c>
      <c r="F1925" s="199">
        <v>3.6768361732643813E-2</v>
      </c>
      <c r="G1925" s="199">
        <v>3.482555362103814E-2</v>
      </c>
      <c r="H1925" s="199">
        <v>3.4961245347348631E-2</v>
      </c>
      <c r="I1925" s="199">
        <v>4.4733619668459387E-2</v>
      </c>
      <c r="J1925" s="199">
        <v>3.2846283616196896E-2</v>
      </c>
      <c r="K1925" s="199">
        <v>3.8747176054085189E-2</v>
      </c>
      <c r="L1925" s="199">
        <v>2.8684980599499761E-2</v>
      </c>
      <c r="M1925" s="199">
        <v>3.4413375932242224E-2</v>
      </c>
      <c r="N1925" s="199">
        <v>2.7422042323800352E-2</v>
      </c>
    </row>
    <row r="1926" spans="1:14">
      <c r="C1926" s="29">
        <v>4</v>
      </c>
      <c r="D1926" s="34" t="s">
        <v>61</v>
      </c>
      <c r="E1926" s="199">
        <v>3.3440621875596335E-2</v>
      </c>
      <c r="F1926" s="199">
        <v>3.6975581752858734E-2</v>
      </c>
      <c r="G1926" s="199">
        <v>3.5515348767598806E-2</v>
      </c>
      <c r="H1926" s="199">
        <v>3.4606507409416447E-2</v>
      </c>
      <c r="I1926" s="199">
        <v>4.3073759917821773E-2</v>
      </c>
      <c r="J1926" s="199">
        <v>3.3511439755108202E-2</v>
      </c>
      <c r="K1926" s="199">
        <v>3.9582821346259137E-2</v>
      </c>
      <c r="L1926" s="199">
        <v>2.9541779501536219E-2</v>
      </c>
      <c r="M1926" s="199">
        <v>3.4963591560104222E-2</v>
      </c>
      <c r="N1926" s="199">
        <v>4.0455643445238207E-2</v>
      </c>
    </row>
    <row r="1927" spans="1:14">
      <c r="C1927" s="29">
        <v>5</v>
      </c>
      <c r="D1927" s="34" t="s">
        <v>63</v>
      </c>
      <c r="E1927" s="199">
        <v>3.4879458592941885E-2</v>
      </c>
      <c r="F1927" s="199">
        <v>3.7374463740652633E-2</v>
      </c>
      <c r="G1927" s="199">
        <v>3.6389527398519229E-2</v>
      </c>
      <c r="H1927" s="199">
        <v>3.4367076816351941E-2</v>
      </c>
      <c r="I1927" s="199">
        <v>4.6534064268044191E-2</v>
      </c>
      <c r="J1927" s="199">
        <v>3.2658850712321233E-2</v>
      </c>
      <c r="K1927" s="199">
        <v>3.9251899906150821E-2</v>
      </c>
      <c r="L1927" s="199">
        <v>3.28540077853113E-2</v>
      </c>
      <c r="M1927" s="199">
        <v>3.5483041695585367E-2</v>
      </c>
      <c r="N1927" s="199">
        <v>4.3170513618342385E-2</v>
      </c>
    </row>
    <row r="1928" spans="1:14">
      <c r="C1928" s="29">
        <v>6</v>
      </c>
      <c r="D1928" s="34" t="s">
        <v>64</v>
      </c>
      <c r="E1928" s="199">
        <v>3.7408857432097285E-2</v>
      </c>
      <c r="F1928" s="199">
        <v>4.0003394573375761E-2</v>
      </c>
      <c r="G1928" s="199">
        <v>3.9853753389781088E-2</v>
      </c>
      <c r="H1928" s="199">
        <v>3.7767271478503464E-2</v>
      </c>
      <c r="I1928" s="199">
        <v>4.6192347231796459E-2</v>
      </c>
      <c r="J1928" s="199">
        <v>3.625905310885872E-2</v>
      </c>
      <c r="K1928" s="199">
        <v>4.1183499337007129E-2</v>
      </c>
      <c r="L1928" s="199">
        <v>3.9911888740836607E-2</v>
      </c>
      <c r="M1928" s="199">
        <v>4.4430324763666276E-2</v>
      </c>
      <c r="N1928" s="199">
        <v>5.1540766055546951E-2</v>
      </c>
    </row>
    <row r="1929" spans="1:14">
      <c r="C1929" s="29">
        <v>7</v>
      </c>
      <c r="D1929" s="34" t="s">
        <v>65</v>
      </c>
      <c r="E1929" s="199">
        <v>4.4232397913741048E-2</v>
      </c>
      <c r="F1929" s="199">
        <v>4.3009139234125499E-2</v>
      </c>
      <c r="G1929" s="199">
        <v>4.3231464380805495E-2</v>
      </c>
      <c r="H1929" s="199">
        <v>4.1688480189059671E-2</v>
      </c>
      <c r="I1929" s="199">
        <v>5.0527952022225188E-2</v>
      </c>
      <c r="J1929" s="199">
        <v>4.1177360745302337E-2</v>
      </c>
      <c r="K1929" s="199">
        <v>4.2005928368346872E-2</v>
      </c>
      <c r="L1929" s="199">
        <v>4.4154646435938173E-2</v>
      </c>
      <c r="M1929" s="199">
        <v>4.7350700019241479E-2</v>
      </c>
      <c r="N1929" s="199">
        <v>4.2848732920537959E-2</v>
      </c>
    </row>
    <row r="1930" spans="1:14">
      <c r="C1930" s="29">
        <v>8</v>
      </c>
      <c r="D1930" s="34" t="s">
        <v>66</v>
      </c>
      <c r="E1930" s="199">
        <v>4.7253819693782076E-2</v>
      </c>
      <c r="F1930" s="199">
        <v>4.5555167346656149E-2</v>
      </c>
      <c r="G1930" s="199">
        <v>4.5321648029186444E-2</v>
      </c>
      <c r="H1930" s="199">
        <v>4.6085105461265277E-2</v>
      </c>
      <c r="I1930" s="199">
        <v>5.0731161031157913E-2</v>
      </c>
      <c r="J1930" s="199">
        <v>4.4544750431478743E-2</v>
      </c>
      <c r="K1930" s="199">
        <v>4.2069829847678986E-2</v>
      </c>
      <c r="L1930" s="199">
        <v>4.7645212830800657E-2</v>
      </c>
      <c r="M1930" s="199">
        <v>5.0450019198014888E-2</v>
      </c>
      <c r="N1930" s="199">
        <v>4.2753582714197935E-2</v>
      </c>
    </row>
    <row r="1931" spans="1:14">
      <c r="C1931" s="29">
        <v>9</v>
      </c>
      <c r="D1931" s="34" t="s">
        <v>67</v>
      </c>
      <c r="E1931" s="199">
        <v>4.4722133194314971E-2</v>
      </c>
      <c r="F1931" s="199">
        <v>4.6923748794802635E-2</v>
      </c>
      <c r="G1931" s="199">
        <v>4.7518147576401056E-2</v>
      </c>
      <c r="H1931" s="199">
        <v>4.8717557548728155E-2</v>
      </c>
      <c r="I1931" s="199">
        <v>4.7185547238506195E-2</v>
      </c>
      <c r="J1931" s="199">
        <v>4.6242184043487435E-2</v>
      </c>
      <c r="K1931" s="199">
        <v>4.2841093069217746E-2</v>
      </c>
      <c r="L1931" s="199">
        <v>5.1523372955387836E-2</v>
      </c>
      <c r="M1931" s="199">
        <v>5.2704243326191225E-2</v>
      </c>
      <c r="N1931" s="199">
        <v>5.0009712735348467E-2</v>
      </c>
    </row>
    <row r="1932" spans="1:14">
      <c r="C1932" s="29">
        <v>10</v>
      </c>
      <c r="D1932" s="34" t="s">
        <v>68</v>
      </c>
      <c r="E1932" s="199">
        <v>4.4888760621287105E-2</v>
      </c>
      <c r="F1932" s="199">
        <v>4.7012977720795067E-2</v>
      </c>
      <c r="G1932" s="199">
        <v>4.732925968482226E-2</v>
      </c>
      <c r="H1932" s="199">
        <v>4.8990967318862516E-2</v>
      </c>
      <c r="I1932" s="199">
        <v>4.4618276190118648E-2</v>
      </c>
      <c r="J1932" s="199">
        <v>4.1892109601100576E-2</v>
      </c>
      <c r="K1932" s="199">
        <v>4.3401205068961252E-2</v>
      </c>
      <c r="L1932" s="199">
        <v>5.2867550327202188E-2</v>
      </c>
      <c r="M1932" s="199">
        <v>4.9457788614647266E-2</v>
      </c>
      <c r="N1932" s="199">
        <v>4.7187335186249728E-2</v>
      </c>
    </row>
    <row r="1933" spans="1:14">
      <c r="C1933" s="29">
        <v>11</v>
      </c>
      <c r="D1933" s="34" t="s">
        <v>69</v>
      </c>
      <c r="E1933" s="199">
        <v>4.3516930292377964E-2</v>
      </c>
      <c r="F1933" s="199">
        <v>4.6273633068146809E-2</v>
      </c>
      <c r="G1933" s="199">
        <v>4.7139982115786114E-2</v>
      </c>
      <c r="H1933" s="199">
        <v>4.6979890457438535E-2</v>
      </c>
      <c r="I1933" s="199">
        <v>4.3507815638946151E-2</v>
      </c>
      <c r="J1933" s="199">
        <v>4.3162437316379192E-2</v>
      </c>
      <c r="K1933" s="199">
        <v>4.3522811832611003E-2</v>
      </c>
      <c r="L1933" s="199">
        <v>5.1986515871317258E-2</v>
      </c>
      <c r="M1933" s="199">
        <v>4.9089037246929937E-2</v>
      </c>
      <c r="N1933" s="199">
        <v>4.4412162025231364E-2</v>
      </c>
    </row>
    <row r="1934" spans="1:14">
      <c r="C1934" s="29">
        <v>12</v>
      </c>
      <c r="D1934" s="34" t="s">
        <v>70</v>
      </c>
      <c r="E1934" s="199">
        <v>4.1667772079991713E-2</v>
      </c>
      <c r="F1934" s="199">
        <v>4.6118604245781535E-2</v>
      </c>
      <c r="G1934" s="199">
        <v>4.6813828688675244E-2</v>
      </c>
      <c r="H1934" s="199">
        <v>4.8681009499165026E-2</v>
      </c>
      <c r="I1934" s="199">
        <v>3.8282851923416399E-2</v>
      </c>
      <c r="J1934" s="199">
        <v>4.2156253882151426E-2</v>
      </c>
      <c r="K1934" s="199">
        <v>4.4007144882246725E-2</v>
      </c>
      <c r="L1934" s="199">
        <v>5.2865246669776905E-2</v>
      </c>
      <c r="M1934" s="199">
        <v>4.9147004996698364E-2</v>
      </c>
      <c r="N1934" s="199">
        <v>4.054510935353714E-2</v>
      </c>
    </row>
    <row r="1935" spans="1:14">
      <c r="C1935" s="29">
        <v>13</v>
      </c>
      <c r="D1935" s="34" t="s">
        <v>71</v>
      </c>
      <c r="E1935" s="199">
        <v>3.9785510951979186E-2</v>
      </c>
      <c r="F1935" s="199">
        <v>4.5065842684082598E-2</v>
      </c>
      <c r="G1935" s="199">
        <v>4.6357529595507541E-2</v>
      </c>
      <c r="H1935" s="199">
        <v>4.801175983120639E-2</v>
      </c>
      <c r="I1935" s="199">
        <v>3.4883094911547369E-2</v>
      </c>
      <c r="J1935" s="199">
        <v>4.150412655874109E-2</v>
      </c>
      <c r="K1935" s="199">
        <v>4.4321588906250056E-2</v>
      </c>
      <c r="L1935" s="199">
        <v>5.1814873185612127E-2</v>
      </c>
      <c r="M1935" s="199">
        <v>5.0923929452118731E-2</v>
      </c>
      <c r="N1935" s="199">
        <v>3.4128772582109682E-2</v>
      </c>
    </row>
    <row r="1936" spans="1:14">
      <c r="C1936" s="29">
        <v>14</v>
      </c>
      <c r="D1936" s="34" t="s">
        <v>72</v>
      </c>
      <c r="E1936" s="199">
        <v>3.9255586709374693E-2</v>
      </c>
      <c r="F1936" s="199">
        <v>4.4479908522083333E-2</v>
      </c>
      <c r="G1936" s="199">
        <v>4.6061051097480328E-2</v>
      </c>
      <c r="H1936" s="199">
        <v>4.9433046921565374E-2</v>
      </c>
      <c r="I1936" s="199">
        <v>3.8052324722245082E-2</v>
      </c>
      <c r="J1936" s="199">
        <v>3.9609055437661966E-2</v>
      </c>
      <c r="K1936" s="199">
        <v>4.459640131172591E-2</v>
      </c>
      <c r="L1936" s="199">
        <v>5.2322607365153824E-2</v>
      </c>
      <c r="M1936" s="199">
        <v>5.1472754549251654E-2</v>
      </c>
      <c r="N1936" s="199">
        <v>3.477208683432545E-2</v>
      </c>
    </row>
    <row r="1937" spans="1:14">
      <c r="C1937" s="29">
        <v>15</v>
      </c>
      <c r="D1937" s="34" t="s">
        <v>73</v>
      </c>
      <c r="E1937" s="199">
        <v>3.8860411359691309E-2</v>
      </c>
      <c r="F1937" s="199">
        <v>4.438387524682931E-2</v>
      </c>
      <c r="G1937" s="199">
        <v>4.5378356006286889E-2</v>
      </c>
      <c r="H1937" s="199">
        <v>4.6547502510051145E-2</v>
      </c>
      <c r="I1937" s="199">
        <v>3.6498223119338161E-2</v>
      </c>
      <c r="J1937" s="199">
        <v>3.947367018117881E-2</v>
      </c>
      <c r="K1937" s="199">
        <v>4.5762298648978891E-2</v>
      </c>
      <c r="L1937" s="199">
        <v>5.0896373985284363E-2</v>
      </c>
      <c r="M1937" s="199">
        <v>5.1404705451697404E-2</v>
      </c>
      <c r="N1937" s="199">
        <v>4.4719114119450336E-2</v>
      </c>
    </row>
    <row r="1938" spans="1:14">
      <c r="C1938" s="29">
        <v>16</v>
      </c>
      <c r="D1938" s="34" t="s">
        <v>74</v>
      </c>
      <c r="E1938" s="199">
        <v>4.1305895447846463E-2</v>
      </c>
      <c r="F1938" s="199">
        <v>4.4255132054764647E-2</v>
      </c>
      <c r="G1938" s="199">
        <v>4.3884788359237967E-2</v>
      </c>
      <c r="H1938" s="199">
        <v>4.2180944722709772E-2</v>
      </c>
      <c r="I1938" s="199">
        <v>3.8473919513576427E-2</v>
      </c>
      <c r="J1938" s="199">
        <v>4.2794208142791237E-2</v>
      </c>
      <c r="K1938" s="199">
        <v>4.5811010010339229E-2</v>
      </c>
      <c r="L1938" s="199">
        <v>4.6512325301431887E-2</v>
      </c>
      <c r="M1938" s="199">
        <v>4.4423372110020884E-2</v>
      </c>
      <c r="N1938" s="199">
        <v>4.4173174364112403E-2</v>
      </c>
    </row>
    <row r="1939" spans="1:14">
      <c r="C1939" s="29">
        <v>17</v>
      </c>
      <c r="D1939" s="34" t="s">
        <v>75</v>
      </c>
      <c r="E1939" s="199">
        <v>4.5851890397564925E-2</v>
      </c>
      <c r="F1939" s="199">
        <v>4.8534025632756057E-2</v>
      </c>
      <c r="G1939" s="199">
        <v>4.4735434434555223E-2</v>
      </c>
      <c r="H1939" s="199">
        <v>4.0850327154669533E-2</v>
      </c>
      <c r="I1939" s="199">
        <v>3.6605898333190882E-2</v>
      </c>
      <c r="J1939" s="199">
        <v>4.7991608090525148E-2</v>
      </c>
      <c r="K1939" s="199">
        <v>4.823111333678283E-2</v>
      </c>
      <c r="L1939" s="199">
        <v>4.6231103963695862E-2</v>
      </c>
      <c r="M1939" s="199">
        <v>3.5633566647008036E-2</v>
      </c>
      <c r="N1939" s="199">
        <v>4.3316081076872952E-2</v>
      </c>
    </row>
    <row r="1940" spans="1:14">
      <c r="C1940" s="29">
        <v>18</v>
      </c>
      <c r="D1940" s="34" t="s">
        <v>76</v>
      </c>
      <c r="E1940" s="199">
        <v>4.8563563467102826E-2</v>
      </c>
      <c r="F1940" s="199">
        <v>4.3982296039508283E-2</v>
      </c>
      <c r="G1940" s="199">
        <v>4.339950122606398E-2</v>
      </c>
      <c r="H1940" s="199">
        <v>4.0722700898527378E-2</v>
      </c>
      <c r="I1940" s="199">
        <v>3.4849066987881747E-2</v>
      </c>
      <c r="J1940" s="199">
        <v>5.2627036997441076E-2</v>
      </c>
      <c r="K1940" s="199">
        <v>4.3874810634153612E-2</v>
      </c>
      <c r="L1940" s="199">
        <v>4.3947142135811322E-2</v>
      </c>
      <c r="M1940" s="199">
        <v>3.5582812275396704E-2</v>
      </c>
      <c r="N1940" s="199">
        <v>5.151580457284477E-2</v>
      </c>
    </row>
    <row r="1941" spans="1:14">
      <c r="C1941" s="29">
        <v>19</v>
      </c>
      <c r="D1941" s="34" t="s">
        <v>77</v>
      </c>
      <c r="E1941" s="199">
        <v>4.9711421193924125E-2</v>
      </c>
      <c r="F1941" s="199">
        <v>3.9321402615944953E-2</v>
      </c>
      <c r="G1941" s="199">
        <v>4.2222880050607883E-2</v>
      </c>
      <c r="H1941" s="199">
        <v>4.0994359164689076E-2</v>
      </c>
      <c r="I1941" s="199">
        <v>3.6428889227925587E-2</v>
      </c>
      <c r="J1941" s="199">
        <v>5.3249185042389291E-2</v>
      </c>
      <c r="K1941" s="199">
        <v>4.1139868512279153E-2</v>
      </c>
      <c r="L1941" s="199">
        <v>4.1279210460350636E-2</v>
      </c>
      <c r="M1941" s="199">
        <v>3.581442254995873E-2</v>
      </c>
      <c r="N1941" s="199">
        <v>3.6698569583469468E-2</v>
      </c>
    </row>
    <row r="1942" spans="1:14">
      <c r="C1942" s="29">
        <v>20</v>
      </c>
      <c r="D1942" s="34" t="s">
        <v>78</v>
      </c>
      <c r="E1942" s="199">
        <v>4.9496780163963638E-2</v>
      </c>
      <c r="F1942" s="199">
        <v>3.9323854633696871E-2</v>
      </c>
      <c r="G1942" s="199">
        <v>4.1606397103652951E-2</v>
      </c>
      <c r="H1942" s="199">
        <v>4.019707455632799E-2</v>
      </c>
      <c r="I1942" s="199">
        <v>4.3056346567213535E-2</v>
      </c>
      <c r="J1942" s="199">
        <v>5.1273278052840661E-2</v>
      </c>
      <c r="K1942" s="199">
        <v>3.8972950982673615E-2</v>
      </c>
      <c r="L1942" s="199">
        <v>3.9950754540087792E-2</v>
      </c>
      <c r="M1942" s="199">
        <v>3.6068715857038844E-2</v>
      </c>
      <c r="N1942" s="199">
        <v>4.5688163363759977E-2</v>
      </c>
    </row>
    <row r="1943" spans="1:14">
      <c r="C1943" s="29">
        <v>21</v>
      </c>
      <c r="D1943" s="34" t="s">
        <v>79</v>
      </c>
      <c r="E1943" s="199">
        <v>4.8814856632154777E-2</v>
      </c>
      <c r="F1943" s="199">
        <v>3.779936163679444E-2</v>
      </c>
      <c r="G1943" s="199">
        <v>4.0707127207299888E-2</v>
      </c>
      <c r="H1943" s="199">
        <v>3.9185872929437683E-2</v>
      </c>
      <c r="I1943" s="199">
        <v>4.5178219253254819E-2</v>
      </c>
      <c r="J1943" s="199">
        <v>4.9206549036833767E-2</v>
      </c>
      <c r="K1943" s="199">
        <v>3.7814760270244732E-2</v>
      </c>
      <c r="L1943" s="199">
        <v>3.8526447610579828E-2</v>
      </c>
      <c r="M1943" s="199">
        <v>3.510594714349357E-2</v>
      </c>
      <c r="N1943" s="199">
        <v>4.2514100766292792E-2</v>
      </c>
    </row>
    <row r="1944" spans="1:14">
      <c r="C1944" s="29">
        <v>22</v>
      </c>
      <c r="D1944" s="34" t="s">
        <v>80</v>
      </c>
      <c r="E1944" s="199">
        <v>4.6228558748822021E-2</v>
      </c>
      <c r="F1944" s="199">
        <v>3.7897050024031001E-2</v>
      </c>
      <c r="G1944" s="199">
        <v>3.9566151612138577E-2</v>
      </c>
      <c r="H1944" s="199">
        <v>4.0178099929957356E-2</v>
      </c>
      <c r="I1944" s="199">
        <v>4.26005640967064E-2</v>
      </c>
      <c r="J1944" s="199">
        <v>4.4410769478462751E-2</v>
      </c>
      <c r="K1944" s="199">
        <v>3.8840084651352122E-2</v>
      </c>
      <c r="L1944" s="199">
        <v>3.5144409076641965E-2</v>
      </c>
      <c r="M1944" s="199">
        <v>3.5649557750392441E-2</v>
      </c>
      <c r="N1944" s="199">
        <v>4.0072818329340315E-2</v>
      </c>
    </row>
    <row r="1945" spans="1:14">
      <c r="C1945" s="29">
        <v>23</v>
      </c>
      <c r="D1945" s="34" t="s">
        <v>81</v>
      </c>
      <c r="E1945" s="199">
        <v>4.2083293478969511E-2</v>
      </c>
      <c r="F1945" s="199">
        <v>3.756443381598279E-2</v>
      </c>
      <c r="G1945" s="199">
        <v>3.6434340306116073E-2</v>
      </c>
      <c r="H1945" s="199">
        <v>3.8242746423618627E-2</v>
      </c>
      <c r="I1945" s="199">
        <v>3.8585269104162982E-2</v>
      </c>
      <c r="J1945" s="199">
        <v>3.9964016544047139E-2</v>
      </c>
      <c r="K1945" s="199">
        <v>3.7640460103009254E-2</v>
      </c>
      <c r="L1945" s="199">
        <v>3.1545476481025063E-2</v>
      </c>
      <c r="M1945" s="199">
        <v>3.4885113482081884E-2</v>
      </c>
      <c r="N1945" s="199">
        <v>3.8665830992473491E-2</v>
      </c>
    </row>
    <row r="1946" spans="1:14">
      <c r="C1946" s="29">
        <v>24</v>
      </c>
      <c r="D1946" s="34" t="s">
        <v>82</v>
      </c>
      <c r="E1946" s="199">
        <v>3.6080415815448845E-2</v>
      </c>
      <c r="F1946" s="199">
        <v>3.7640936769842752E-2</v>
      </c>
      <c r="G1946" s="199">
        <v>3.5455503556731452E-2</v>
      </c>
      <c r="H1946" s="199">
        <v>3.8386194598980607E-2</v>
      </c>
      <c r="I1946" s="199">
        <v>3.6243572836131582E-2</v>
      </c>
      <c r="J1946" s="199">
        <v>3.6856646647627257E-2</v>
      </c>
      <c r="K1946" s="199">
        <v>3.8321595291248803E-2</v>
      </c>
      <c r="L1946" s="199">
        <v>3.0327272796835586E-2</v>
      </c>
      <c r="M1946" s="199">
        <v>3.5182078700910578E-2</v>
      </c>
      <c r="N1946" s="199">
        <v>3.1254742063854937E-2</v>
      </c>
    </row>
    <row r="1947" spans="1:14">
      <c r="A1947" s="16" t="s">
        <v>441</v>
      </c>
      <c r="B1947" s="16" t="s">
        <v>311</v>
      </c>
      <c r="C1947" s="29">
        <v>1</v>
      </c>
      <c r="D1947" s="34" t="s">
        <v>83</v>
      </c>
      <c r="E1947" s="199">
        <v>3.3527734342676141E-2</v>
      </c>
      <c r="F1947" s="199">
        <v>3.5582762329151675E-2</v>
      </c>
      <c r="G1947" s="199">
        <v>3.3437409023630016E-2</v>
      </c>
      <c r="H1947" s="199">
        <v>3.626319376001156E-2</v>
      </c>
      <c r="I1947" s="199">
        <v>3.4440587866278863E-2</v>
      </c>
      <c r="J1947" s="199">
        <v>3.3487231672579464E-2</v>
      </c>
      <c r="K1947" s="199">
        <v>3.7903978664395384E-2</v>
      </c>
      <c r="L1947" s="199">
        <v>2.7152730704610856E-2</v>
      </c>
      <c r="M1947" s="199">
        <v>3.2426118408843033E-2</v>
      </c>
      <c r="N1947" s="199">
        <v>2.6687627728485798E-2</v>
      </c>
    </row>
    <row r="1948" spans="1:14">
      <c r="C1948" s="29">
        <v>2</v>
      </c>
      <c r="D1948" s="34" t="s">
        <v>84</v>
      </c>
      <c r="E1948" s="199">
        <v>3.3389548786068465E-2</v>
      </c>
      <c r="F1948" s="199">
        <v>3.4974165663992911E-2</v>
      </c>
      <c r="G1948" s="199">
        <v>3.2994850472120654E-2</v>
      </c>
      <c r="H1948" s="199">
        <v>3.4245529960536751E-2</v>
      </c>
      <c r="I1948" s="199">
        <v>3.8248832409331981E-2</v>
      </c>
      <c r="J1948" s="199">
        <v>3.1561371323637802E-2</v>
      </c>
      <c r="K1948" s="199">
        <v>3.7281077197175126E-2</v>
      </c>
      <c r="L1948" s="199">
        <v>2.579318949752846E-2</v>
      </c>
      <c r="M1948" s="199">
        <v>3.2018163259598977E-2</v>
      </c>
      <c r="N1948" s="199">
        <v>2.4647792319302166E-2</v>
      </c>
    </row>
    <row r="1949" spans="1:14">
      <c r="C1949" s="29">
        <v>3</v>
      </c>
      <c r="D1949" s="34" t="s">
        <v>85</v>
      </c>
      <c r="E1949" s="199">
        <v>3.2763966313913345E-2</v>
      </c>
      <c r="F1949" s="199">
        <v>3.5775981701966636E-2</v>
      </c>
      <c r="G1949" s="199">
        <v>3.3344022631586069E-2</v>
      </c>
      <c r="H1949" s="199">
        <v>3.2843523236579457E-2</v>
      </c>
      <c r="I1949" s="199">
        <v>4.4172633543372239E-2</v>
      </c>
      <c r="J1949" s="199">
        <v>3.246038100319322E-2</v>
      </c>
      <c r="K1949" s="199">
        <v>3.7894126891973953E-2</v>
      </c>
      <c r="L1949" s="199">
        <v>2.5793029233877492E-2</v>
      </c>
      <c r="M1949" s="199">
        <v>3.0586069876877783E-2</v>
      </c>
      <c r="N1949" s="199">
        <v>2.518932886478133E-2</v>
      </c>
    </row>
    <row r="1950" spans="1:14">
      <c r="C1950" s="29">
        <v>4</v>
      </c>
      <c r="D1950" s="34" t="s">
        <v>86</v>
      </c>
      <c r="E1950" s="199">
        <v>3.3231520948700549E-2</v>
      </c>
      <c r="F1950" s="199">
        <v>3.5774440803150079E-2</v>
      </c>
      <c r="G1950" s="199">
        <v>3.3696108798173779E-2</v>
      </c>
      <c r="H1950" s="199">
        <v>3.2237841701037939E-2</v>
      </c>
      <c r="I1950" s="199">
        <v>4.2591123034752876E-2</v>
      </c>
      <c r="J1950" s="199">
        <v>3.2774194788767551E-2</v>
      </c>
      <c r="K1950" s="199">
        <v>3.8274253741711589E-2</v>
      </c>
      <c r="L1950" s="199">
        <v>2.6343855402244203E-2</v>
      </c>
      <c r="M1950" s="199">
        <v>3.084561992022351E-2</v>
      </c>
      <c r="N1950" s="199">
        <v>3.5006708319773032E-2</v>
      </c>
    </row>
    <row r="1951" spans="1:14">
      <c r="C1951" s="29">
        <v>5</v>
      </c>
      <c r="D1951" s="34" t="s">
        <v>87</v>
      </c>
      <c r="E1951" s="199">
        <v>3.4395160589647394E-2</v>
      </c>
      <c r="F1951" s="199">
        <v>3.5933293462965567E-2</v>
      </c>
      <c r="G1951" s="199">
        <v>3.5355956143891365E-2</v>
      </c>
      <c r="H1951" s="199">
        <v>3.3438009999481266E-2</v>
      </c>
      <c r="I1951" s="199">
        <v>4.3323104401838043E-2</v>
      </c>
      <c r="J1951" s="199">
        <v>3.4048078845607753E-2</v>
      </c>
      <c r="K1951" s="199">
        <v>3.9097962959962838E-2</v>
      </c>
      <c r="L1951" s="199">
        <v>3.1143677780807035E-2</v>
      </c>
      <c r="M1951" s="199">
        <v>3.4257110098157101E-2</v>
      </c>
      <c r="N1951" s="199">
        <v>3.8521920410841903E-2</v>
      </c>
    </row>
    <row r="1952" spans="1:14">
      <c r="C1952" s="29">
        <v>6</v>
      </c>
      <c r="D1952" s="34" t="s">
        <v>88</v>
      </c>
      <c r="E1952" s="199">
        <v>3.7596422035606945E-2</v>
      </c>
      <c r="F1952" s="199">
        <v>3.8507388282968041E-2</v>
      </c>
      <c r="G1952" s="199">
        <v>3.8511292041366746E-2</v>
      </c>
      <c r="H1952" s="199">
        <v>3.6513468974075557E-2</v>
      </c>
      <c r="I1952" s="199">
        <v>4.1240157838601285E-2</v>
      </c>
      <c r="J1952" s="199">
        <v>3.7072703290823524E-2</v>
      </c>
      <c r="K1952" s="199">
        <v>4.0114430104941749E-2</v>
      </c>
      <c r="L1952" s="199">
        <v>3.9873004617380713E-2</v>
      </c>
      <c r="M1952" s="199">
        <v>4.3855774388647226E-2</v>
      </c>
      <c r="N1952" s="199">
        <v>4.55530609111615E-2</v>
      </c>
    </row>
    <row r="1953" spans="3:14">
      <c r="C1953" s="29">
        <v>7</v>
      </c>
      <c r="D1953" s="34" t="s">
        <v>89</v>
      </c>
      <c r="E1953" s="199">
        <v>4.3400906156550144E-2</v>
      </c>
      <c r="F1953" s="199">
        <v>4.2479486901239399E-2</v>
      </c>
      <c r="G1953" s="199">
        <v>4.2696415447181904E-2</v>
      </c>
      <c r="H1953" s="199">
        <v>4.2317238132100088E-2</v>
      </c>
      <c r="I1953" s="199">
        <v>4.0979125942050602E-2</v>
      </c>
      <c r="J1953" s="199">
        <v>4.3416157388744381E-2</v>
      </c>
      <c r="K1953" s="199">
        <v>4.2609286216690023E-2</v>
      </c>
      <c r="L1953" s="199">
        <v>4.5860824456627633E-2</v>
      </c>
      <c r="M1953" s="199">
        <v>4.791355768032967E-2</v>
      </c>
      <c r="N1953" s="199">
        <v>4.021696800182803E-2</v>
      </c>
    </row>
    <row r="1954" spans="3:14">
      <c r="C1954" s="29">
        <v>8</v>
      </c>
      <c r="D1954" s="34" t="s">
        <v>90</v>
      </c>
      <c r="E1954" s="199">
        <v>4.6696381563696258E-2</v>
      </c>
      <c r="F1954" s="199">
        <v>4.5652921320025443E-2</v>
      </c>
      <c r="G1954" s="199">
        <v>4.6577785011437611E-2</v>
      </c>
      <c r="H1954" s="199">
        <v>4.7561490336805248E-2</v>
      </c>
      <c r="I1954" s="199">
        <v>4.4466730491316324E-2</v>
      </c>
      <c r="J1954" s="199">
        <v>4.3858143821077847E-2</v>
      </c>
      <c r="K1954" s="199">
        <v>4.5233764708485724E-2</v>
      </c>
      <c r="L1954" s="199">
        <v>5.0802492494267652E-2</v>
      </c>
      <c r="M1954" s="199">
        <v>5.3868908399411199E-2</v>
      </c>
      <c r="N1954" s="199">
        <v>4.947394786588518E-2</v>
      </c>
    </row>
    <row r="1955" spans="3:14">
      <c r="C1955" s="29">
        <v>9</v>
      </c>
      <c r="D1955" s="34" t="s">
        <v>91</v>
      </c>
      <c r="E1955" s="199">
        <v>4.549256081257759E-2</v>
      </c>
      <c r="F1955" s="199">
        <v>4.7461551305953767E-2</v>
      </c>
      <c r="G1955" s="199">
        <v>4.7946300726992026E-2</v>
      </c>
      <c r="H1955" s="199">
        <v>4.9023017782619221E-2</v>
      </c>
      <c r="I1955" s="199">
        <v>4.5916587492552771E-2</v>
      </c>
      <c r="J1955" s="199">
        <v>4.192283380088626E-2</v>
      </c>
      <c r="K1955" s="199">
        <v>4.6030949924063883E-2</v>
      </c>
      <c r="L1955" s="199">
        <v>5.2709975123999386E-2</v>
      </c>
      <c r="M1955" s="199">
        <v>5.3842611777327506E-2</v>
      </c>
      <c r="N1955" s="199">
        <v>4.7507176911250323E-2</v>
      </c>
    </row>
    <row r="1956" spans="3:14">
      <c r="C1956" s="29">
        <v>10</v>
      </c>
      <c r="D1956" s="34" t="s">
        <v>92</v>
      </c>
      <c r="E1956" s="199">
        <v>4.3255328907890189E-2</v>
      </c>
      <c r="F1956" s="199">
        <v>4.8788265187005353E-2</v>
      </c>
      <c r="G1956" s="199">
        <v>4.918798805066163E-2</v>
      </c>
      <c r="H1956" s="199">
        <v>5.0636450534400745E-2</v>
      </c>
      <c r="I1956" s="199">
        <v>4.8697995347838259E-2</v>
      </c>
      <c r="J1956" s="199">
        <v>4.0799761802973608E-2</v>
      </c>
      <c r="K1956" s="199">
        <v>4.7263314030483373E-2</v>
      </c>
      <c r="L1956" s="199">
        <v>5.5226262379827688E-2</v>
      </c>
      <c r="M1956" s="199">
        <v>5.3105591345090478E-2</v>
      </c>
      <c r="N1956" s="199">
        <v>4.5388546502063108E-2</v>
      </c>
    </row>
    <row r="1957" spans="3:14">
      <c r="C1957" s="29">
        <v>11</v>
      </c>
      <c r="D1957" s="34" t="s">
        <v>93</v>
      </c>
      <c r="E1957" s="199">
        <v>4.1323174528053189E-2</v>
      </c>
      <c r="F1957" s="199">
        <v>4.862146289011355E-2</v>
      </c>
      <c r="G1957" s="199">
        <v>4.8535652387286521E-2</v>
      </c>
      <c r="H1957" s="199">
        <v>4.846632723229307E-2</v>
      </c>
      <c r="I1957" s="199">
        <v>4.7731221780950392E-2</v>
      </c>
      <c r="J1957" s="199">
        <v>4.2497743227675223E-2</v>
      </c>
      <c r="K1957" s="199">
        <v>4.667414435840863E-2</v>
      </c>
      <c r="L1957" s="199">
        <v>5.3496980601995897E-2</v>
      </c>
      <c r="M1957" s="199">
        <v>5.0952843403694922E-2</v>
      </c>
      <c r="N1957" s="199">
        <v>5.3163225275143777E-2</v>
      </c>
    </row>
    <row r="1958" spans="3:14">
      <c r="C1958" s="29">
        <v>12</v>
      </c>
      <c r="D1958" s="34" t="s">
        <v>94</v>
      </c>
      <c r="E1958" s="199">
        <v>4.0483311647554247E-2</v>
      </c>
      <c r="F1958" s="199">
        <v>4.8093133045126107E-2</v>
      </c>
      <c r="G1958" s="199">
        <v>4.7902458736214702E-2</v>
      </c>
      <c r="H1958" s="199">
        <v>5.059255815850644E-2</v>
      </c>
      <c r="I1958" s="199">
        <v>4.6385716868515142E-2</v>
      </c>
      <c r="J1958" s="199">
        <v>4.0724021565374371E-2</v>
      </c>
      <c r="K1958" s="199">
        <v>4.6609257385520131E-2</v>
      </c>
      <c r="L1958" s="199">
        <v>5.3370323005840936E-2</v>
      </c>
      <c r="M1958" s="199">
        <v>5.0476405812649824E-2</v>
      </c>
      <c r="N1958" s="199">
        <v>5.2331579866015068E-2</v>
      </c>
    </row>
    <row r="1959" spans="3:14">
      <c r="C1959" s="29">
        <v>13</v>
      </c>
      <c r="D1959" s="34" t="s">
        <v>95</v>
      </c>
      <c r="E1959" s="199">
        <v>4.0070382280737095E-2</v>
      </c>
      <c r="F1959" s="199">
        <v>4.6349115748210032E-2</v>
      </c>
      <c r="G1959" s="199">
        <v>4.6853899746649684E-2</v>
      </c>
      <c r="H1959" s="199">
        <v>4.8518477138500826E-2</v>
      </c>
      <c r="I1959" s="199">
        <v>4.4063579543593079E-2</v>
      </c>
      <c r="J1959" s="199">
        <v>4.1015563312608583E-2</v>
      </c>
      <c r="K1959" s="199">
        <v>4.4457529244860128E-2</v>
      </c>
      <c r="L1959" s="199">
        <v>5.1594922280450671E-2</v>
      </c>
      <c r="M1959" s="199">
        <v>5.1327907913837324E-2</v>
      </c>
      <c r="N1959" s="199">
        <v>5.0590449138663202E-2</v>
      </c>
    </row>
    <row r="1960" spans="3:14">
      <c r="C1960" s="29">
        <v>14</v>
      </c>
      <c r="D1960" s="34" t="s">
        <v>96</v>
      </c>
      <c r="E1960" s="199">
        <v>3.9747451127893421E-2</v>
      </c>
      <c r="F1960" s="199">
        <v>4.5906644318341849E-2</v>
      </c>
      <c r="G1960" s="199">
        <v>4.6450397682841829E-2</v>
      </c>
      <c r="H1960" s="199">
        <v>4.9856418727945731E-2</v>
      </c>
      <c r="I1960" s="199">
        <v>3.8988245829253282E-2</v>
      </c>
      <c r="J1960" s="199">
        <v>3.9245602129633433E-2</v>
      </c>
      <c r="K1960" s="199">
        <v>4.5045840044467364E-2</v>
      </c>
      <c r="L1960" s="199">
        <v>5.2043376959770196E-2</v>
      </c>
      <c r="M1960" s="199">
        <v>5.1787741293355255E-2</v>
      </c>
      <c r="N1960" s="199">
        <v>5.2852343184220558E-2</v>
      </c>
    </row>
    <row r="1961" spans="3:14">
      <c r="C1961" s="29">
        <v>15</v>
      </c>
      <c r="D1961" s="34" t="s">
        <v>97</v>
      </c>
      <c r="E1961" s="199">
        <v>4.0192225978760258E-2</v>
      </c>
      <c r="F1961" s="199">
        <v>4.4996766914119454E-2</v>
      </c>
      <c r="G1961" s="199">
        <v>4.5858659551197195E-2</v>
      </c>
      <c r="H1961" s="199">
        <v>4.5676944576343248E-2</v>
      </c>
      <c r="I1961" s="199">
        <v>3.8270521869649674E-2</v>
      </c>
      <c r="J1961" s="199">
        <v>3.9158784550628385E-2</v>
      </c>
      <c r="K1961" s="199">
        <v>4.4423022780430199E-2</v>
      </c>
      <c r="L1961" s="199">
        <v>5.1102764936310309E-2</v>
      </c>
      <c r="M1961" s="199">
        <v>5.2454452026063345E-2</v>
      </c>
      <c r="N1961" s="199">
        <v>4.7537023502160769E-2</v>
      </c>
    </row>
    <row r="1962" spans="3:14">
      <c r="C1962" s="29">
        <v>16</v>
      </c>
      <c r="D1962" s="34" t="s">
        <v>98</v>
      </c>
      <c r="E1962" s="199">
        <v>4.2077962892344077E-2</v>
      </c>
      <c r="F1962" s="199">
        <v>4.4534508942629621E-2</v>
      </c>
      <c r="G1962" s="199">
        <v>4.5271832526383636E-2</v>
      </c>
      <c r="H1962" s="199">
        <v>4.1471977378135474E-2</v>
      </c>
      <c r="I1962" s="199">
        <v>4.0289613448314769E-2</v>
      </c>
      <c r="J1962" s="199">
        <v>4.1703618776096747E-2</v>
      </c>
      <c r="K1962" s="199">
        <v>4.4664365943800313E-2</v>
      </c>
      <c r="L1962" s="199">
        <v>4.8449513898772674E-2</v>
      </c>
      <c r="M1962" s="199">
        <v>4.665934386511722E-2</v>
      </c>
      <c r="N1962" s="199">
        <v>4.4422710820201029E-2</v>
      </c>
    </row>
    <row r="1963" spans="3:14">
      <c r="C1963" s="29">
        <v>17</v>
      </c>
      <c r="D1963" s="34" t="s">
        <v>99</v>
      </c>
      <c r="E1963" s="199">
        <v>4.7156276566812379E-2</v>
      </c>
      <c r="F1963" s="199">
        <v>4.8638436124047391E-2</v>
      </c>
      <c r="G1963" s="199">
        <v>4.5576886366810149E-2</v>
      </c>
      <c r="H1963" s="199">
        <v>4.0285608576658909E-2</v>
      </c>
      <c r="I1963" s="199">
        <v>4.0835035121758248E-2</v>
      </c>
      <c r="J1963" s="199">
        <v>4.7232253030112088E-2</v>
      </c>
      <c r="K1963" s="199">
        <v>4.7751069388845546E-2</v>
      </c>
      <c r="L1963" s="199">
        <v>4.6732091631112284E-2</v>
      </c>
      <c r="M1963" s="199">
        <v>3.7426607796130149E-2</v>
      </c>
      <c r="N1963" s="199">
        <v>4.2250356547375016E-2</v>
      </c>
    </row>
    <row r="1964" spans="3:14">
      <c r="C1964" s="29">
        <v>18</v>
      </c>
      <c r="D1964" s="34" t="s">
        <v>100</v>
      </c>
      <c r="E1964" s="199">
        <v>5.0926410695886069E-2</v>
      </c>
      <c r="F1964" s="199">
        <v>4.2494335562562539E-2</v>
      </c>
      <c r="G1964" s="199">
        <v>4.4002047642659928E-2</v>
      </c>
      <c r="H1964" s="199">
        <v>4.0303398289616078E-2</v>
      </c>
      <c r="I1964" s="199">
        <v>4.2942401287170875E-2</v>
      </c>
      <c r="J1964" s="199">
        <v>5.2042686757062334E-2</v>
      </c>
      <c r="K1964" s="199">
        <v>4.327455872564074E-2</v>
      </c>
      <c r="L1964" s="199">
        <v>4.4036567973639348E-2</v>
      </c>
      <c r="M1964" s="199">
        <v>3.6276468225418128E-2</v>
      </c>
      <c r="N1964" s="199">
        <v>3.5627756183437623E-2</v>
      </c>
    </row>
    <row r="1965" spans="3:14">
      <c r="C1965" s="29">
        <v>19</v>
      </c>
      <c r="D1965" s="34" t="s">
        <v>101</v>
      </c>
      <c r="E1965" s="199">
        <v>5.0968388722216929E-2</v>
      </c>
      <c r="F1965" s="199">
        <v>3.9568997526717317E-2</v>
      </c>
      <c r="G1965" s="199">
        <v>4.281862162087275E-2</v>
      </c>
      <c r="H1965" s="199">
        <v>4.0269093516032022E-2</v>
      </c>
      <c r="I1965" s="199">
        <v>4.2731573665901003E-2</v>
      </c>
      <c r="J1965" s="199">
        <v>5.3474439511781824E-2</v>
      </c>
      <c r="K1965" s="199">
        <v>3.867795748271418E-2</v>
      </c>
      <c r="L1965" s="199">
        <v>4.2194127730253113E-2</v>
      </c>
      <c r="M1965" s="199">
        <v>3.6149354644348909E-2</v>
      </c>
      <c r="N1965" s="199">
        <v>3.1442786592338304E-2</v>
      </c>
    </row>
    <row r="1966" spans="3:14">
      <c r="C1966" s="29">
        <v>20</v>
      </c>
      <c r="D1966" s="34" t="s">
        <v>102</v>
      </c>
      <c r="E1966" s="199">
        <v>5.0107815829898733E-2</v>
      </c>
      <c r="F1966" s="199">
        <v>4.027343342887528E-2</v>
      </c>
      <c r="G1966" s="199">
        <v>4.194592044906257E-2</v>
      </c>
      <c r="H1966" s="199">
        <v>3.9871457408656191E-2</v>
      </c>
      <c r="I1966" s="199">
        <v>4.2526509677442828E-2</v>
      </c>
      <c r="J1966" s="199">
        <v>5.2710934648308498E-2</v>
      </c>
      <c r="K1966" s="199">
        <v>3.7201269420243231E-2</v>
      </c>
      <c r="L1966" s="199">
        <v>4.1347085023010481E-2</v>
      </c>
      <c r="M1966" s="199">
        <v>3.5757368138726674E-2</v>
      </c>
      <c r="N1966" s="199">
        <v>3.2851784456038716E-2</v>
      </c>
    </row>
    <row r="1967" spans="3:14">
      <c r="C1967" s="29">
        <v>21</v>
      </c>
      <c r="D1967" s="34" t="s">
        <v>103</v>
      </c>
      <c r="E1967" s="199">
        <v>4.8438714243510109E-2</v>
      </c>
      <c r="F1967" s="199">
        <v>3.8695564714201547E-2</v>
      </c>
      <c r="G1967" s="199">
        <v>4.0821044617794934E-2</v>
      </c>
      <c r="H1967" s="199">
        <v>4.0042870437243423E-2</v>
      </c>
      <c r="I1967" s="199">
        <v>3.7176645031809182E-2</v>
      </c>
      <c r="J1967" s="199">
        <v>5.1025102072011864E-2</v>
      </c>
      <c r="K1967" s="199">
        <v>3.7155227119730093E-2</v>
      </c>
      <c r="L1967" s="199">
        <v>3.9233725241654471E-2</v>
      </c>
      <c r="M1967" s="199">
        <v>3.5054032805472993E-2</v>
      </c>
      <c r="N1967" s="199">
        <v>3.7009056410773136E-2</v>
      </c>
    </row>
    <row r="1968" spans="3:14">
      <c r="C1968" s="29">
        <v>22</v>
      </c>
      <c r="D1968" s="34" t="s">
        <v>104</v>
      </c>
      <c r="E1968" s="199">
        <v>4.6436185154073877E-2</v>
      </c>
      <c r="F1968" s="199">
        <v>3.6982914046983027E-2</v>
      </c>
      <c r="G1968" s="199">
        <v>3.8594083756653588E-2</v>
      </c>
      <c r="H1968" s="199">
        <v>4.0861252652939432E-2</v>
      </c>
      <c r="I1968" s="199">
        <v>3.7247477045573942E-2</v>
      </c>
      <c r="J1968" s="199">
        <v>4.7679535768470074E-2</v>
      </c>
      <c r="K1968" s="199">
        <v>3.7681648579766802E-2</v>
      </c>
      <c r="L1968" s="199">
        <v>3.4814800249542838E-2</v>
      </c>
      <c r="M1968" s="199">
        <v>3.4501088727821851E-2</v>
      </c>
      <c r="N1968" s="199">
        <v>4.2037132501910775E-2</v>
      </c>
    </row>
    <row r="1969" spans="1:14">
      <c r="C1969" s="29">
        <v>23</v>
      </c>
      <c r="D1969" s="34" t="s">
        <v>105</v>
      </c>
      <c r="E1969" s="199">
        <v>4.1856917623166255E-2</v>
      </c>
      <c r="F1969" s="199">
        <v>3.6845879113592814E-2</v>
      </c>
      <c r="G1969" s="199">
        <v>3.6545505348747995E-2</v>
      </c>
      <c r="H1969" s="199">
        <v>3.9336325108611458E-2</v>
      </c>
      <c r="I1969" s="199">
        <v>3.6235352788930905E-2</v>
      </c>
      <c r="J1969" s="199">
        <v>4.2027065919835134E-2</v>
      </c>
      <c r="K1969" s="199">
        <v>3.7026884628065616E-2</v>
      </c>
      <c r="L1969" s="199">
        <v>3.1287360307883733E-2</v>
      </c>
      <c r="M1969" s="199">
        <v>3.4001929584160623E-2</v>
      </c>
      <c r="N1969" s="199">
        <v>5.0395133047745233E-2</v>
      </c>
    </row>
    <row r="1970" spans="1:14">
      <c r="C1970" s="29">
        <v>24</v>
      </c>
      <c r="D1970" s="34" t="s">
        <v>106</v>
      </c>
      <c r="E1970" s="199">
        <v>3.6465252251766403E-2</v>
      </c>
      <c r="F1970" s="199">
        <v>3.7068550666060511E-2</v>
      </c>
      <c r="G1970" s="199">
        <v>3.5074861219782781E-2</v>
      </c>
      <c r="H1970" s="199">
        <v>3.9367526380869655E-2</v>
      </c>
      <c r="I1970" s="199">
        <v>4.0499227673203228E-2</v>
      </c>
      <c r="J1970" s="199">
        <v>3.8061790992110066E-2</v>
      </c>
      <c r="K1970" s="199">
        <v>3.7654080457623418E-2</v>
      </c>
      <c r="L1970" s="199">
        <v>2.9597318468592055E-2</v>
      </c>
      <c r="M1970" s="199">
        <v>3.4454930608696088E-2</v>
      </c>
      <c r="N1970" s="199">
        <v>4.9295584638604339E-2</v>
      </c>
    </row>
    <row r="1971" spans="1:14">
      <c r="A1971" s="16" t="s">
        <v>441</v>
      </c>
      <c r="B1971" s="16" t="s">
        <v>420</v>
      </c>
      <c r="C1971" s="29">
        <v>1</v>
      </c>
      <c r="D1971" s="34" t="s">
        <v>107</v>
      </c>
      <c r="E1971" s="199">
        <v>3.407241162616037E-2</v>
      </c>
      <c r="F1971" s="199">
        <v>3.5549219879129471E-2</v>
      </c>
      <c r="G1971" s="199">
        <v>3.4819531090179205E-2</v>
      </c>
      <c r="H1971" s="199">
        <v>3.717659138887671E-2</v>
      </c>
      <c r="I1971" s="199">
        <v>3.9559807289538486E-2</v>
      </c>
      <c r="J1971" s="199">
        <v>3.3741918965439419E-2</v>
      </c>
      <c r="K1971" s="199">
        <v>3.834520107740616E-2</v>
      </c>
      <c r="L1971" s="199">
        <v>2.8703569434746841E-2</v>
      </c>
      <c r="M1971" s="199">
        <v>3.4315463918825707E-2</v>
      </c>
      <c r="N1971" s="199">
        <v>3.1897910969107712E-2</v>
      </c>
    </row>
    <row r="1972" spans="1:14">
      <c r="C1972" s="29">
        <v>2</v>
      </c>
      <c r="D1972" s="34" t="s">
        <v>108</v>
      </c>
      <c r="E1972" s="199">
        <v>3.2701056297447545E-2</v>
      </c>
      <c r="F1972" s="199">
        <v>3.6539383552746683E-2</v>
      </c>
      <c r="G1972" s="199">
        <v>3.4768083204098466E-2</v>
      </c>
      <c r="H1972" s="199">
        <v>3.6377125685157531E-2</v>
      </c>
      <c r="I1972" s="199">
        <v>3.7492876965468588E-2</v>
      </c>
      <c r="J1972" s="199">
        <v>3.2604816116963489E-2</v>
      </c>
      <c r="K1972" s="199">
        <v>3.8044701605733353E-2</v>
      </c>
      <c r="L1972" s="199">
        <v>2.772071527096354E-2</v>
      </c>
      <c r="M1972" s="199">
        <v>3.4300569062327015E-2</v>
      </c>
      <c r="N1972" s="199">
        <v>3.6918778826900381E-2</v>
      </c>
    </row>
    <row r="1973" spans="1:14">
      <c r="C1973" s="29">
        <v>3</v>
      </c>
      <c r="D1973" s="34" t="s">
        <v>109</v>
      </c>
      <c r="E1973" s="199">
        <v>3.2484403881860878E-2</v>
      </c>
      <c r="F1973" s="199">
        <v>3.5448248628197149E-2</v>
      </c>
      <c r="G1973" s="199">
        <v>3.4437200103732274E-2</v>
      </c>
      <c r="H1973" s="199">
        <v>3.5658776761090485E-2</v>
      </c>
      <c r="I1973" s="199">
        <v>3.3476508131344195E-2</v>
      </c>
      <c r="J1973" s="199">
        <v>3.2642781448794303E-2</v>
      </c>
      <c r="K1973" s="199">
        <v>3.8503774523413872E-2</v>
      </c>
      <c r="L1973" s="199">
        <v>2.7230175066129441E-2</v>
      </c>
      <c r="M1973" s="199">
        <v>3.3813452088684443E-2</v>
      </c>
      <c r="N1973" s="199">
        <v>4.2374871198333747E-2</v>
      </c>
    </row>
    <row r="1974" spans="1:14">
      <c r="C1974" s="29">
        <v>4</v>
      </c>
      <c r="D1974" s="34" t="s">
        <v>110</v>
      </c>
      <c r="E1974" s="199">
        <v>3.3198858491145705E-2</v>
      </c>
      <c r="F1974" s="199">
        <v>3.6370981633717402E-2</v>
      </c>
      <c r="G1974" s="199">
        <v>3.48661077999948E-2</v>
      </c>
      <c r="H1974" s="199">
        <v>3.5795318907560686E-2</v>
      </c>
      <c r="I1974" s="199">
        <v>3.4506315670198233E-2</v>
      </c>
      <c r="J1974" s="199">
        <v>3.2046939379792298E-2</v>
      </c>
      <c r="K1974" s="199">
        <v>3.8823949757137988E-2</v>
      </c>
      <c r="L1974" s="199">
        <v>2.7819267965359214E-2</v>
      </c>
      <c r="M1974" s="199">
        <v>3.4187557293971819E-2</v>
      </c>
      <c r="N1974" s="199">
        <v>4.0646368038571044E-2</v>
      </c>
    </row>
    <row r="1975" spans="1:14">
      <c r="C1975" s="29">
        <v>5</v>
      </c>
      <c r="D1975" s="34" t="s">
        <v>111</v>
      </c>
      <c r="E1975" s="199">
        <v>3.4613230726790865E-2</v>
      </c>
      <c r="F1975" s="199">
        <v>3.6628762973209689E-2</v>
      </c>
      <c r="G1975" s="199">
        <v>3.6041344816060729E-2</v>
      </c>
      <c r="H1975" s="199">
        <v>3.6696539627328759E-2</v>
      </c>
      <c r="I1975" s="199">
        <v>3.428850047750643E-2</v>
      </c>
      <c r="J1975" s="199">
        <v>3.3056832886546511E-2</v>
      </c>
      <c r="K1975" s="199">
        <v>3.9355026151422466E-2</v>
      </c>
      <c r="L1975" s="199">
        <v>3.1657076569417644E-2</v>
      </c>
      <c r="M1975" s="199">
        <v>3.6954690634618606E-2</v>
      </c>
      <c r="N1975" s="199">
        <v>4.3097516951772628E-2</v>
      </c>
    </row>
    <row r="1976" spans="1:14">
      <c r="C1976" s="29">
        <v>6</v>
      </c>
      <c r="D1976" s="34" t="s">
        <v>112</v>
      </c>
      <c r="E1976" s="199">
        <v>3.630268815765271E-2</v>
      </c>
      <c r="F1976" s="199">
        <v>3.8676917091290758E-2</v>
      </c>
      <c r="G1976" s="199">
        <v>3.9420895531695692E-2</v>
      </c>
      <c r="H1976" s="199">
        <v>3.8587757398169449E-2</v>
      </c>
      <c r="I1976" s="199">
        <v>3.8035100940695891E-2</v>
      </c>
      <c r="J1976" s="199">
        <v>3.7266702104896389E-2</v>
      </c>
      <c r="K1976" s="199">
        <v>4.0198089414140561E-2</v>
      </c>
      <c r="L1976" s="199">
        <v>3.9490898065801326E-2</v>
      </c>
      <c r="M1976" s="199">
        <v>4.3812944560240784E-2</v>
      </c>
      <c r="N1976" s="199">
        <v>5.8472799286428241E-2</v>
      </c>
    </row>
    <row r="1977" spans="1:14">
      <c r="C1977" s="29">
        <v>7</v>
      </c>
      <c r="D1977" s="34" t="s">
        <v>113</v>
      </c>
      <c r="E1977" s="199">
        <v>4.321299917025502E-2</v>
      </c>
      <c r="F1977" s="199">
        <v>4.2488951704053833E-2</v>
      </c>
      <c r="G1977" s="199">
        <v>4.3624019399503312E-2</v>
      </c>
      <c r="H1977" s="199">
        <v>4.5890661176753923E-2</v>
      </c>
      <c r="I1977" s="199">
        <v>4.2539501210673264E-2</v>
      </c>
      <c r="J1977" s="199">
        <v>4.111413176471114E-2</v>
      </c>
      <c r="K1977" s="199">
        <v>4.1395553247323809E-2</v>
      </c>
      <c r="L1977" s="199">
        <v>4.5055784323940182E-2</v>
      </c>
      <c r="M1977" s="199">
        <v>4.7395196952559643E-2</v>
      </c>
      <c r="N1977" s="199">
        <v>6.2509091538402881E-2</v>
      </c>
    </row>
    <row r="1978" spans="1:14">
      <c r="C1978" s="29">
        <v>8</v>
      </c>
      <c r="D1978" s="34" t="s">
        <v>114</v>
      </c>
      <c r="E1978" s="199">
        <v>4.5619540575928146E-2</v>
      </c>
      <c r="F1978" s="199">
        <v>4.5952963450876981E-2</v>
      </c>
      <c r="G1978" s="199">
        <v>4.7364193687560396E-2</v>
      </c>
      <c r="H1978" s="199">
        <v>4.9328789233393754E-2</v>
      </c>
      <c r="I1978" s="199">
        <v>4.155985536115743E-2</v>
      </c>
      <c r="J1978" s="199">
        <v>4.3986178737607053E-2</v>
      </c>
      <c r="K1978" s="199">
        <v>4.3523580808684646E-2</v>
      </c>
      <c r="L1978" s="199">
        <v>5.0554118355760069E-2</v>
      </c>
      <c r="M1978" s="199">
        <v>5.2781224347747138E-2</v>
      </c>
      <c r="N1978" s="199">
        <v>4.732277288296366E-2</v>
      </c>
    </row>
    <row r="1979" spans="1:14">
      <c r="C1979" s="29">
        <v>9</v>
      </c>
      <c r="D1979" s="34" t="s">
        <v>115</v>
      </c>
      <c r="E1979" s="199">
        <v>4.3773477647391174E-2</v>
      </c>
      <c r="F1979" s="199">
        <v>4.7863774765538034E-2</v>
      </c>
      <c r="G1979" s="199">
        <v>4.8469994527815759E-2</v>
      </c>
      <c r="H1979" s="199">
        <v>4.9012885919063207E-2</v>
      </c>
      <c r="I1979" s="199">
        <v>4.2748508249582463E-2</v>
      </c>
      <c r="J1979" s="199">
        <v>4.3882494377573474E-2</v>
      </c>
      <c r="K1979" s="199">
        <v>4.4643018318066795E-2</v>
      </c>
      <c r="L1979" s="199">
        <v>5.2969679884520345E-2</v>
      </c>
      <c r="M1979" s="199">
        <v>5.2475761576377046E-2</v>
      </c>
      <c r="N1979" s="199">
        <v>4.2406443100183031E-2</v>
      </c>
    </row>
    <row r="1980" spans="1:14">
      <c r="C1980" s="29">
        <v>10</v>
      </c>
      <c r="D1980" s="34" t="s">
        <v>116</v>
      </c>
      <c r="E1980" s="199">
        <v>4.4745634424245576E-2</v>
      </c>
      <c r="F1980" s="199">
        <v>4.7553719513165484E-2</v>
      </c>
      <c r="G1980" s="199">
        <v>4.7890355858021795E-2</v>
      </c>
      <c r="H1980" s="199">
        <v>4.8296345500247431E-2</v>
      </c>
      <c r="I1980" s="199">
        <v>4.9298639558254656E-2</v>
      </c>
      <c r="J1980" s="199">
        <v>4.3005249231427435E-2</v>
      </c>
      <c r="K1980" s="199">
        <v>4.383456950862212E-2</v>
      </c>
      <c r="L1980" s="199">
        <v>5.3127337467751695E-2</v>
      </c>
      <c r="M1980" s="199">
        <v>5.0038994576696048E-2</v>
      </c>
      <c r="N1980" s="199">
        <v>4.3402478137042635E-2</v>
      </c>
    </row>
    <row r="1981" spans="1:14">
      <c r="C1981" s="29">
        <v>11</v>
      </c>
      <c r="D1981" s="34" t="s">
        <v>117</v>
      </c>
      <c r="E1981" s="199">
        <v>4.3390456997313552E-2</v>
      </c>
      <c r="F1981" s="199">
        <v>4.8272063499837613E-2</v>
      </c>
      <c r="G1981" s="199">
        <v>4.9208866815573148E-2</v>
      </c>
      <c r="H1981" s="199">
        <v>4.7012253580521239E-2</v>
      </c>
      <c r="I1981" s="199">
        <v>5.3016128326738902E-2</v>
      </c>
      <c r="J1981" s="199">
        <v>4.2067140973940327E-2</v>
      </c>
      <c r="K1981" s="199">
        <v>4.5209775006561259E-2</v>
      </c>
      <c r="L1981" s="199">
        <v>5.377973881008994E-2</v>
      </c>
      <c r="M1981" s="199">
        <v>5.0604762697352902E-2</v>
      </c>
      <c r="N1981" s="199">
        <v>3.6169238490404709E-2</v>
      </c>
    </row>
    <row r="1982" spans="1:14">
      <c r="C1982" s="29">
        <v>12</v>
      </c>
      <c r="D1982" s="34" t="s">
        <v>118</v>
      </c>
      <c r="E1982" s="199">
        <v>4.3360379977208173E-2</v>
      </c>
      <c r="F1982" s="199">
        <v>4.7101393473163354E-2</v>
      </c>
      <c r="G1982" s="199">
        <v>4.7870670796096783E-2</v>
      </c>
      <c r="H1982" s="199">
        <v>4.8231505267856634E-2</v>
      </c>
      <c r="I1982" s="199">
        <v>5.2484503994199148E-2</v>
      </c>
      <c r="J1982" s="199">
        <v>4.1264503486861913E-2</v>
      </c>
      <c r="K1982" s="199">
        <v>4.5606081735754783E-2</v>
      </c>
      <c r="L1982" s="199">
        <v>5.3252265642859037E-2</v>
      </c>
      <c r="M1982" s="199">
        <v>4.9140022999549837E-2</v>
      </c>
      <c r="N1982" s="199">
        <v>3.5753892581632078E-2</v>
      </c>
    </row>
    <row r="1983" spans="1:14">
      <c r="C1983" s="29">
        <v>13</v>
      </c>
      <c r="D1983" s="34" t="s">
        <v>119</v>
      </c>
      <c r="E1983" s="199">
        <v>4.2833218969728991E-2</v>
      </c>
      <c r="F1983" s="199">
        <v>4.6404602136107566E-2</v>
      </c>
      <c r="G1983" s="199">
        <v>4.7245444678505097E-2</v>
      </c>
      <c r="H1983" s="199">
        <v>4.678523298015707E-2</v>
      </c>
      <c r="I1983" s="199">
        <v>4.9929243652792124E-2</v>
      </c>
      <c r="J1983" s="199">
        <v>4.1343055659626468E-2</v>
      </c>
      <c r="K1983" s="199">
        <v>4.3844534275473565E-2</v>
      </c>
      <c r="L1983" s="199">
        <v>5.2210112206227448E-2</v>
      </c>
      <c r="M1983" s="199">
        <v>4.9579618288172755E-2</v>
      </c>
      <c r="N1983" s="199">
        <v>4.4978500704170338E-2</v>
      </c>
    </row>
    <row r="1984" spans="1:14">
      <c r="C1984" s="29">
        <v>14</v>
      </c>
      <c r="D1984" s="34" t="s">
        <v>120</v>
      </c>
      <c r="E1984" s="199">
        <v>4.2174592120524823E-2</v>
      </c>
      <c r="F1984" s="199">
        <v>4.6797209861551135E-2</v>
      </c>
      <c r="G1984" s="199">
        <v>4.6995167649138476E-2</v>
      </c>
      <c r="H1984" s="199">
        <v>5.0333892622447494E-2</v>
      </c>
      <c r="I1984" s="199">
        <v>4.781692894313052E-2</v>
      </c>
      <c r="J1984" s="199">
        <v>4.1038872403380541E-2</v>
      </c>
      <c r="K1984" s="199">
        <v>4.5870833240777169E-2</v>
      </c>
      <c r="L1984" s="199">
        <v>5.2991693873948968E-2</v>
      </c>
      <c r="M1984" s="199">
        <v>5.067655748185191E-2</v>
      </c>
      <c r="N1984" s="199">
        <v>4.5942496107301431E-2</v>
      </c>
    </row>
    <row r="1985" spans="1:14">
      <c r="C1985" s="29">
        <v>15</v>
      </c>
      <c r="D1985" s="34" t="s">
        <v>121</v>
      </c>
      <c r="E1985" s="199">
        <v>4.0983516317616042E-2</v>
      </c>
      <c r="F1985" s="199">
        <v>4.4990829871841886E-2</v>
      </c>
      <c r="G1985" s="199">
        <v>4.6648368700358343E-2</v>
      </c>
      <c r="H1985" s="199">
        <v>4.7576134879598213E-2</v>
      </c>
      <c r="I1985" s="199">
        <v>4.6051864499542336E-2</v>
      </c>
      <c r="J1985" s="199">
        <v>4.2155297180053931E-2</v>
      </c>
      <c r="K1985" s="199">
        <v>4.6271081889624997E-2</v>
      </c>
      <c r="L1985" s="199">
        <v>5.2585443436584944E-2</v>
      </c>
      <c r="M1985" s="199">
        <v>5.3722673848982223E-2</v>
      </c>
      <c r="N1985" s="199">
        <v>5.4309751695177259E-2</v>
      </c>
    </row>
    <row r="1986" spans="1:14">
      <c r="C1986" s="29">
        <v>16</v>
      </c>
      <c r="D1986" s="34" t="s">
        <v>122</v>
      </c>
      <c r="E1986" s="199">
        <v>4.2270357021435064E-2</v>
      </c>
      <c r="F1986" s="199">
        <v>4.524456863327099E-2</v>
      </c>
      <c r="G1986" s="199">
        <v>4.4001447903925031E-2</v>
      </c>
      <c r="H1986" s="199">
        <v>4.154961027775661E-2</v>
      </c>
      <c r="I1986" s="199">
        <v>4.6072168040464941E-2</v>
      </c>
      <c r="J1986" s="199">
        <v>4.4823679845745902E-2</v>
      </c>
      <c r="K1986" s="199">
        <v>4.5575206184814414E-2</v>
      </c>
      <c r="L1986" s="199">
        <v>4.8743759301275003E-2</v>
      </c>
      <c r="M1986" s="199">
        <v>4.5222596931628029E-2</v>
      </c>
      <c r="N1986" s="199">
        <v>4.5421208927879007E-2</v>
      </c>
    </row>
    <row r="1987" spans="1:14">
      <c r="C1987" s="29">
        <v>17</v>
      </c>
      <c r="D1987" s="34" t="s">
        <v>123</v>
      </c>
      <c r="E1987" s="199">
        <v>4.5840504664058652E-2</v>
      </c>
      <c r="F1987" s="199">
        <v>4.8668667203020856E-2</v>
      </c>
      <c r="G1987" s="199">
        <v>4.4358083122515657E-2</v>
      </c>
      <c r="H1987" s="199">
        <v>4.0084880598227984E-2</v>
      </c>
      <c r="I1987" s="199">
        <v>4.6146365539277714E-2</v>
      </c>
      <c r="J1987" s="199">
        <v>4.9748245945809219E-2</v>
      </c>
      <c r="K1987" s="199">
        <v>4.8821503905960212E-2</v>
      </c>
      <c r="L1987" s="199">
        <v>4.6578940999786954E-2</v>
      </c>
      <c r="M1987" s="199">
        <v>3.7228945135229521E-2</v>
      </c>
      <c r="N1987" s="199">
        <v>4.4013102105401505E-2</v>
      </c>
    </row>
    <row r="1988" spans="1:14">
      <c r="C1988" s="29">
        <v>18</v>
      </c>
      <c r="D1988" s="34" t="s">
        <v>124</v>
      </c>
      <c r="E1988" s="199">
        <v>4.9055047661413331E-2</v>
      </c>
      <c r="F1988" s="199">
        <v>4.3421762029529826E-2</v>
      </c>
      <c r="G1988" s="199">
        <v>4.3000458748346758E-2</v>
      </c>
      <c r="H1988" s="199">
        <v>4.0123816652461022E-2</v>
      </c>
      <c r="I1988" s="199">
        <v>4.1798123385513926E-2</v>
      </c>
      <c r="J1988" s="199">
        <v>5.2232113570791168E-2</v>
      </c>
      <c r="K1988" s="199">
        <v>4.3812508293046094E-2</v>
      </c>
      <c r="L1988" s="199">
        <v>4.3257805101258519E-2</v>
      </c>
      <c r="M1988" s="199">
        <v>3.6003941699167402E-2</v>
      </c>
      <c r="N1988" s="199">
        <v>4.3436154832348521E-2</v>
      </c>
    </row>
    <row r="1989" spans="1:14">
      <c r="C1989" s="29">
        <v>19</v>
      </c>
      <c r="D1989" s="34" t="s">
        <v>125</v>
      </c>
      <c r="E1989" s="199">
        <v>4.9285857262681788E-2</v>
      </c>
      <c r="F1989" s="199">
        <v>3.957123554956006E-2</v>
      </c>
      <c r="G1989" s="199">
        <v>4.1714393080520419E-2</v>
      </c>
      <c r="H1989" s="199">
        <v>4.0070678512872507E-2</v>
      </c>
      <c r="I1989" s="199">
        <v>4.5987221608222564E-2</v>
      </c>
      <c r="J1989" s="199">
        <v>5.2115164864698485E-2</v>
      </c>
      <c r="K1989" s="199">
        <v>4.0137962450829838E-2</v>
      </c>
      <c r="L1989" s="199">
        <v>4.1446170401690678E-2</v>
      </c>
      <c r="M1989" s="199">
        <v>3.555622910779651E-2</v>
      </c>
      <c r="N1989" s="199">
        <v>4.0433783899452611E-2</v>
      </c>
    </row>
    <row r="1990" spans="1:14">
      <c r="C1990" s="29">
        <v>20</v>
      </c>
      <c r="D1990" s="34" t="s">
        <v>126</v>
      </c>
      <c r="E1990" s="199">
        <v>4.8320407802517548E-2</v>
      </c>
      <c r="F1990" s="199">
        <v>3.9426564845270504E-2</v>
      </c>
      <c r="G1990" s="199">
        <v>4.0167706960204004E-2</v>
      </c>
      <c r="H1990" s="199">
        <v>3.8635789169989693E-2</v>
      </c>
      <c r="I1990" s="199">
        <v>4.152895217754729E-2</v>
      </c>
      <c r="J1990" s="199">
        <v>5.0691464921042803E-2</v>
      </c>
      <c r="K1990" s="199">
        <v>3.8253707937962039E-2</v>
      </c>
      <c r="L1990" s="199">
        <v>3.9706494233792647E-2</v>
      </c>
      <c r="M1990" s="199">
        <v>3.5433287435108859E-2</v>
      </c>
      <c r="N1990" s="199">
        <v>3.8320103537128787E-2</v>
      </c>
    </row>
    <row r="1991" spans="1:14">
      <c r="C1991" s="29">
        <v>21</v>
      </c>
      <c r="D1991" s="34" t="s">
        <v>127</v>
      </c>
      <c r="E1991" s="199">
        <v>4.6956400089692527E-2</v>
      </c>
      <c r="F1991" s="199">
        <v>3.8539609238113372E-2</v>
      </c>
      <c r="G1991" s="199">
        <v>3.9577455637750079E-2</v>
      </c>
      <c r="H1991" s="199">
        <v>3.777068536391593E-2</v>
      </c>
      <c r="I1991" s="199">
        <v>3.8934726952457914E-2</v>
      </c>
      <c r="J1991" s="199">
        <v>4.7386971846521041E-2</v>
      </c>
      <c r="K1991" s="199">
        <v>3.8809417100558387E-2</v>
      </c>
      <c r="L1991" s="199">
        <v>3.8435368579301681E-2</v>
      </c>
      <c r="M1991" s="199">
        <v>3.4724166171747617E-2</v>
      </c>
      <c r="N1991" s="199">
        <v>3.7686092974807489E-2</v>
      </c>
    </row>
    <row r="1992" spans="1:14">
      <c r="C1992" s="29">
        <v>22</v>
      </c>
      <c r="D1992" s="34" t="s">
        <v>128</v>
      </c>
      <c r="E1992" s="199">
        <v>4.4951535656346291E-2</v>
      </c>
      <c r="F1992" s="199">
        <v>3.7372434235701212E-2</v>
      </c>
      <c r="G1992" s="199">
        <v>3.7862726458589686E-2</v>
      </c>
      <c r="H1992" s="199">
        <v>3.7822919250878814E-2</v>
      </c>
      <c r="I1992" s="199">
        <v>3.2277554181715788E-2</v>
      </c>
      <c r="J1992" s="199">
        <v>4.4595814354505769E-2</v>
      </c>
      <c r="K1992" s="199">
        <v>3.7457795448104653E-2</v>
      </c>
      <c r="L1992" s="199">
        <v>3.4668352202837378E-2</v>
      </c>
      <c r="M1992" s="199">
        <v>3.4394272683369073E-2</v>
      </c>
      <c r="N1992" s="199">
        <v>3.2714336964335913E-2</v>
      </c>
    </row>
    <row r="1993" spans="1:14">
      <c r="C1993" s="29">
        <v>23</v>
      </c>
      <c r="D1993" s="34" t="s">
        <v>129</v>
      </c>
      <c r="E1993" s="199">
        <v>4.2361790773019783E-2</v>
      </c>
      <c r="F1993" s="199">
        <v>3.5340112577527498E-2</v>
      </c>
      <c r="G1993" s="199">
        <v>3.565600221549612E-2</v>
      </c>
      <c r="H1993" s="199">
        <v>3.5991701301315265E-2</v>
      </c>
      <c r="I1993" s="199">
        <v>3.0064617511893613E-2</v>
      </c>
      <c r="J1993" s="199">
        <v>4.024764705592964E-2</v>
      </c>
      <c r="K1993" s="199">
        <v>3.6676043416404576E-2</v>
      </c>
      <c r="L1993" s="199">
        <v>3.0004496588171815E-2</v>
      </c>
      <c r="M1993" s="199">
        <v>3.3834178793759349E-2</v>
      </c>
      <c r="N1993" s="199">
        <v>2.724584969810246E-2</v>
      </c>
    </row>
    <row r="1994" spans="1:14">
      <c r="C1994" s="29">
        <v>24</v>
      </c>
      <c r="D1994" s="34" t="s">
        <v>130</v>
      </c>
      <c r="E1994" s="199">
        <v>3.7491633687565515E-2</v>
      </c>
      <c r="F1994" s="199">
        <v>3.5776023653578591E-2</v>
      </c>
      <c r="G1994" s="199">
        <v>3.399148121431813E-2</v>
      </c>
      <c r="H1994" s="199">
        <v>3.5190107944359304E-2</v>
      </c>
      <c r="I1994" s="199">
        <v>3.4385987332083368E-2</v>
      </c>
      <c r="J1994" s="199">
        <v>3.6941982877341351E-2</v>
      </c>
      <c r="K1994" s="199">
        <v>3.6986084702176208E-2</v>
      </c>
      <c r="L1994" s="199">
        <v>2.8010736217784743E-2</v>
      </c>
      <c r="M1994" s="199">
        <v>3.3802891714235637E-2</v>
      </c>
      <c r="N1994" s="199">
        <v>2.4526456552151871E-2</v>
      </c>
    </row>
    <row r="1995" spans="1:14">
      <c r="A1995" s="16" t="s">
        <v>441</v>
      </c>
      <c r="B1995" s="16" t="s">
        <v>424</v>
      </c>
      <c r="C1995" s="29">
        <v>1</v>
      </c>
      <c r="D1995" s="34" t="s">
        <v>131</v>
      </c>
      <c r="E1995" s="199">
        <v>3.4301608328688497E-2</v>
      </c>
      <c r="F1995" s="199">
        <v>4.1845092070812447E-2</v>
      </c>
      <c r="G1995" s="199">
        <v>3.8900780712509742E-2</v>
      </c>
      <c r="H1995" s="199">
        <v>4.3047910104662024E-2</v>
      </c>
      <c r="I1995" s="199">
        <v>3.8670587982506617E-2</v>
      </c>
      <c r="J1995" s="199">
        <v>3.4093599407045733E-2</v>
      </c>
      <c r="K1995" s="199">
        <v>4.011305544473228E-2</v>
      </c>
      <c r="L1995" s="199">
        <v>3.4713283285725621E-2</v>
      </c>
      <c r="M1995" s="199">
        <v>3.8257225991861661E-2</v>
      </c>
      <c r="N1995" s="199">
        <v>2.5560739703687132E-2</v>
      </c>
    </row>
    <row r="1996" spans="1:14">
      <c r="C1996" s="29">
        <v>2</v>
      </c>
      <c r="D1996" s="34" t="s">
        <v>132</v>
      </c>
      <c r="E1996" s="199">
        <v>3.285143754023713E-2</v>
      </c>
      <c r="F1996" s="199">
        <v>4.1503223807241259E-2</v>
      </c>
      <c r="G1996" s="199">
        <v>3.7969007862093111E-2</v>
      </c>
      <c r="H1996" s="199">
        <v>4.1795565177598963E-2</v>
      </c>
      <c r="I1996" s="199">
        <v>3.7192377402640725E-2</v>
      </c>
      <c r="J1996" s="199">
        <v>3.2410403784713944E-2</v>
      </c>
      <c r="K1996" s="199">
        <v>4.0054595545413858E-2</v>
      </c>
      <c r="L1996" s="199">
        <v>3.4460753070130613E-2</v>
      </c>
      <c r="M1996" s="199">
        <v>3.8185419150682395E-2</v>
      </c>
      <c r="N1996" s="199">
        <v>2.4786645258117156E-2</v>
      </c>
    </row>
    <row r="1997" spans="1:14">
      <c r="C1997" s="29">
        <v>3</v>
      </c>
      <c r="D1997" s="34" t="s">
        <v>133</v>
      </c>
      <c r="E1997" s="199">
        <v>3.1974033365152164E-2</v>
      </c>
      <c r="F1997" s="199">
        <v>4.1318867117935892E-2</v>
      </c>
      <c r="G1997" s="199">
        <v>3.7583243456654224E-2</v>
      </c>
      <c r="H1997" s="199">
        <v>4.0784135581608816E-2</v>
      </c>
      <c r="I1997" s="199">
        <v>3.9904119832958725E-2</v>
      </c>
      <c r="J1997" s="199">
        <v>3.2227881627513853E-2</v>
      </c>
      <c r="K1997" s="199">
        <v>4.0305218497919536E-2</v>
      </c>
      <c r="L1997" s="199">
        <v>3.4292866452239265E-2</v>
      </c>
      <c r="M1997" s="199">
        <v>3.6956704781421566E-2</v>
      </c>
      <c r="N1997" s="199">
        <v>2.3173444528775049E-2</v>
      </c>
    </row>
    <row r="1998" spans="1:14">
      <c r="C1998" s="29">
        <v>4</v>
      </c>
      <c r="D1998" s="34" t="s">
        <v>134</v>
      </c>
      <c r="E1998" s="199">
        <v>3.2558844637911345E-2</v>
      </c>
      <c r="F1998" s="199">
        <v>4.1185441654080661E-2</v>
      </c>
      <c r="G1998" s="199">
        <v>3.8009786630235416E-2</v>
      </c>
      <c r="H1998" s="199">
        <v>4.051799806786039E-2</v>
      </c>
      <c r="I1998" s="199">
        <v>3.9181886329253145E-2</v>
      </c>
      <c r="J1998" s="199">
        <v>3.1280440444485504E-2</v>
      </c>
      <c r="K1998" s="199">
        <v>4.0424538516372857E-2</v>
      </c>
      <c r="L1998" s="199">
        <v>3.396875454664379E-2</v>
      </c>
      <c r="M1998" s="199">
        <v>3.7052681611981858E-2</v>
      </c>
      <c r="N1998" s="199">
        <v>2.6164997021550673E-2</v>
      </c>
    </row>
    <row r="1999" spans="1:14">
      <c r="C1999" s="29">
        <v>5</v>
      </c>
      <c r="D1999" s="34" t="s">
        <v>135</v>
      </c>
      <c r="E1999" s="199">
        <v>3.3232565487927176E-2</v>
      </c>
      <c r="F1999" s="199">
        <v>4.1319198198491371E-2</v>
      </c>
      <c r="G1999" s="199">
        <v>3.8663653582424157E-2</v>
      </c>
      <c r="H1999" s="199">
        <v>4.1577062130866344E-2</v>
      </c>
      <c r="I1999" s="199">
        <v>4.1929036813178333E-2</v>
      </c>
      <c r="J1999" s="199">
        <v>3.1902750130034303E-2</v>
      </c>
      <c r="K1999" s="199">
        <v>4.1133148866742575E-2</v>
      </c>
      <c r="L1999" s="199">
        <v>3.6462102222093867E-2</v>
      </c>
      <c r="M1999" s="199">
        <v>3.9751458680831873E-2</v>
      </c>
      <c r="N1999" s="199">
        <v>3.6616027988352298E-2</v>
      </c>
    </row>
    <row r="2000" spans="1:14">
      <c r="C2000" s="29">
        <v>6</v>
      </c>
      <c r="D2000" s="34" t="s">
        <v>136</v>
      </c>
      <c r="E2000" s="199">
        <v>3.3792125677368355E-2</v>
      </c>
      <c r="F2000" s="199">
        <v>4.2401693664653552E-2</v>
      </c>
      <c r="G2000" s="199">
        <v>4.0796181895408533E-2</v>
      </c>
      <c r="H2000" s="199">
        <v>4.3194292427457794E-2</v>
      </c>
      <c r="I2000" s="199">
        <v>3.9098964904566227E-2</v>
      </c>
      <c r="J2000" s="199">
        <v>3.5347266276590607E-2</v>
      </c>
      <c r="K2000" s="199">
        <v>4.1845959601791174E-2</v>
      </c>
      <c r="L2000" s="199">
        <v>3.8815300803936061E-2</v>
      </c>
      <c r="M2000" s="199">
        <v>4.6088478333054725E-2</v>
      </c>
      <c r="N2000" s="199">
        <v>5.0598864863066931E-2</v>
      </c>
    </row>
    <row r="2001" spans="3:14">
      <c r="C2001" s="29">
        <v>7</v>
      </c>
      <c r="D2001" s="34" t="s">
        <v>137</v>
      </c>
      <c r="E2001" s="199">
        <v>3.7148861799010363E-2</v>
      </c>
      <c r="F2001" s="199">
        <v>4.2958115923193776E-2</v>
      </c>
      <c r="G2001" s="199">
        <v>4.1833540953024696E-2</v>
      </c>
      <c r="H2001" s="199">
        <v>4.2645893935704178E-2</v>
      </c>
      <c r="I2001" s="199">
        <v>3.7008073944121256E-2</v>
      </c>
      <c r="J2001" s="199">
        <v>3.8911857065107983E-2</v>
      </c>
      <c r="K2001" s="199">
        <v>4.1741186370104474E-2</v>
      </c>
      <c r="L2001" s="199">
        <v>4.3082114535301544E-2</v>
      </c>
      <c r="M2001" s="199">
        <v>4.7002543386009857E-2</v>
      </c>
      <c r="N2001" s="199">
        <v>4.9599244854741389E-2</v>
      </c>
    </row>
    <row r="2002" spans="3:14">
      <c r="C2002" s="29">
        <v>8</v>
      </c>
      <c r="D2002" s="34" t="s">
        <v>138</v>
      </c>
      <c r="E2002" s="199">
        <v>4.176866498054476E-2</v>
      </c>
      <c r="F2002" s="199">
        <v>4.1704134524320216E-2</v>
      </c>
      <c r="G2002" s="199">
        <v>4.2885904404367362E-2</v>
      </c>
      <c r="H2002" s="199">
        <v>4.3563258839806371E-2</v>
      </c>
      <c r="I2002" s="199">
        <v>4.2035109657531496E-2</v>
      </c>
      <c r="J2002" s="199">
        <v>4.1382763498973976E-2</v>
      </c>
      <c r="K2002" s="199">
        <v>3.9572078628364565E-2</v>
      </c>
      <c r="L2002" s="199">
        <v>4.5536489619003175E-2</v>
      </c>
      <c r="M2002" s="199">
        <v>4.7898151356164931E-2</v>
      </c>
      <c r="N2002" s="199">
        <v>4.7529701338639117E-2</v>
      </c>
    </row>
    <row r="2003" spans="3:14">
      <c r="C2003" s="29">
        <v>9</v>
      </c>
      <c r="D2003" s="34" t="s">
        <v>139</v>
      </c>
      <c r="E2003" s="199">
        <v>4.546803098822487E-2</v>
      </c>
      <c r="F2003" s="199">
        <v>3.8161351860398894E-2</v>
      </c>
      <c r="G2003" s="199">
        <v>4.2738854132196684E-2</v>
      </c>
      <c r="H2003" s="199">
        <v>4.2613713909531989E-2</v>
      </c>
      <c r="I2003" s="199">
        <v>4.3349898451518064E-2</v>
      </c>
      <c r="J2003" s="199">
        <v>4.4496551553382807E-2</v>
      </c>
      <c r="K2003" s="199">
        <v>3.8496889251475631E-2</v>
      </c>
      <c r="L2003" s="199">
        <v>4.6349600985361082E-2</v>
      </c>
      <c r="M2003" s="199">
        <v>4.792952839692502E-2</v>
      </c>
      <c r="N2003" s="199">
        <v>5.3067802811535225E-2</v>
      </c>
    </row>
    <row r="2004" spans="3:14">
      <c r="C2004" s="29">
        <v>10</v>
      </c>
      <c r="D2004" s="34" t="s">
        <v>140</v>
      </c>
      <c r="E2004" s="199">
        <v>4.6906853698892234E-2</v>
      </c>
      <c r="F2004" s="199">
        <v>3.7661337451497218E-2</v>
      </c>
      <c r="G2004" s="199">
        <v>4.312907657384854E-2</v>
      </c>
      <c r="H2004" s="199">
        <v>4.1416028195322731E-2</v>
      </c>
      <c r="I2004" s="199">
        <v>4.7769549860743471E-2</v>
      </c>
      <c r="J2004" s="199">
        <v>4.581894480320934E-2</v>
      </c>
      <c r="K2004" s="199">
        <v>4.1247613895112542E-2</v>
      </c>
      <c r="L2004" s="199">
        <v>4.6083978414725585E-2</v>
      </c>
      <c r="M2004" s="199">
        <v>4.5616504358596169E-2</v>
      </c>
      <c r="N2004" s="199">
        <v>6.077674531587187E-2</v>
      </c>
    </row>
    <row r="2005" spans="3:14">
      <c r="C2005" s="29">
        <v>11</v>
      </c>
      <c r="D2005" s="34" t="s">
        <v>141</v>
      </c>
      <c r="E2005" s="199">
        <v>4.6839395018300249E-2</v>
      </c>
      <c r="F2005" s="199">
        <v>4.050407787091917E-2</v>
      </c>
      <c r="G2005" s="199">
        <v>4.4445488500174581E-2</v>
      </c>
      <c r="H2005" s="199">
        <v>4.2233039587453412E-2</v>
      </c>
      <c r="I2005" s="199">
        <v>4.9839105199143072E-2</v>
      </c>
      <c r="J2005" s="199">
        <v>4.4848074059994324E-2</v>
      </c>
      <c r="K2005" s="199">
        <v>4.471276760382583E-2</v>
      </c>
      <c r="L2005" s="199">
        <v>4.6984138718434126E-2</v>
      </c>
      <c r="M2005" s="199">
        <v>4.5909093066412276E-2</v>
      </c>
      <c r="N2005" s="199">
        <v>6.2722060784556832E-2</v>
      </c>
    </row>
    <row r="2006" spans="3:14">
      <c r="C2006" s="29">
        <v>12</v>
      </c>
      <c r="D2006" s="34" t="s">
        <v>142</v>
      </c>
      <c r="E2006" s="199">
        <v>4.7294980860418362E-2</v>
      </c>
      <c r="F2006" s="199">
        <v>3.8713939102504896E-2</v>
      </c>
      <c r="G2006" s="199">
        <v>4.2672741022339221E-2</v>
      </c>
      <c r="H2006" s="199">
        <v>4.0411355735805336E-2</v>
      </c>
      <c r="I2006" s="199">
        <v>4.3741051522349604E-2</v>
      </c>
      <c r="J2006" s="199">
        <v>4.4016628728643432E-2</v>
      </c>
      <c r="K2006" s="199">
        <v>4.3122185571795008E-2</v>
      </c>
      <c r="L2006" s="199">
        <v>4.5569966466368343E-2</v>
      </c>
      <c r="M2006" s="199">
        <v>4.5503652480904391E-2</v>
      </c>
      <c r="N2006" s="199">
        <v>4.6398797734564234E-2</v>
      </c>
    </row>
    <row r="2007" spans="3:14">
      <c r="C2007" s="29">
        <v>13</v>
      </c>
      <c r="D2007" s="34" t="s">
        <v>143</v>
      </c>
      <c r="E2007" s="199">
        <v>4.5419589939773741E-2</v>
      </c>
      <c r="F2007" s="199">
        <v>3.8320974073205859E-2</v>
      </c>
      <c r="G2007" s="199">
        <v>4.2391581767586964E-2</v>
      </c>
      <c r="H2007" s="199">
        <v>4.061226346677229E-2</v>
      </c>
      <c r="I2007" s="199">
        <v>4.4275955238167589E-2</v>
      </c>
      <c r="J2007" s="199">
        <v>4.377806152095251E-2</v>
      </c>
      <c r="K2007" s="199">
        <v>4.2534713588224436E-2</v>
      </c>
      <c r="L2007" s="199">
        <v>4.5628242669967192E-2</v>
      </c>
      <c r="M2007" s="199">
        <v>4.560050822016945E-2</v>
      </c>
      <c r="N2007" s="199">
        <v>4.1435723450727581E-2</v>
      </c>
    </row>
    <row r="2008" spans="3:14">
      <c r="C2008" s="29">
        <v>14</v>
      </c>
      <c r="D2008" s="34" t="s">
        <v>144</v>
      </c>
      <c r="E2008" s="199">
        <v>4.44028241174187E-2</v>
      </c>
      <c r="F2008" s="199">
        <v>3.8494046433578871E-2</v>
      </c>
      <c r="G2008" s="199">
        <v>4.2337695795886462E-2</v>
      </c>
      <c r="H2008" s="199">
        <v>3.9444014782741343E-2</v>
      </c>
      <c r="I2008" s="199">
        <v>4.1429843783904352E-2</v>
      </c>
      <c r="J2008" s="199">
        <v>4.2587949620008517E-2</v>
      </c>
      <c r="K2008" s="199">
        <v>4.2634195426224764E-2</v>
      </c>
      <c r="L2008" s="199">
        <v>4.5877073534079826E-2</v>
      </c>
      <c r="M2008" s="199">
        <v>4.6180587965314053E-2</v>
      </c>
      <c r="N2008" s="199">
        <v>3.1264646562385666E-2</v>
      </c>
    </row>
    <row r="2009" spans="3:14">
      <c r="C2009" s="29">
        <v>15</v>
      </c>
      <c r="D2009" s="34" t="s">
        <v>145</v>
      </c>
      <c r="E2009" s="199">
        <v>4.2430532015444188E-2</v>
      </c>
      <c r="F2009" s="199">
        <v>3.9425610551515229E-2</v>
      </c>
      <c r="G2009" s="199">
        <v>4.3163016801003949E-2</v>
      </c>
      <c r="H2009" s="199">
        <v>3.9590263300854481E-2</v>
      </c>
      <c r="I2009" s="199">
        <v>4.086588730615226E-2</v>
      </c>
      <c r="J2009" s="199">
        <v>4.4595001190858442E-2</v>
      </c>
      <c r="K2009" s="199">
        <v>4.1691763662064833E-2</v>
      </c>
      <c r="L2009" s="199">
        <v>4.5944057676147468E-2</v>
      </c>
      <c r="M2009" s="199">
        <v>4.7408687098481554E-2</v>
      </c>
      <c r="N2009" s="199">
        <v>4.8081294027881513E-2</v>
      </c>
    </row>
    <row r="2010" spans="3:14">
      <c r="C2010" s="29">
        <v>16</v>
      </c>
      <c r="D2010" s="34" t="s">
        <v>146</v>
      </c>
      <c r="E2010" s="199">
        <v>4.3082484690185878E-2</v>
      </c>
      <c r="F2010" s="199">
        <v>4.13103417936325E-2</v>
      </c>
      <c r="G2010" s="199">
        <v>4.2969907368283371E-2</v>
      </c>
      <c r="H2010" s="199">
        <v>3.9884566700296248E-2</v>
      </c>
      <c r="I2010" s="199">
        <v>3.9970699079057717E-2</v>
      </c>
      <c r="J2010" s="199">
        <v>4.6775557084390525E-2</v>
      </c>
      <c r="K2010" s="199">
        <v>4.1090126744880252E-2</v>
      </c>
      <c r="L2010" s="199">
        <v>4.4426592832279677E-2</v>
      </c>
      <c r="M2010" s="199">
        <v>4.2675148487231133E-2</v>
      </c>
      <c r="N2010" s="199">
        <v>4.5342733339582539E-2</v>
      </c>
    </row>
    <row r="2011" spans="3:14">
      <c r="C2011" s="29">
        <v>17</v>
      </c>
      <c r="D2011" s="34" t="s">
        <v>147</v>
      </c>
      <c r="E2011" s="199">
        <v>4.7116825342867957E-2</v>
      </c>
      <c r="F2011" s="199">
        <v>4.6736131321778E-2</v>
      </c>
      <c r="G2011" s="199">
        <v>4.4561231527742821E-2</v>
      </c>
      <c r="H2011" s="199">
        <v>4.1778906494611696E-2</v>
      </c>
      <c r="I2011" s="199">
        <v>4.6868460291381052E-2</v>
      </c>
      <c r="J2011" s="199">
        <v>4.8484080758386429E-2</v>
      </c>
      <c r="K2011" s="199">
        <v>4.5058417440884541E-2</v>
      </c>
      <c r="L2011" s="199">
        <v>4.7386622070248734E-2</v>
      </c>
      <c r="M2011" s="199">
        <v>3.9266652639283743E-2</v>
      </c>
      <c r="N2011" s="199">
        <v>4.310914832476085E-2</v>
      </c>
    </row>
    <row r="2012" spans="3:14">
      <c r="C2012" s="29">
        <v>18</v>
      </c>
      <c r="D2012" s="34" t="s">
        <v>148</v>
      </c>
      <c r="E2012" s="199">
        <v>4.9351647602532134E-2</v>
      </c>
      <c r="F2012" s="199">
        <v>4.6699105479657714E-2</v>
      </c>
      <c r="G2012" s="199">
        <v>4.4965087769463494E-2</v>
      </c>
      <c r="H2012" s="199">
        <v>4.2532159955469814E-2</v>
      </c>
      <c r="I2012" s="199">
        <v>4.4542272222563531E-2</v>
      </c>
      <c r="J2012" s="199">
        <v>4.9989139541071523E-2</v>
      </c>
      <c r="K2012" s="199">
        <v>4.2753388160293886E-2</v>
      </c>
      <c r="L2012" s="199">
        <v>4.6715029927677378E-2</v>
      </c>
      <c r="M2012" s="199">
        <v>3.8738252725979298E-2</v>
      </c>
      <c r="N2012" s="199">
        <v>4.2933263584198397E-2</v>
      </c>
    </row>
    <row r="2013" spans="3:14">
      <c r="C2013" s="29">
        <v>19</v>
      </c>
      <c r="D2013" s="34" t="s">
        <v>149</v>
      </c>
      <c r="E2013" s="199">
        <v>4.8203974534350463E-2</v>
      </c>
      <c r="F2013" s="199">
        <v>4.4744143774710941E-2</v>
      </c>
      <c r="G2013" s="199">
        <v>4.4367032833746899E-2</v>
      </c>
      <c r="H2013" s="199">
        <v>4.3088386021157207E-2</v>
      </c>
      <c r="I2013" s="199">
        <v>4.0754215752468056E-2</v>
      </c>
      <c r="J2013" s="199">
        <v>4.9294301548297906E-2</v>
      </c>
      <c r="K2013" s="199">
        <v>4.3776918260677804E-2</v>
      </c>
      <c r="L2013" s="199">
        <v>4.5536215592967444E-2</v>
      </c>
      <c r="M2013" s="199">
        <v>3.7945564965152154E-2</v>
      </c>
      <c r="N2013" s="199">
        <v>3.173610838128587E-2</v>
      </c>
    </row>
    <row r="2014" spans="3:14">
      <c r="C2014" s="29">
        <v>20</v>
      </c>
      <c r="D2014" s="34" t="s">
        <v>150</v>
      </c>
      <c r="E2014" s="199">
        <v>4.6807714868421842E-2</v>
      </c>
      <c r="F2014" s="199">
        <v>4.5088136471846403E-2</v>
      </c>
      <c r="G2014" s="199">
        <v>4.3107219211833477E-2</v>
      </c>
      <c r="H2014" s="199">
        <v>4.2472081652969534E-2</v>
      </c>
      <c r="I2014" s="199">
        <v>3.8503534601385524E-2</v>
      </c>
      <c r="J2014" s="199">
        <v>4.9954042168679637E-2</v>
      </c>
      <c r="K2014" s="199">
        <v>4.1997191633713807E-2</v>
      </c>
      <c r="L2014" s="199">
        <v>4.4118831146816161E-2</v>
      </c>
      <c r="M2014" s="199">
        <v>3.7948992709100737E-2</v>
      </c>
      <c r="N2014" s="199">
        <v>3.2186151571321014E-2</v>
      </c>
    </row>
    <row r="2015" spans="3:14">
      <c r="C2015" s="29">
        <v>21</v>
      </c>
      <c r="D2015" s="34" t="s">
        <v>151</v>
      </c>
      <c r="E2015" s="199">
        <v>4.6087952836730318E-2</v>
      </c>
      <c r="F2015" s="199">
        <v>4.3218772885512298E-2</v>
      </c>
      <c r="G2015" s="199">
        <v>4.2331694038395845E-2</v>
      </c>
      <c r="H2015" s="199">
        <v>4.1747796905900525E-2</v>
      </c>
      <c r="I2015" s="199">
        <v>4.0835321379534092E-2</v>
      </c>
      <c r="J2015" s="199">
        <v>4.7307465945289999E-2</v>
      </c>
      <c r="K2015" s="199">
        <v>4.2799119621191484E-2</v>
      </c>
      <c r="L2015" s="199">
        <v>4.2276980371317149E-2</v>
      </c>
      <c r="M2015" s="199">
        <v>3.7135123248488763E-2</v>
      </c>
      <c r="N2015" s="199">
        <v>4.7892558110000032E-2</v>
      </c>
    </row>
    <row r="2016" spans="3:14">
      <c r="C2016" s="29">
        <v>22</v>
      </c>
      <c r="D2016" s="34" t="s">
        <v>152</v>
      </c>
      <c r="E2016" s="199">
        <v>4.3516710286670618E-2</v>
      </c>
      <c r="F2016" s="199">
        <v>4.3056267512868097E-2</v>
      </c>
      <c r="G2016" s="199">
        <v>4.2396241786023192E-2</v>
      </c>
      <c r="H2016" s="199">
        <v>4.2468736535903814E-2</v>
      </c>
      <c r="I2016" s="199">
        <v>3.9855547246600148E-2</v>
      </c>
      <c r="J2016" s="199">
        <v>4.4570479009274598E-2</v>
      </c>
      <c r="K2016" s="199">
        <v>4.2641777938826869E-2</v>
      </c>
      <c r="L2016" s="199">
        <v>3.8864214451314084E-2</v>
      </c>
      <c r="M2016" s="199">
        <v>3.7564382259895772E-2</v>
      </c>
      <c r="N2016" s="199">
        <v>4.8680007700627047E-2</v>
      </c>
    </row>
    <row r="2017" spans="3:14">
      <c r="C2017" s="29">
        <v>23</v>
      </c>
      <c r="D2017" s="34" t="s">
        <v>153</v>
      </c>
      <c r="E2017" s="199">
        <v>4.1497317817286522E-2</v>
      </c>
      <c r="F2017" s="199">
        <v>4.2126082897246203E-2</v>
      </c>
      <c r="G2017" s="199">
        <v>3.9967831156942413E-2</v>
      </c>
      <c r="H2017" s="199">
        <v>4.2012261861116097E-2</v>
      </c>
      <c r="I2017" s="199">
        <v>3.7713662636302103E-2</v>
      </c>
      <c r="J2017" s="199">
        <v>4.0062461556165579E-2</v>
      </c>
      <c r="K2017" s="199">
        <v>4.049910898203532E-2</v>
      </c>
      <c r="L2017" s="199">
        <v>3.4644259172058649E-2</v>
      </c>
      <c r="M2017" s="199">
        <v>3.7107086060806774E-2</v>
      </c>
      <c r="N2017" s="199">
        <v>4.5921036318939012E-2</v>
      </c>
    </row>
    <row r="2018" spans="3:14">
      <c r="C2018" s="29">
        <v>24</v>
      </c>
      <c r="D2018" s="34" t="s">
        <v>154</v>
      </c>
      <c r="E2018" s="199">
        <v>3.7945023565642097E-2</v>
      </c>
      <c r="F2018" s="199">
        <v>4.1503913558398491E-2</v>
      </c>
      <c r="G2018" s="199">
        <v>3.7813200217814737E-2</v>
      </c>
      <c r="H2018" s="199">
        <v>4.0568308628528775E-2</v>
      </c>
      <c r="I2018" s="199">
        <v>4.4664838561973029E-2</v>
      </c>
      <c r="J2018" s="199">
        <v>3.5864298676928426E-2</v>
      </c>
      <c r="K2018" s="199">
        <v>3.9754040747331715E-2</v>
      </c>
      <c r="L2018" s="199">
        <v>3.2262531435163104E-2</v>
      </c>
      <c r="M2018" s="199">
        <v>3.6277572025249998E-2</v>
      </c>
      <c r="N2018" s="199">
        <v>3.4422256424832716E-2</v>
      </c>
    </row>
  </sheetData>
  <phoneticPr fontId="13" type="noConversion"/>
  <pageMargins left="0.75" right="0.75" top="0.3" bottom="0.5" header="0.5" footer="0.3"/>
  <pageSetup scale="64" fitToHeight="2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G57"/>
  <sheetViews>
    <sheetView workbookViewId="0"/>
  </sheetViews>
  <sheetFormatPr defaultRowHeight="12.75"/>
  <cols>
    <col min="2" max="2" width="14" bestFit="1" customWidth="1"/>
    <col min="3" max="3" width="13" bestFit="1" customWidth="1"/>
    <col min="4" max="4" width="11.1640625" bestFit="1" customWidth="1"/>
    <col min="13" max="13" width="13.1640625" customWidth="1"/>
  </cols>
  <sheetData>
    <row r="1" spans="1:2">
      <c r="A1" t="s">
        <v>356</v>
      </c>
    </row>
    <row r="3" spans="1:2">
      <c r="A3" s="8" t="s">
        <v>357</v>
      </c>
    </row>
    <row r="5" spans="1:2">
      <c r="A5" t="s">
        <v>2355</v>
      </c>
    </row>
    <row r="6" spans="1:2">
      <c r="B6" t="s">
        <v>361</v>
      </c>
    </row>
    <row r="7" spans="1:2">
      <c r="B7" t="s">
        <v>362</v>
      </c>
    </row>
    <row r="8" spans="1:2">
      <c r="B8" t="s">
        <v>364</v>
      </c>
    </row>
    <row r="9" spans="1:2">
      <c r="B9" t="s">
        <v>2347</v>
      </c>
    </row>
    <row r="10" spans="1:2">
      <c r="B10" t="s">
        <v>363</v>
      </c>
    </row>
    <row r="11" spans="1:2">
      <c r="A11" t="s">
        <v>358</v>
      </c>
    </row>
    <row r="12" spans="1:2">
      <c r="B12" t="s">
        <v>218</v>
      </c>
    </row>
    <row r="13" spans="1:2">
      <c r="B13" t="s">
        <v>372</v>
      </c>
    </row>
    <row r="14" spans="1:2">
      <c r="B14" t="s">
        <v>373</v>
      </c>
    </row>
    <row r="15" spans="1:2">
      <c r="A15" t="s">
        <v>2348</v>
      </c>
    </row>
    <row r="16" spans="1:2">
      <c r="B16" t="s">
        <v>2350</v>
      </c>
    </row>
    <row r="17" spans="1:2">
      <c r="B17" t="s">
        <v>2353</v>
      </c>
    </row>
    <row r="18" spans="1:2">
      <c r="A18" t="s">
        <v>359</v>
      </c>
    </row>
    <row r="19" spans="1:2">
      <c r="B19" t="s">
        <v>365</v>
      </c>
    </row>
    <row r="20" spans="1:2">
      <c r="B20" t="s">
        <v>366</v>
      </c>
    </row>
    <row r="21" spans="1:2">
      <c r="A21" t="s">
        <v>360</v>
      </c>
    </row>
    <row r="22" spans="1:2">
      <c r="B22" t="s">
        <v>367</v>
      </c>
    </row>
    <row r="23" spans="1:2">
      <c r="B23" t="s">
        <v>2352</v>
      </c>
    </row>
    <row r="25" spans="1:2">
      <c r="A25" s="8" t="s">
        <v>368</v>
      </c>
    </row>
    <row r="27" spans="1:2">
      <c r="A27" t="s">
        <v>369</v>
      </c>
    </row>
    <row r="28" spans="1:2">
      <c r="B28" t="s">
        <v>2349</v>
      </c>
    </row>
    <row r="29" spans="1:2">
      <c r="B29" t="s">
        <v>374</v>
      </c>
    </row>
    <row r="30" spans="1:2">
      <c r="B30" t="s">
        <v>375</v>
      </c>
    </row>
    <row r="31" spans="1:2">
      <c r="A31" t="s">
        <v>370</v>
      </c>
    </row>
    <row r="32" spans="1:2">
      <c r="B32" t="s">
        <v>218</v>
      </c>
    </row>
    <row r="33" spans="1:7">
      <c r="A33" t="s">
        <v>2351</v>
      </c>
    </row>
    <row r="34" spans="1:7">
      <c r="B34" t="s">
        <v>2350</v>
      </c>
    </row>
    <row r="35" spans="1:7">
      <c r="B35" t="s">
        <v>2354</v>
      </c>
    </row>
    <row r="36" spans="1:7">
      <c r="A36" t="s">
        <v>359</v>
      </c>
    </row>
    <row r="37" spans="1:7">
      <c r="B37" t="s">
        <v>371</v>
      </c>
    </row>
    <row r="45" spans="1:7">
      <c r="B45" s="1"/>
      <c r="C45" s="1"/>
      <c r="D45" s="1"/>
    </row>
    <row r="46" spans="1:7">
      <c r="B46" s="1"/>
      <c r="C46" s="1"/>
      <c r="D46" s="1"/>
      <c r="G46" s="2"/>
    </row>
    <row r="47" spans="1:7">
      <c r="B47" s="1"/>
      <c r="C47" s="1"/>
      <c r="D47" s="1"/>
      <c r="G47" s="2"/>
    </row>
    <row r="48" spans="1:7">
      <c r="B48" s="1"/>
      <c r="C48" s="1"/>
      <c r="D48" s="1"/>
      <c r="G48" s="2"/>
    </row>
    <row r="49" spans="2:7">
      <c r="B49" s="1"/>
      <c r="C49" s="1"/>
      <c r="D49" s="1"/>
      <c r="G49" s="2"/>
    </row>
    <row r="50" spans="2:7">
      <c r="B50" s="1"/>
      <c r="C50" s="1"/>
      <c r="D50" s="1"/>
      <c r="G50" s="2"/>
    </row>
    <row r="51" spans="2:7">
      <c r="B51" s="1"/>
      <c r="C51" s="1"/>
      <c r="D51" s="1"/>
      <c r="G51" s="2"/>
    </row>
    <row r="52" spans="2:7">
      <c r="B52" s="1"/>
      <c r="C52" s="1"/>
      <c r="D52" s="1"/>
      <c r="G52" s="2"/>
    </row>
    <row r="53" spans="2:7">
      <c r="B53" s="1"/>
      <c r="C53" s="1"/>
      <c r="D53" s="1"/>
      <c r="G53" s="2"/>
    </row>
    <row r="54" spans="2:7">
      <c r="B54" s="1"/>
      <c r="C54" s="1"/>
      <c r="D54" s="1"/>
      <c r="G54" s="2"/>
    </row>
    <row r="55" spans="2:7">
      <c r="B55" s="1"/>
      <c r="C55" s="1"/>
      <c r="D55" s="1"/>
      <c r="G55" s="2"/>
    </row>
    <row r="56" spans="2:7">
      <c r="B56" s="1"/>
      <c r="C56" s="1"/>
      <c r="D56" s="1"/>
      <c r="G56" s="2"/>
    </row>
    <row r="57" spans="2:7">
      <c r="B57" s="1"/>
      <c r="C57" s="1"/>
      <c r="D57" s="1"/>
      <c r="G57" s="2"/>
    </row>
  </sheetData>
  <phoneticPr fontId="0" type="noConversion"/>
  <pageMargins left="0.75" right="0.68" top="1" bottom="0.9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T144"/>
  <sheetViews>
    <sheetView workbookViewId="0">
      <selection activeCell="S39" sqref="S39"/>
    </sheetView>
  </sheetViews>
  <sheetFormatPr defaultColWidth="8.83203125" defaultRowHeight="12.75"/>
  <cols>
    <col min="1" max="1" width="4.1640625" style="154" customWidth="1"/>
    <col min="2" max="2" width="24.83203125" style="154" customWidth="1"/>
    <col min="3" max="3" width="10.5" style="154" customWidth="1"/>
    <col min="4" max="7" width="14" style="154" bestFit="1" customWidth="1"/>
    <col min="8" max="9" width="14.5" style="154" bestFit="1" customWidth="1"/>
    <col min="10" max="13" width="14" style="154" bestFit="1" customWidth="1"/>
    <col min="14" max="15" width="14.5" style="154" bestFit="1" customWidth="1"/>
    <col min="16" max="16" width="17.1640625" style="154" customWidth="1"/>
    <col min="17" max="17" width="13" style="154" bestFit="1" customWidth="1"/>
    <col min="18" max="18" width="12.83203125" style="154" bestFit="1" customWidth="1"/>
    <col min="19" max="19" width="15" style="154" bestFit="1" customWidth="1"/>
    <col min="20" max="20" width="9.33203125" style="154" bestFit="1" customWidth="1"/>
    <col min="21" max="16384" width="8.83203125" style="154"/>
  </cols>
  <sheetData>
    <row r="1" spans="1:20" ht="15">
      <c r="A1" s="260" t="s">
        <v>415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358" t="s">
        <v>2317</v>
      </c>
      <c r="R1" s="359">
        <f>Q2</f>
        <v>500000</v>
      </c>
      <c r="S1" s="359">
        <f>R2</f>
        <v>6000000</v>
      </c>
      <c r="T1" s="258"/>
    </row>
    <row r="2" spans="1:20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262" t="s">
        <v>2318</v>
      </c>
      <c r="Q2" s="359">
        <v>500000</v>
      </c>
      <c r="R2" s="359">
        <v>6000000</v>
      </c>
      <c r="S2" s="360">
        <v>99999999</v>
      </c>
      <c r="T2" s="258"/>
    </row>
    <row r="3" spans="1:20">
      <c r="A3" s="263" t="s">
        <v>2319</v>
      </c>
      <c r="B3" s="263"/>
      <c r="C3" s="184" t="s">
        <v>2455</v>
      </c>
      <c r="D3" s="189">
        <v>43466</v>
      </c>
      <c r="E3" s="189">
        <v>43497</v>
      </c>
      <c r="F3" s="189">
        <v>43525</v>
      </c>
      <c r="G3" s="189">
        <v>43556</v>
      </c>
      <c r="H3" s="189">
        <v>43586</v>
      </c>
      <c r="I3" s="189">
        <v>43617</v>
      </c>
      <c r="J3" s="189">
        <v>43647</v>
      </c>
      <c r="K3" s="189">
        <v>43678</v>
      </c>
      <c r="L3" s="189">
        <v>43709</v>
      </c>
      <c r="M3" s="189">
        <v>43739</v>
      </c>
      <c r="N3" s="189">
        <v>43770</v>
      </c>
      <c r="O3" s="189">
        <v>43800</v>
      </c>
      <c r="P3" s="262" t="s">
        <v>277</v>
      </c>
      <c r="Q3" s="361" t="s">
        <v>2320</v>
      </c>
      <c r="R3" s="361" t="s">
        <v>2320</v>
      </c>
      <c r="S3" s="361" t="s">
        <v>2320</v>
      </c>
      <c r="T3" s="258"/>
    </row>
    <row r="4" spans="1:20">
      <c r="A4" s="154">
        <v>1</v>
      </c>
      <c r="B4" s="369"/>
      <c r="C4" s="370"/>
      <c r="D4" s="264">
        <v>6430355.4000000004</v>
      </c>
      <c r="E4" s="264">
        <v>5834220</v>
      </c>
      <c r="F4" s="264">
        <v>6772222.7999999998</v>
      </c>
      <c r="G4" s="264">
        <v>5461138.2000000002</v>
      </c>
      <c r="H4" s="264">
        <v>6566826</v>
      </c>
      <c r="I4" s="264">
        <v>6641355</v>
      </c>
      <c r="J4" s="265">
        <v>6479961.5999999996</v>
      </c>
      <c r="K4" s="265">
        <v>6676870.2000000002</v>
      </c>
      <c r="L4" s="265">
        <v>6590295.5999999996</v>
      </c>
      <c r="M4" s="371">
        <v>4241370</v>
      </c>
      <c r="N4" s="371">
        <v>3978168.6</v>
      </c>
      <c r="O4" s="372">
        <v>3647007</v>
      </c>
      <c r="P4" s="216">
        <f t="shared" ref="P4:P26" si="0">SUM(D4:O4)</f>
        <v>69319790.400000006</v>
      </c>
      <c r="Q4" s="362">
        <f t="shared" ref="Q4:Q26" si="1">Q$2*12-SUMPRODUCT(--($D4:$O4&lt;=Q$2),Q$2-$D4:$O4)</f>
        <v>6000000</v>
      </c>
      <c r="R4" s="362">
        <f>R$2*12-SUM($Q4:Q4)-SUMPRODUCT(--($D4:$O4&lt;=R$2),R$2-$D4:$O4)</f>
        <v>59161903.799999997</v>
      </c>
      <c r="S4" s="362">
        <f>S$2*12-SUM($Q4:R4)-SUMPRODUCT(--($D4:$O4&lt;=S$2),S$2-$D4:$O4)</f>
        <v>4157886.6000001431</v>
      </c>
      <c r="T4" s="258"/>
    </row>
    <row r="5" spans="1:20">
      <c r="A5" s="154">
        <v>2</v>
      </c>
      <c r="B5" s="369"/>
      <c r="C5" s="370"/>
      <c r="D5" s="264">
        <v>2489222.4</v>
      </c>
      <c r="E5" s="264">
        <v>2924871.6</v>
      </c>
      <c r="F5" s="264">
        <v>3069759</v>
      </c>
      <c r="G5" s="264">
        <v>2967686.4</v>
      </c>
      <c r="H5" s="264">
        <v>2938063.8</v>
      </c>
      <c r="I5" s="264">
        <v>2839666.2</v>
      </c>
      <c r="J5" s="265">
        <v>2858247</v>
      </c>
      <c r="K5" s="265">
        <v>2982000</v>
      </c>
      <c r="L5" s="265">
        <v>2826234.6</v>
      </c>
      <c r="M5" s="371">
        <v>2987325.6</v>
      </c>
      <c r="N5" s="371">
        <v>2858725.8</v>
      </c>
      <c r="O5" s="373">
        <v>2088534</v>
      </c>
      <c r="P5" s="225">
        <f>SUM(D5:O5)</f>
        <v>33830336.400000006</v>
      </c>
      <c r="Q5" s="363">
        <f t="shared" si="1"/>
        <v>6000000</v>
      </c>
      <c r="R5" s="363">
        <f>R$2*12-SUM($Q5:Q5)-SUMPRODUCT(--($D5:$O5&lt;=R$2),R$2-$D5:$O5)</f>
        <v>27830336.399999999</v>
      </c>
      <c r="S5" s="363">
        <f>S$2*12-SUM($Q5:R5)-SUMPRODUCT(--($D5:$O5&lt;=S$2),S$2-$D5:$O5)</f>
        <v>0</v>
      </c>
      <c r="T5" s="427"/>
    </row>
    <row r="6" spans="1:20">
      <c r="A6" s="154">
        <v>3</v>
      </c>
      <c r="B6" s="369"/>
      <c r="C6" s="370"/>
      <c r="D6" s="264">
        <v>1540777</v>
      </c>
      <c r="E6" s="264">
        <v>1346983.4</v>
      </c>
      <c r="F6" s="264">
        <v>1473201.8</v>
      </c>
      <c r="G6" s="264">
        <v>1247283.8</v>
      </c>
      <c r="H6" s="264">
        <v>1264634</v>
      </c>
      <c r="I6" s="264">
        <v>1231641.6000000001</v>
      </c>
      <c r="J6" s="265">
        <v>1276636.2</v>
      </c>
      <c r="K6" s="265">
        <v>1211726.6000000001</v>
      </c>
      <c r="L6" s="265">
        <v>1230002.2</v>
      </c>
      <c r="M6" s="371">
        <v>1437599.8</v>
      </c>
      <c r="N6" s="371">
        <v>1268366.3999999999</v>
      </c>
      <c r="O6" s="372">
        <v>1327428.2</v>
      </c>
      <c r="P6" s="216">
        <f>SUM(D6:O6)</f>
        <v>15856280.999999998</v>
      </c>
      <c r="Q6" s="362">
        <f t="shared" si="1"/>
        <v>6000000</v>
      </c>
      <c r="R6" s="362">
        <f>R$2*12-SUM($Q6:Q6)-SUMPRODUCT(--($D6:$O6&lt;=R$2),R$2-$D6:$O6)</f>
        <v>9856281</v>
      </c>
      <c r="S6" s="362">
        <f>S$2*12-SUM($Q6:R6)-SUMPRODUCT(--($D6:$O6&lt;=S$2),S$2-$D6:$O6)</f>
        <v>0</v>
      </c>
      <c r="T6" s="258"/>
    </row>
    <row r="7" spans="1:20">
      <c r="A7" s="154">
        <v>4</v>
      </c>
      <c r="B7" s="369"/>
      <c r="C7" s="370"/>
      <c r="D7" s="264">
        <v>1352948.1</v>
      </c>
      <c r="E7" s="264">
        <v>1264439.3999999999</v>
      </c>
      <c r="F7" s="264">
        <v>1402041.9</v>
      </c>
      <c r="G7" s="264">
        <v>1231146</v>
      </c>
      <c r="H7" s="264">
        <v>1287875.3999999999</v>
      </c>
      <c r="I7" s="264">
        <v>1221032.3999999999</v>
      </c>
      <c r="J7" s="264">
        <v>1295525.7</v>
      </c>
      <c r="K7" s="264">
        <v>1267560</v>
      </c>
      <c r="L7" s="264">
        <v>1223764.504</v>
      </c>
      <c r="M7" s="371">
        <v>1341954.6000000001</v>
      </c>
      <c r="N7" s="371">
        <v>1374168.6</v>
      </c>
      <c r="O7" s="373">
        <v>1435293.3</v>
      </c>
      <c r="P7" s="216">
        <f t="shared" si="0"/>
        <v>15697749.904000001</v>
      </c>
      <c r="Q7" s="362">
        <f t="shared" si="1"/>
        <v>6000000</v>
      </c>
      <c r="R7" s="362">
        <f>R$2*12-SUM($Q7:Q7)-SUMPRODUCT(--($D7:$O7&lt;=R$2),R$2-$D7:$O7)</f>
        <v>9697749.9039999917</v>
      </c>
      <c r="S7" s="362">
        <f>S$2*12-SUM($Q7:R7)-SUMPRODUCT(--($D7:$O7&lt;=S$2),S$2-$D7:$O7)</f>
        <v>0</v>
      </c>
      <c r="T7" s="258"/>
    </row>
    <row r="8" spans="1:20">
      <c r="A8" s="154">
        <v>5</v>
      </c>
      <c r="B8" s="369"/>
      <c r="C8" s="370"/>
      <c r="D8" s="264">
        <v>1702092</v>
      </c>
      <c r="E8" s="264">
        <v>1591291.8</v>
      </c>
      <c r="F8" s="264">
        <v>1673399.7</v>
      </c>
      <c r="G8" s="264">
        <v>1630085.1</v>
      </c>
      <c r="H8" s="264">
        <v>1897795.2</v>
      </c>
      <c r="I8" s="264">
        <v>1883613.9</v>
      </c>
      <c r="J8" s="265">
        <v>2068525.2</v>
      </c>
      <c r="K8" s="265">
        <v>2152669.0499999998</v>
      </c>
      <c r="L8" s="265">
        <v>1809992.1</v>
      </c>
      <c r="M8" s="371">
        <v>1622814.9</v>
      </c>
      <c r="N8" s="371">
        <v>1526811.3</v>
      </c>
      <c r="O8" s="372">
        <v>1680707.7</v>
      </c>
      <c r="P8" s="216">
        <f t="shared" si="0"/>
        <v>21239797.949999999</v>
      </c>
      <c r="Q8" s="362">
        <f t="shared" si="1"/>
        <v>6000000</v>
      </c>
      <c r="R8" s="362">
        <f>R$2*12-SUM($Q8:Q8)-SUMPRODUCT(--($D8:$O8&lt;=R$2),R$2-$D8:$O8)</f>
        <v>15239797.949999996</v>
      </c>
      <c r="S8" s="362">
        <f>S$2*12-SUM($Q8:R8)-SUMPRODUCT(--($D8:$O8&lt;=S$2),S$2-$D8:$O8)</f>
        <v>0</v>
      </c>
      <c r="T8" s="258"/>
    </row>
    <row r="9" spans="1:20">
      <c r="A9" s="154">
        <v>6</v>
      </c>
      <c r="B9" s="369"/>
      <c r="C9" s="370"/>
      <c r="D9" s="264">
        <v>2304565.2000000002</v>
      </c>
      <c r="E9" s="264">
        <v>2401187.6</v>
      </c>
      <c r="F9" s="264">
        <v>2216379.2000000002</v>
      </c>
      <c r="G9" s="264">
        <v>2001342</v>
      </c>
      <c r="H9" s="264">
        <v>1765531.6</v>
      </c>
      <c r="I9" s="264">
        <v>1635488.4</v>
      </c>
      <c r="J9" s="265">
        <v>1831124.4</v>
      </c>
      <c r="K9" s="265">
        <v>2051921.2</v>
      </c>
      <c r="L9" s="265">
        <v>2065095.2</v>
      </c>
      <c r="M9" s="371">
        <v>2194743.6</v>
      </c>
      <c r="N9" s="371">
        <v>2178733.2000000002</v>
      </c>
      <c r="O9" s="372">
        <v>2139620</v>
      </c>
      <c r="P9" s="216">
        <f t="shared" si="0"/>
        <v>24785731.600000001</v>
      </c>
      <c r="Q9" s="362">
        <f t="shared" si="1"/>
        <v>6000000</v>
      </c>
      <c r="R9" s="362">
        <f>R$2*12-SUM($Q9:Q9)-SUMPRODUCT(--($D9:$O9&lt;=R$2),R$2-$D9:$O9)</f>
        <v>18785731.600000001</v>
      </c>
      <c r="S9" s="362">
        <f>S$2*12-SUM($Q9:R9)-SUMPRODUCT(--($D9:$O9&lt;=S$2),S$2-$D9:$O9)</f>
        <v>0</v>
      </c>
      <c r="T9" s="258"/>
    </row>
    <row r="10" spans="1:20">
      <c r="A10" s="154">
        <v>7</v>
      </c>
      <c r="B10" s="369"/>
      <c r="C10" s="370"/>
      <c r="D10" s="264">
        <v>1228851.3999999999</v>
      </c>
      <c r="E10" s="264">
        <v>1108142</v>
      </c>
      <c r="F10" s="264">
        <v>1209637.8</v>
      </c>
      <c r="G10" s="264">
        <v>1196998.6000000001</v>
      </c>
      <c r="H10" s="264">
        <v>1275577.8</v>
      </c>
      <c r="I10" s="264">
        <v>1274086.8</v>
      </c>
      <c r="J10" s="265">
        <v>1361623.2</v>
      </c>
      <c r="K10" s="264">
        <v>1441545</v>
      </c>
      <c r="L10" s="265">
        <v>1281733.6000000001</v>
      </c>
      <c r="M10" s="371">
        <v>1280935.6000000001</v>
      </c>
      <c r="N10" s="371">
        <v>1253442.3999999999</v>
      </c>
      <c r="O10" s="372">
        <v>1206101.3999999999</v>
      </c>
      <c r="P10" s="216">
        <f t="shared" si="0"/>
        <v>15118675.6</v>
      </c>
      <c r="Q10" s="362">
        <f t="shared" si="1"/>
        <v>6000000</v>
      </c>
      <c r="R10" s="362">
        <f>R$2*12-SUM($Q10:Q10)-SUMPRODUCT(--($D10:$O10&lt;=R$2),R$2-$D10:$O10)</f>
        <v>9118675.599999994</v>
      </c>
      <c r="S10" s="362">
        <f>S$2*12-SUM($Q10:R10)-SUMPRODUCT(--($D10:$O10&lt;=S$2),S$2-$D10:$O10)</f>
        <v>0</v>
      </c>
      <c r="T10" s="258"/>
    </row>
    <row r="11" spans="1:20">
      <c r="A11" s="154">
        <v>8</v>
      </c>
      <c r="B11" s="369"/>
      <c r="C11" s="370"/>
      <c r="D11" s="264">
        <v>1014295.8</v>
      </c>
      <c r="E11" s="264">
        <v>920665.2</v>
      </c>
      <c r="F11" s="264">
        <v>1040461.8</v>
      </c>
      <c r="G11" s="264">
        <v>1028403.6</v>
      </c>
      <c r="H11" s="264">
        <v>1090068</v>
      </c>
      <c r="I11" s="264">
        <v>1089215.3999999999</v>
      </c>
      <c r="J11" s="264">
        <v>1102201.8</v>
      </c>
      <c r="K11" s="265">
        <v>1142723.3999999999</v>
      </c>
      <c r="L11" s="265">
        <v>1004530.8</v>
      </c>
      <c r="M11" s="374">
        <v>1109871</v>
      </c>
      <c r="N11" s="371">
        <v>957184.2</v>
      </c>
      <c r="O11" s="372">
        <v>1008655.2</v>
      </c>
      <c r="P11" s="216">
        <f t="shared" si="0"/>
        <v>12508276.199999999</v>
      </c>
      <c r="Q11" s="362">
        <f t="shared" si="1"/>
        <v>6000000</v>
      </c>
      <c r="R11" s="362">
        <f>R$2*12-SUM($Q11:Q11)-SUMPRODUCT(--($D11:$O11&lt;=R$2),R$2-$D11:$O11)</f>
        <v>6508276.1999999955</v>
      </c>
      <c r="S11" s="362">
        <f>S$2*12-SUM($Q11:R11)-SUMPRODUCT(--($D11:$O11&lt;=S$2),S$2-$D11:$O11)</f>
        <v>0</v>
      </c>
      <c r="T11" s="258"/>
    </row>
    <row r="12" spans="1:20">
      <c r="A12" s="154">
        <v>9</v>
      </c>
      <c r="B12" s="369"/>
      <c r="C12" s="370"/>
      <c r="D12" s="264">
        <v>36161892</v>
      </c>
      <c r="E12" s="264">
        <v>35055804</v>
      </c>
      <c r="F12" s="264">
        <v>35276106</v>
      </c>
      <c r="G12" s="264">
        <v>34282368</v>
      </c>
      <c r="H12" s="264">
        <v>38684638</v>
      </c>
      <c r="I12" s="264">
        <v>37544592</v>
      </c>
      <c r="J12" s="265">
        <v>40314368</v>
      </c>
      <c r="K12" s="265">
        <v>40335278</v>
      </c>
      <c r="L12" s="265">
        <v>38614866</v>
      </c>
      <c r="M12" s="371">
        <v>40639056</v>
      </c>
      <c r="N12" s="371">
        <v>33404254</v>
      </c>
      <c r="O12" s="372">
        <v>40786226</v>
      </c>
      <c r="P12" s="216">
        <f t="shared" si="0"/>
        <v>451099448</v>
      </c>
      <c r="Q12" s="362">
        <f t="shared" si="1"/>
        <v>6000000</v>
      </c>
      <c r="R12" s="362">
        <f>R$2*12-SUM($Q12:Q12)-SUMPRODUCT(--($D12:$O12&lt;=R$2),R$2-$D12:$O12)</f>
        <v>66000000</v>
      </c>
      <c r="S12" s="362">
        <f>S$2*12-SUM($Q12:R12)-SUMPRODUCT(--($D12:$O12&lt;=S$2),S$2-$D12:$O12)</f>
        <v>379099448</v>
      </c>
      <c r="T12" s="258"/>
    </row>
    <row r="13" spans="1:20">
      <c r="A13" s="154">
        <v>10</v>
      </c>
      <c r="B13" s="369"/>
      <c r="C13" s="370"/>
      <c r="D13" s="264">
        <v>5425757.4000000004</v>
      </c>
      <c r="E13" s="264">
        <v>4067649.6</v>
      </c>
      <c r="F13" s="264">
        <v>5397126</v>
      </c>
      <c r="G13" s="264">
        <v>4048065</v>
      </c>
      <c r="H13" s="264">
        <v>5523718.2000000002</v>
      </c>
      <c r="I13" s="264">
        <v>5344491.5999999996</v>
      </c>
      <c r="J13" s="265">
        <v>5579019.5999999996</v>
      </c>
      <c r="K13" s="265">
        <v>5677425.5999999996</v>
      </c>
      <c r="L13" s="265">
        <v>5432989.7999999998</v>
      </c>
      <c r="M13" s="371">
        <v>5384127</v>
      </c>
      <c r="N13" s="371">
        <v>4750036.2</v>
      </c>
      <c r="O13" s="373">
        <v>4830865.2</v>
      </c>
      <c r="P13" s="216">
        <f t="shared" si="0"/>
        <v>61461271.200000003</v>
      </c>
      <c r="Q13" s="362">
        <f t="shared" si="1"/>
        <v>6000000</v>
      </c>
      <c r="R13" s="362">
        <f>R$2*12-SUM($Q13:Q13)-SUMPRODUCT(--($D13:$O13&lt;=R$2),R$2-$D13:$O13)</f>
        <v>55461271.200000003</v>
      </c>
      <c r="S13" s="362">
        <f>S$2*12-SUM($Q13:R13)-SUMPRODUCT(--($D13:$O13&lt;=S$2),S$2-$D13:$O13)</f>
        <v>0</v>
      </c>
      <c r="T13" s="258"/>
    </row>
    <row r="14" spans="1:20">
      <c r="A14" s="154">
        <v>11</v>
      </c>
      <c r="B14" s="369"/>
      <c r="C14" s="370"/>
      <c r="D14" s="264">
        <v>5699153.5999999996</v>
      </c>
      <c r="E14" s="264">
        <v>4675479.2</v>
      </c>
      <c r="F14" s="264">
        <v>5387804.7999999998</v>
      </c>
      <c r="G14" s="264">
        <v>3086608</v>
      </c>
      <c r="H14" s="264">
        <v>5451588.7999999998</v>
      </c>
      <c r="I14" s="264">
        <v>5317446.4000000004</v>
      </c>
      <c r="J14" s="265">
        <v>5464401.5999999996</v>
      </c>
      <c r="K14" s="265">
        <v>5389888</v>
      </c>
      <c r="L14" s="265">
        <v>4830078.4000000004</v>
      </c>
      <c r="M14" s="371">
        <v>5042686.5999999996</v>
      </c>
      <c r="N14" s="371">
        <v>3148917.8</v>
      </c>
      <c r="O14" s="372">
        <v>4548415.2</v>
      </c>
      <c r="P14" s="216">
        <f t="shared" si="0"/>
        <v>58042468.400000006</v>
      </c>
      <c r="Q14" s="362">
        <f t="shared" si="1"/>
        <v>6000000</v>
      </c>
      <c r="R14" s="362">
        <f>R$2*12-SUM($Q14:Q14)-SUMPRODUCT(--($D14:$O14&lt;=R$2),R$2-$D14:$O14)</f>
        <v>52042468.399999999</v>
      </c>
      <c r="S14" s="362">
        <f>S$2*12-SUM($Q14:R14)-SUMPRODUCT(--($D14:$O14&lt;=S$2),S$2-$D14:$O14)</f>
        <v>0</v>
      </c>
      <c r="T14" s="258"/>
    </row>
    <row r="15" spans="1:20">
      <c r="A15" s="154">
        <v>12</v>
      </c>
      <c r="B15" s="369"/>
      <c r="C15" s="370"/>
      <c r="D15" s="264">
        <v>3145375.8</v>
      </c>
      <c r="E15" s="264">
        <v>2906864.1</v>
      </c>
      <c r="F15" s="264">
        <v>3123668.1</v>
      </c>
      <c r="G15" s="264">
        <v>3080977.2</v>
      </c>
      <c r="H15" s="264">
        <v>3501913.8</v>
      </c>
      <c r="I15" s="264">
        <v>3576136.2</v>
      </c>
      <c r="J15" s="264">
        <v>3982116.6</v>
      </c>
      <c r="K15" s="264">
        <v>4114332.6</v>
      </c>
      <c r="L15" s="264">
        <v>3464176.8</v>
      </c>
      <c r="M15" s="375">
        <v>3097831.8</v>
      </c>
      <c r="N15" s="375">
        <v>2982909.3</v>
      </c>
      <c r="O15" s="376">
        <v>3113638.5</v>
      </c>
      <c r="P15" s="216">
        <f t="shared" si="0"/>
        <v>40089940.799999997</v>
      </c>
      <c r="Q15" s="362">
        <f t="shared" si="1"/>
        <v>6000000</v>
      </c>
      <c r="R15" s="362">
        <f>R$2*12-SUM($Q15:Q15)-SUMPRODUCT(--($D15:$O15&lt;=R$2),R$2-$D15:$O15)</f>
        <v>34089940.800000004</v>
      </c>
      <c r="S15" s="362">
        <f>S$2*12-SUM($Q15:R15)-SUMPRODUCT(--($D15:$O15&lt;=S$2),S$2-$D15:$O15)</f>
        <v>0</v>
      </c>
      <c r="T15" s="258"/>
    </row>
    <row r="16" spans="1:20">
      <c r="A16" s="154">
        <v>13</v>
      </c>
      <c r="B16" s="369"/>
      <c r="C16" s="370"/>
      <c r="D16" s="264">
        <v>908495.7</v>
      </c>
      <c r="E16" s="264">
        <v>840762.3</v>
      </c>
      <c r="F16" s="264">
        <v>892970.4</v>
      </c>
      <c r="G16" s="264">
        <v>907827.9</v>
      </c>
      <c r="H16" s="264">
        <v>1046360.7</v>
      </c>
      <c r="I16" s="264">
        <v>1030852.2</v>
      </c>
      <c r="J16" s="265">
        <v>1122424.8</v>
      </c>
      <c r="K16" s="265">
        <v>1142553.3</v>
      </c>
      <c r="L16" s="265">
        <v>998959.5</v>
      </c>
      <c r="M16" s="371">
        <v>891912</v>
      </c>
      <c r="N16" s="371">
        <v>850724.7</v>
      </c>
      <c r="O16" s="372">
        <v>890435.7</v>
      </c>
      <c r="P16" s="216">
        <f t="shared" si="0"/>
        <v>11524279.199999999</v>
      </c>
      <c r="Q16" s="362">
        <f t="shared" si="1"/>
        <v>6000000</v>
      </c>
      <c r="R16" s="362">
        <f>R$2*12-SUM($Q16:Q16)-SUMPRODUCT(--($D16:$O16&lt;=R$2),R$2-$D16:$O16)</f>
        <v>5524279.200000003</v>
      </c>
      <c r="S16" s="362">
        <f>S$2*12-SUM($Q16:R16)-SUMPRODUCT(--($D16:$O16&lt;=S$2),S$2-$D16:$O16)</f>
        <v>0</v>
      </c>
      <c r="T16" s="258"/>
    </row>
    <row r="17" spans="1:20">
      <c r="A17" s="156">
        <v>14</v>
      </c>
      <c r="B17" s="377"/>
      <c r="C17" s="378"/>
      <c r="D17" s="264">
        <v>1041768</v>
      </c>
      <c r="E17" s="264">
        <v>961987.2</v>
      </c>
      <c r="F17" s="264">
        <v>979598.4</v>
      </c>
      <c r="G17" s="264">
        <v>998028</v>
      </c>
      <c r="H17" s="264">
        <v>1073128.8</v>
      </c>
      <c r="I17" s="264">
        <v>963899.4</v>
      </c>
      <c r="J17" s="265">
        <v>1020265.2</v>
      </c>
      <c r="K17" s="265">
        <v>951238.2</v>
      </c>
      <c r="L17" s="265">
        <v>939187.19999999995</v>
      </c>
      <c r="M17" s="374">
        <v>1032136.8</v>
      </c>
      <c r="N17" s="374">
        <v>791913</v>
      </c>
      <c r="O17" s="373">
        <v>874927.2</v>
      </c>
      <c r="P17" s="216">
        <f t="shared" si="0"/>
        <v>11628077.4</v>
      </c>
      <c r="Q17" s="362">
        <f t="shared" si="1"/>
        <v>6000000</v>
      </c>
      <c r="R17" s="362">
        <f>R$2*12-SUM($Q17:Q17)-SUMPRODUCT(--($D17:$O17&lt;=R$2),R$2-$D17:$O17)</f>
        <v>5628077.4000000134</v>
      </c>
      <c r="S17" s="362">
        <f>S$2*12-SUM($Q17:R17)-SUMPRODUCT(--($D17:$O17&lt;=S$2),S$2-$D17:$O17)</f>
        <v>0</v>
      </c>
      <c r="T17" s="258"/>
    </row>
    <row r="18" spans="1:20">
      <c r="A18" s="154">
        <v>15</v>
      </c>
      <c r="B18" s="369"/>
      <c r="C18" s="370"/>
      <c r="D18" s="264">
        <v>1277908.8</v>
      </c>
      <c r="E18" s="264">
        <v>1119014.3999999999</v>
      </c>
      <c r="F18" s="264">
        <v>1207836</v>
      </c>
      <c r="G18" s="264">
        <v>1144088.3999999999</v>
      </c>
      <c r="H18" s="264">
        <v>1235388</v>
      </c>
      <c r="I18" s="264">
        <v>1242376.8</v>
      </c>
      <c r="J18" s="265">
        <v>1362211.2</v>
      </c>
      <c r="K18" s="265">
        <v>1430923.2</v>
      </c>
      <c r="L18" s="265">
        <v>1217521.2</v>
      </c>
      <c r="M18" s="371">
        <v>1178335.2</v>
      </c>
      <c r="N18" s="374">
        <v>1179502.8</v>
      </c>
      <c r="O18" s="372">
        <v>1089341.3999999999</v>
      </c>
      <c r="P18" s="216">
        <f t="shared" si="0"/>
        <v>14684447.399999999</v>
      </c>
      <c r="Q18" s="362">
        <f t="shared" si="1"/>
        <v>6000000</v>
      </c>
      <c r="R18" s="362">
        <f>R$2*12-SUM($Q18:Q18)-SUMPRODUCT(--($D18:$O18&lt;=R$2),R$2-$D18:$O18)</f>
        <v>8684447.400000006</v>
      </c>
      <c r="S18" s="362">
        <f>S$2*12-SUM($Q18:R18)-SUMPRODUCT(--($D18:$O18&lt;=S$2),S$2-$D18:$O18)</f>
        <v>0</v>
      </c>
      <c r="T18" s="258"/>
    </row>
    <row r="19" spans="1:20">
      <c r="A19" s="154">
        <v>16</v>
      </c>
      <c r="B19" s="369"/>
      <c r="C19" s="370"/>
      <c r="D19" s="264">
        <v>2443134.4</v>
      </c>
      <c r="E19" s="264">
        <v>2144335.2000000002</v>
      </c>
      <c r="F19" s="264">
        <v>2337361.6</v>
      </c>
      <c r="G19" s="264">
        <v>2038019.2</v>
      </c>
      <c r="H19" s="264">
        <v>1872600.8</v>
      </c>
      <c r="I19" s="264">
        <v>1966053.6</v>
      </c>
      <c r="J19" s="265">
        <v>2046626.4</v>
      </c>
      <c r="K19" s="265">
        <v>1872029.6</v>
      </c>
      <c r="L19" s="265">
        <v>1706678.4</v>
      </c>
      <c r="M19" s="371">
        <v>2161275.2000000002</v>
      </c>
      <c r="N19" s="371">
        <v>2097821.6</v>
      </c>
      <c r="O19" s="372">
        <v>2095228.8</v>
      </c>
      <c r="P19" s="216">
        <f t="shared" si="0"/>
        <v>24781164.800000001</v>
      </c>
      <c r="Q19" s="362">
        <f t="shared" si="1"/>
        <v>6000000</v>
      </c>
      <c r="R19" s="362">
        <f>R$2*12-SUM($Q19:Q19)-SUMPRODUCT(--($D19:$O19&lt;=R$2),R$2-$D19:$O19)</f>
        <v>18781164.800000004</v>
      </c>
      <c r="S19" s="362">
        <f>S$2*12-SUM($Q19:R19)-SUMPRODUCT(--($D19:$O19&lt;=S$2),S$2-$D19:$O19)</f>
        <v>0</v>
      </c>
      <c r="T19" s="258"/>
    </row>
    <row r="20" spans="1:20">
      <c r="A20" s="154">
        <v>17</v>
      </c>
      <c r="B20" s="369"/>
      <c r="C20" s="370"/>
      <c r="D20" s="264">
        <v>2625235.2000000002</v>
      </c>
      <c r="E20" s="264">
        <v>2513677.6</v>
      </c>
      <c r="F20" s="264">
        <v>2712830.4</v>
      </c>
      <c r="G20" s="264">
        <v>2454127.2000000002</v>
      </c>
      <c r="H20" s="264">
        <v>2385269.6</v>
      </c>
      <c r="I20" s="264">
        <v>2260983.2000000002</v>
      </c>
      <c r="J20" s="265">
        <v>2338896</v>
      </c>
      <c r="K20" s="265">
        <v>2448112.7999999998</v>
      </c>
      <c r="L20" s="264">
        <v>2425589.6</v>
      </c>
      <c r="M20" s="371">
        <v>2592273.6</v>
      </c>
      <c r="N20" s="371">
        <v>2521019.2000000002</v>
      </c>
      <c r="O20" s="373">
        <v>2595868.7999999998</v>
      </c>
      <c r="P20" s="216">
        <f t="shared" si="0"/>
        <v>29873883.200000007</v>
      </c>
      <c r="Q20" s="362">
        <f t="shared" si="1"/>
        <v>6000000</v>
      </c>
      <c r="R20" s="362">
        <f>R$2*12-SUM($Q20:Q20)-SUMPRODUCT(--($D20:$O20&lt;=R$2),R$2-$D20:$O20)</f>
        <v>23873883.200000003</v>
      </c>
      <c r="S20" s="362">
        <f>S$2*12-SUM($Q20:R20)-SUMPRODUCT(--($D20:$O20&lt;=S$2),S$2-$D20:$O20)</f>
        <v>0</v>
      </c>
      <c r="T20" s="258"/>
    </row>
    <row r="21" spans="1:20">
      <c r="A21" s="154">
        <v>18</v>
      </c>
      <c r="B21" s="369"/>
      <c r="C21" s="370"/>
      <c r="D21" s="264">
        <v>4074088.47</v>
      </c>
      <c r="E21" s="264">
        <v>3735432.08</v>
      </c>
      <c r="F21" s="264">
        <v>3894820</v>
      </c>
      <c r="G21" s="264">
        <v>3475766.9</v>
      </c>
      <c r="H21" s="264">
        <v>3975953.7</v>
      </c>
      <c r="I21" s="264">
        <v>4146438.3</v>
      </c>
      <c r="J21" s="265">
        <v>4743233.49</v>
      </c>
      <c r="K21" s="265">
        <v>5200295.8899999997</v>
      </c>
      <c r="L21" s="265">
        <v>4225127.6900000004</v>
      </c>
      <c r="M21" s="371">
        <v>3955310.27</v>
      </c>
      <c r="N21" s="371">
        <v>4073921.27</v>
      </c>
      <c r="O21" s="373">
        <v>4189061</v>
      </c>
      <c r="P21" s="216">
        <f t="shared" si="0"/>
        <v>49689449.06000001</v>
      </c>
      <c r="Q21" s="362">
        <f t="shared" si="1"/>
        <v>6000000</v>
      </c>
      <c r="R21" s="362">
        <f>R$2*12-SUM($Q21:Q21)-SUMPRODUCT(--($D21:$O21&lt;=R$2),R$2-$D21:$O21)</f>
        <v>43689449.060000002</v>
      </c>
      <c r="S21" s="362">
        <f>S$2*12-SUM($Q21:R21)-SUMPRODUCT(--($D21:$O21&lt;=S$2),S$2-$D21:$O21)</f>
        <v>0</v>
      </c>
      <c r="T21" s="258"/>
    </row>
    <row r="22" spans="1:20">
      <c r="A22" s="154">
        <v>19</v>
      </c>
      <c r="B22" s="369"/>
      <c r="C22" s="370"/>
      <c r="D22" s="264">
        <v>3338542.2</v>
      </c>
      <c r="E22" s="264">
        <v>3082228.8</v>
      </c>
      <c r="F22" s="264">
        <v>3179446.2</v>
      </c>
      <c r="G22" s="264">
        <v>2963473.8</v>
      </c>
      <c r="H22" s="264">
        <v>2905484.4</v>
      </c>
      <c r="I22" s="264">
        <v>2736304.2</v>
      </c>
      <c r="J22" s="265">
        <v>2831325</v>
      </c>
      <c r="K22" s="265">
        <v>2882762.4010000001</v>
      </c>
      <c r="L22" s="265">
        <v>2935837.8</v>
      </c>
      <c r="M22" s="371">
        <v>3192197.4</v>
      </c>
      <c r="N22" s="371">
        <v>3254874</v>
      </c>
      <c r="O22" s="372">
        <v>3400227.6</v>
      </c>
      <c r="P22" s="216">
        <f t="shared" si="0"/>
        <v>36702703.800999999</v>
      </c>
      <c r="Q22" s="362">
        <f t="shared" si="1"/>
        <v>6000000</v>
      </c>
      <c r="R22" s="362">
        <f>R$2*12-SUM($Q22:Q22)-SUMPRODUCT(--($D22:$O22&lt;=R$2),R$2-$D22:$O22)</f>
        <v>30702703.800999999</v>
      </c>
      <c r="S22" s="362">
        <f>S$2*12-SUM($Q22:R22)-SUMPRODUCT(--($D22:$O22&lt;=S$2),S$2-$D22:$O22)</f>
        <v>0</v>
      </c>
      <c r="T22" s="258"/>
    </row>
    <row r="23" spans="1:20">
      <c r="A23" s="154">
        <v>20</v>
      </c>
      <c r="B23" s="369"/>
      <c r="C23" s="370"/>
      <c r="D23" s="266">
        <v>3026576</v>
      </c>
      <c r="E23" s="266">
        <v>2990184</v>
      </c>
      <c r="F23" s="266">
        <v>3046976</v>
      </c>
      <c r="G23" s="266">
        <v>2713032</v>
      </c>
      <c r="H23" s="266">
        <v>2616832</v>
      </c>
      <c r="I23" s="266">
        <v>2535008</v>
      </c>
      <c r="J23" s="266">
        <v>2541848</v>
      </c>
      <c r="K23" s="266">
        <v>2592288</v>
      </c>
      <c r="L23" s="266">
        <v>2438608</v>
      </c>
      <c r="M23" s="379">
        <v>2575288</v>
      </c>
      <c r="N23" s="379">
        <v>2593312</v>
      </c>
      <c r="O23" s="380">
        <v>2605920</v>
      </c>
      <c r="P23" s="391">
        <f t="shared" si="0"/>
        <v>32275872</v>
      </c>
      <c r="Q23" s="362">
        <f t="shared" si="1"/>
        <v>6000000</v>
      </c>
      <c r="R23" s="362">
        <f>R$2*12-SUM($Q23:Q23)-SUMPRODUCT(--($D23:$O23&lt;=R$2),R$2-$D23:$O23)</f>
        <v>26275872</v>
      </c>
      <c r="S23" s="362">
        <f>S$2*12-SUM($Q23:R23)-SUMPRODUCT(--($D23:$O23&lt;=S$2),S$2-$D23:$O23)</f>
        <v>0</v>
      </c>
      <c r="T23" s="258"/>
    </row>
    <row r="24" spans="1:20">
      <c r="A24" s="154">
        <v>21</v>
      </c>
      <c r="B24" s="369"/>
      <c r="C24" s="370"/>
      <c r="D24" s="266">
        <v>2366302.4</v>
      </c>
      <c r="E24" s="266">
        <v>2198089.6</v>
      </c>
      <c r="F24" s="266">
        <v>2276612.7999999998</v>
      </c>
      <c r="G24" s="266">
        <v>2306925.6</v>
      </c>
      <c r="H24" s="266">
        <v>2288518.4</v>
      </c>
      <c r="I24" s="266">
        <v>2609135.2000000002</v>
      </c>
      <c r="J24" s="266">
        <v>3090948</v>
      </c>
      <c r="K24" s="266">
        <v>3605996.8</v>
      </c>
      <c r="L24" s="266">
        <v>3042250.4</v>
      </c>
      <c r="M24" s="381">
        <v>2602236</v>
      </c>
      <c r="N24" s="381">
        <v>2213898.4</v>
      </c>
      <c r="O24" s="382">
        <v>2088850.4</v>
      </c>
      <c r="P24" s="391">
        <f t="shared" si="0"/>
        <v>30689763.999999996</v>
      </c>
      <c r="Q24" s="362">
        <f t="shared" si="1"/>
        <v>6000000</v>
      </c>
      <c r="R24" s="362">
        <f>R$2*12-SUM($Q24:Q24)-SUMPRODUCT(--($D24:$O24&lt;=R$2),R$2-$D24:$O24)</f>
        <v>24689764</v>
      </c>
      <c r="S24" s="362">
        <f>S$2*12-SUM($Q24:R24)-SUMPRODUCT(--($D24:$O24&lt;=S$2),S$2-$D24:$O24)</f>
        <v>0</v>
      </c>
      <c r="T24" s="258"/>
    </row>
    <row r="25" spans="1:20">
      <c r="A25" s="154">
        <v>22</v>
      </c>
      <c r="B25" s="369"/>
      <c r="C25" s="370"/>
      <c r="D25" s="266">
        <v>756162.4</v>
      </c>
      <c r="E25" s="266">
        <v>715803.2</v>
      </c>
      <c r="F25" s="266">
        <v>698616.8</v>
      </c>
      <c r="G25" s="266">
        <v>760233.6</v>
      </c>
      <c r="H25" s="266">
        <v>810712</v>
      </c>
      <c r="I25" s="266">
        <v>771814.40000000002</v>
      </c>
      <c r="J25" s="266">
        <v>766337.6</v>
      </c>
      <c r="K25" s="266">
        <v>799288</v>
      </c>
      <c r="L25" s="266">
        <v>783356</v>
      </c>
      <c r="M25" s="381">
        <v>2483056.7999999998</v>
      </c>
      <c r="N25" s="381">
        <v>2890652.8</v>
      </c>
      <c r="O25" s="382">
        <v>2797082.4</v>
      </c>
      <c r="P25" s="391">
        <f t="shared" si="0"/>
        <v>15033116.000000002</v>
      </c>
      <c r="Q25" s="362">
        <f t="shared" si="1"/>
        <v>6000000</v>
      </c>
      <c r="R25" s="362">
        <f>R$2*12-SUM($Q25:Q25)-SUMPRODUCT(--($D25:$O25&lt;=R$2),R$2-$D25:$O25)</f>
        <v>9033115.9999999925</v>
      </c>
      <c r="S25" s="362">
        <f>S$2*12-SUM($Q25:R25)-SUMPRODUCT(--($D25:$O25&lt;=S$2),S$2-$D25:$O25)</f>
        <v>0</v>
      </c>
      <c r="T25" s="258"/>
    </row>
    <row r="26" spans="1:20">
      <c r="A26" s="154">
        <v>23</v>
      </c>
      <c r="B26" s="369"/>
      <c r="C26" s="370"/>
      <c r="D26" s="264">
        <v>900862.2</v>
      </c>
      <c r="E26" s="264">
        <v>857476.2</v>
      </c>
      <c r="F26" s="264">
        <v>846148.8</v>
      </c>
      <c r="G26" s="264">
        <v>766487.4</v>
      </c>
      <c r="H26" s="264">
        <v>827744.4</v>
      </c>
      <c r="I26" s="264">
        <v>800738.4</v>
      </c>
      <c r="J26" s="265">
        <v>837921</v>
      </c>
      <c r="K26" s="265">
        <v>860076</v>
      </c>
      <c r="L26" s="265">
        <v>779373</v>
      </c>
      <c r="M26" s="371">
        <v>846573</v>
      </c>
      <c r="N26" s="371">
        <v>830373.6</v>
      </c>
      <c r="O26" s="372">
        <v>815283</v>
      </c>
      <c r="P26" s="216">
        <f t="shared" si="0"/>
        <v>9969057</v>
      </c>
      <c r="Q26" s="460">
        <f t="shared" si="1"/>
        <v>6000000</v>
      </c>
      <c r="R26" s="460">
        <f>R$2*12-SUM($Q26:Q26)-SUMPRODUCT(--($D26:$O26&lt;=R$2),R$2-$D26:$O26)</f>
        <v>3969057</v>
      </c>
      <c r="S26" s="460">
        <f>S$2*12-SUM($Q26:R26)-SUMPRODUCT(--($D26:$O26&lt;=S$2),S$2-$D26:$O26)</f>
        <v>0</v>
      </c>
      <c r="T26" s="258"/>
    </row>
    <row r="27" spans="1:20" ht="13.5" thickBot="1">
      <c r="A27"/>
      <c r="B27" t="s">
        <v>2184</v>
      </c>
      <c r="C27"/>
      <c r="D27" s="267">
        <f t="shared" ref="D27:O27" si="2">SUM(D4:D26)</f>
        <v>91254361.87000002</v>
      </c>
      <c r="E27" s="267">
        <f t="shared" si="2"/>
        <v>85256588.479999989</v>
      </c>
      <c r="F27" s="267">
        <f t="shared" si="2"/>
        <v>90115026.299999997</v>
      </c>
      <c r="G27" s="267">
        <f t="shared" si="2"/>
        <v>81790111.900000006</v>
      </c>
      <c r="H27" s="267">
        <f t="shared" si="2"/>
        <v>92286223.400000006</v>
      </c>
      <c r="I27" s="267">
        <f t="shared" si="2"/>
        <v>90662369.600000024</v>
      </c>
      <c r="J27" s="267">
        <f t="shared" si="2"/>
        <v>96315787.589999989</v>
      </c>
      <c r="K27" s="267">
        <f t="shared" si="2"/>
        <v>98229503.840999976</v>
      </c>
      <c r="L27" s="267">
        <f t="shared" si="2"/>
        <v>91866248.394000009</v>
      </c>
      <c r="M27" s="267">
        <f t="shared" si="2"/>
        <v>93890910.769999996</v>
      </c>
      <c r="N27" s="267">
        <f t="shared" si="2"/>
        <v>82979731.169999987</v>
      </c>
      <c r="O27" s="267">
        <f t="shared" si="2"/>
        <v>91254718.000000015</v>
      </c>
      <c r="P27" s="386">
        <f>IF(ROUND(SUM(P4:P26),0)&lt;&gt;ROUND(SUM(D27:O27),0),#VALUE!,SUM(P4:P26))</f>
        <v>1085901581.3150001</v>
      </c>
      <c r="Q27" s="461">
        <f>SUM(Q4:Q26)</f>
        <v>138000000</v>
      </c>
      <c r="R27" s="461">
        <f>SUM(R4:R26)</f>
        <v>564644246.71499991</v>
      </c>
      <c r="S27" s="461">
        <f>SUM(S4:S26)</f>
        <v>383257334.60000014</v>
      </c>
      <c r="T27" s="258"/>
    </row>
    <row r="28" spans="1:20" ht="13.5" thickTop="1">
      <c r="A28"/>
      <c r="B28"/>
      <c r="C28"/>
      <c r="D28" s="77"/>
      <c r="E28" s="77"/>
      <c r="F28" s="77"/>
      <c r="G28" s="77"/>
      <c r="H28" s="77"/>
      <c r="I28" s="77"/>
      <c r="J28" s="77"/>
      <c r="K28" s="77"/>
      <c r="L28" s="77"/>
      <c r="M28"/>
      <c r="N28"/>
      <c r="O28"/>
      <c r="P28" s="387"/>
      <c r="Q28" s="364"/>
      <c r="R28" s="364"/>
      <c r="S28" s="365">
        <f>SUM(Q27:S27)</f>
        <v>1085901581.3150001</v>
      </c>
      <c r="T28" s="258"/>
    </row>
    <row r="29" spans="1:20" ht="12.75" customHeight="1">
      <c r="A29" s="154" t="s">
        <v>416</v>
      </c>
      <c r="D29" s="264">
        <v>92475540.937000006</v>
      </c>
      <c r="E29" s="264">
        <v>91334911.620000005</v>
      </c>
      <c r="F29" s="264">
        <v>85256588.480000004</v>
      </c>
      <c r="G29" s="264">
        <v>90115026.299999997</v>
      </c>
      <c r="H29" s="264">
        <v>81790111.900000006</v>
      </c>
      <c r="I29" s="264">
        <v>92286223.400000006</v>
      </c>
      <c r="J29" s="264">
        <v>90638942</v>
      </c>
      <c r="K29" s="264">
        <v>96199701.689999998</v>
      </c>
      <c r="L29" s="264">
        <v>98369017.341000006</v>
      </c>
      <c r="M29" s="264">
        <v>91866248.393999994</v>
      </c>
      <c r="N29" s="264">
        <v>93890910.769999996</v>
      </c>
      <c r="O29" s="264">
        <v>82979731.170000002</v>
      </c>
      <c r="P29" s="388">
        <f>SUM(D29:O29)</f>
        <v>1087202954.0019999</v>
      </c>
      <c r="Q29" s="258"/>
      <c r="R29" s="258"/>
      <c r="S29" s="258"/>
      <c r="T29" s="258"/>
    </row>
    <row r="30" spans="1:20" ht="12.75" customHeight="1">
      <c r="A30" s="190" t="s">
        <v>2322</v>
      </c>
      <c r="B30" s="190"/>
      <c r="C30" s="190"/>
      <c r="D30" s="264">
        <v>91484247</v>
      </c>
      <c r="E30" s="264">
        <v>84934068</v>
      </c>
      <c r="F30" s="264">
        <v>89487500</v>
      </c>
      <c r="G30" s="264">
        <v>79454560</v>
      </c>
      <c r="H30" s="264">
        <v>92015166</v>
      </c>
      <c r="I30" s="264">
        <v>91195162</v>
      </c>
      <c r="J30" s="264">
        <v>95775976</v>
      </c>
      <c r="K30" s="264">
        <v>94768404</v>
      </c>
      <c r="L30" s="264">
        <v>91927127</v>
      </c>
      <c r="M30" s="264">
        <v>93727705</v>
      </c>
      <c r="N30" s="264">
        <v>83601582</v>
      </c>
      <c r="O30" s="264">
        <v>90893021</v>
      </c>
      <c r="P30" s="388">
        <f t="shared" ref="P30:P36" si="3">SUM(D30:O30)</f>
        <v>1079264518</v>
      </c>
      <c r="Q30" s="258"/>
      <c r="R30" s="258"/>
      <c r="S30" s="258"/>
      <c r="T30" s="258"/>
    </row>
    <row r="31" spans="1:20" ht="12.75" customHeight="1">
      <c r="A31" s="190" t="s">
        <v>2321</v>
      </c>
      <c r="B31" s="190"/>
      <c r="C31" s="190"/>
      <c r="D31" s="264">
        <v>-92515285</v>
      </c>
      <c r="E31" s="264">
        <v>-91484247</v>
      </c>
      <c r="F31" s="264">
        <v>-84934068</v>
      </c>
      <c r="G31" s="264">
        <v>-89487500</v>
      </c>
      <c r="H31" s="264">
        <v>-79454560</v>
      </c>
      <c r="I31" s="264">
        <v>-92015166</v>
      </c>
      <c r="J31" s="264">
        <v>-91195162</v>
      </c>
      <c r="K31" s="264">
        <v>-95775976</v>
      </c>
      <c r="L31" s="264">
        <v>-94768404</v>
      </c>
      <c r="M31" s="264">
        <v>-91927127</v>
      </c>
      <c r="N31" s="264">
        <v>-93727705</v>
      </c>
      <c r="O31" s="264">
        <v>-83601582</v>
      </c>
      <c r="P31" s="388">
        <f t="shared" si="3"/>
        <v>-1080886782</v>
      </c>
      <c r="Q31"/>
      <c r="R31"/>
      <c r="S31"/>
      <c r="T31"/>
    </row>
    <row r="32" spans="1:20" ht="12.75" customHeight="1">
      <c r="A32" s="190" t="s">
        <v>2523</v>
      </c>
      <c r="B32" s="190"/>
      <c r="C32" s="190"/>
      <c r="D32" s="383">
        <f>SUM(D29:D31)</f>
        <v>91444502.937000006</v>
      </c>
      <c r="E32" s="383">
        <f t="shared" ref="E32:P32" si="4">SUM(E29:E31)</f>
        <v>84784732.620000005</v>
      </c>
      <c r="F32" s="383">
        <f t="shared" si="4"/>
        <v>89810020.480000019</v>
      </c>
      <c r="G32" s="383">
        <f t="shared" si="4"/>
        <v>80082086.300000012</v>
      </c>
      <c r="H32" s="383">
        <f t="shared" si="4"/>
        <v>94350717.900000006</v>
      </c>
      <c r="I32" s="383">
        <f t="shared" si="4"/>
        <v>91466219.400000006</v>
      </c>
      <c r="J32" s="383">
        <f t="shared" si="4"/>
        <v>95219756</v>
      </c>
      <c r="K32" s="383">
        <f t="shared" si="4"/>
        <v>95192129.689999998</v>
      </c>
      <c r="L32" s="383">
        <f t="shared" si="4"/>
        <v>95527740.341000021</v>
      </c>
      <c r="M32" s="383">
        <f t="shared" si="4"/>
        <v>93666826.393999994</v>
      </c>
      <c r="N32" s="383">
        <f t="shared" si="4"/>
        <v>83764787.769999981</v>
      </c>
      <c r="O32" s="383">
        <f t="shared" si="4"/>
        <v>90271170.170000017</v>
      </c>
      <c r="P32" s="389">
        <f t="shared" si="4"/>
        <v>1085580690.0019999</v>
      </c>
      <c r="Q32"/>
      <c r="R32"/>
      <c r="S32"/>
      <c r="T32"/>
    </row>
    <row r="33" spans="1:20" ht="12.75" customHeight="1">
      <c r="A33" s="191" t="s">
        <v>2324</v>
      </c>
      <c r="B33" s="191"/>
      <c r="C33" s="191"/>
      <c r="D33" s="264">
        <f>D27-D32-D34</f>
        <v>-229885.12999998033</v>
      </c>
      <c r="E33" s="264">
        <f>E27-E32-E34</f>
        <v>241970.73000000417</v>
      </c>
      <c r="F33" s="264">
        <f>F27-F32-F34</f>
        <v>546976.54999998212</v>
      </c>
      <c r="G33" s="264">
        <f>G27-G32-G34</f>
        <v>2255002.1499999762</v>
      </c>
      <c r="H33" s="264">
        <f t="shared" ref="H33:O33" si="5">H27-H32-H34</f>
        <v>190507.64999997616</v>
      </c>
      <c r="I33" s="264">
        <f t="shared" si="5"/>
        <v>-613342.15000000596</v>
      </c>
      <c r="J33" s="264">
        <f t="shared" si="5"/>
        <v>482689.43999998271</v>
      </c>
      <c r="K33" s="264">
        <f t="shared" si="5"/>
        <v>3520063.5909999609</v>
      </c>
      <c r="L33" s="264">
        <f t="shared" si="5"/>
        <v>-141428.3560000509</v>
      </c>
      <c r="M33" s="384">
        <f t="shared" si="5"/>
        <v>82656.019999951124</v>
      </c>
      <c r="N33" s="384">
        <f t="shared" si="5"/>
        <v>-702400.58000004292</v>
      </c>
      <c r="O33" s="384">
        <f t="shared" si="5"/>
        <v>281147.2499999553</v>
      </c>
      <c r="P33" s="388">
        <f t="shared" si="3"/>
        <v>5913957.1649997085</v>
      </c>
      <c r="Q33"/>
      <c r="R33"/>
      <c r="S33"/>
      <c r="T33"/>
    </row>
    <row r="34" spans="1:20" ht="12.75" customHeight="1">
      <c r="A34" s="191" t="s">
        <v>2325</v>
      </c>
      <c r="B34" s="191"/>
      <c r="C34" s="191"/>
      <c r="D34" s="264">
        <f>-(D29+D31)</f>
        <v>39744.062999993563</v>
      </c>
      <c r="E34" s="264">
        <f>-D33</f>
        <v>229885.12999998033</v>
      </c>
      <c r="F34" s="264">
        <f>-E33</f>
        <v>-241970.73000000417</v>
      </c>
      <c r="G34" s="264">
        <f>-F33</f>
        <v>-546976.54999998212</v>
      </c>
      <c r="H34" s="264">
        <f t="shared" ref="H34:O34" si="6">-G33</f>
        <v>-2255002.1499999762</v>
      </c>
      <c r="I34" s="264">
        <f t="shared" si="6"/>
        <v>-190507.64999997616</v>
      </c>
      <c r="J34" s="264">
        <f t="shared" si="6"/>
        <v>613342.15000000596</v>
      </c>
      <c r="K34" s="264">
        <f t="shared" si="6"/>
        <v>-482689.43999998271</v>
      </c>
      <c r="L34" s="264">
        <f t="shared" si="6"/>
        <v>-3520063.5909999609</v>
      </c>
      <c r="M34" s="384">
        <f t="shared" si="6"/>
        <v>141428.3560000509</v>
      </c>
      <c r="N34" s="384">
        <f t="shared" si="6"/>
        <v>-82656.019999951124</v>
      </c>
      <c r="O34" s="384">
        <f t="shared" si="6"/>
        <v>702400.58000004292</v>
      </c>
      <c r="P34" s="388">
        <f t="shared" si="3"/>
        <v>-5593065.8519997597</v>
      </c>
      <c r="Q34"/>
      <c r="R34"/>
      <c r="S34"/>
      <c r="T34"/>
    </row>
    <row r="35" spans="1:20" ht="12.75" customHeight="1">
      <c r="A35" s="191"/>
      <c r="B35" s="191"/>
      <c r="C35" s="191"/>
      <c r="D35" s="264"/>
      <c r="E35" s="264"/>
      <c r="F35" s="264"/>
      <c r="G35" s="264"/>
      <c r="H35" s="264"/>
      <c r="I35" s="264"/>
      <c r="J35" s="264"/>
      <c r="K35" s="264"/>
      <c r="L35" s="264"/>
      <c r="M35" s="384"/>
      <c r="N35" s="384"/>
      <c r="O35" s="384"/>
      <c r="P35" s="388">
        <f t="shared" si="3"/>
        <v>0</v>
      </c>
      <c r="Q35"/>
      <c r="R35"/>
      <c r="S35"/>
      <c r="T35"/>
    </row>
    <row r="36" spans="1:20" ht="12.75" customHeight="1">
      <c r="A36"/>
      <c r="B36" s="268"/>
      <c r="C36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388">
        <f t="shared" si="3"/>
        <v>0</v>
      </c>
      <c r="Q36"/>
      <c r="R36"/>
      <c r="S36"/>
      <c r="T36"/>
    </row>
    <row r="37" spans="1:20" ht="12" customHeight="1" thickBot="1">
      <c r="A37"/>
      <c r="B37" s="269" t="s">
        <v>2365</v>
      </c>
      <c r="C37"/>
      <c r="D37" s="385">
        <f>SUM(D32:D36)</f>
        <v>91254361.87000002</v>
      </c>
      <c r="E37" s="385">
        <f t="shared" ref="E37:O37" si="7">SUM(E32:E36)</f>
        <v>85256588.479999989</v>
      </c>
      <c r="F37" s="385">
        <f t="shared" si="7"/>
        <v>90115026.299999997</v>
      </c>
      <c r="G37" s="385">
        <f t="shared" si="7"/>
        <v>81790111.900000006</v>
      </c>
      <c r="H37" s="385">
        <f t="shared" si="7"/>
        <v>92286223.400000006</v>
      </c>
      <c r="I37" s="385">
        <f t="shared" si="7"/>
        <v>90662369.600000024</v>
      </c>
      <c r="J37" s="385">
        <f t="shared" si="7"/>
        <v>96315787.589999989</v>
      </c>
      <c r="K37" s="385">
        <f t="shared" si="7"/>
        <v>98229503.840999976</v>
      </c>
      <c r="L37" s="385">
        <f t="shared" si="7"/>
        <v>91866248.394000009</v>
      </c>
      <c r="M37" s="385">
        <f t="shared" si="7"/>
        <v>93890910.769999996</v>
      </c>
      <c r="N37" s="385">
        <f t="shared" si="7"/>
        <v>82979731.169999987</v>
      </c>
      <c r="O37" s="385">
        <f t="shared" si="7"/>
        <v>91254718.000000015</v>
      </c>
      <c r="P37" s="390">
        <f>IF(ROUND(SUM(P32:P36),0)&lt;&gt;ROUND(SUM(D37:O37),0),#VALUE!,SUM(P32:P36))</f>
        <v>1085901581.3149998</v>
      </c>
      <c r="Q37"/>
      <c r="R37" s="2">
        <f>P37-P29</f>
        <v>-1301372.6870000362</v>
      </c>
      <c r="S37"/>
      <c r="T37"/>
    </row>
    <row r="38" spans="1:20" ht="12.6" customHeight="1" thickTop="1">
      <c r="A38"/>
      <c r="B38" s="269"/>
      <c r="C38"/>
      <c r="D38" s="270">
        <f t="shared" ref="D38:P38" si="8">D37-D27</f>
        <v>0</v>
      </c>
      <c r="E38" s="270">
        <f t="shared" si="8"/>
        <v>0</v>
      </c>
      <c r="F38" s="270">
        <f t="shared" si="8"/>
        <v>0</v>
      </c>
      <c r="G38" s="270">
        <f t="shared" si="8"/>
        <v>0</v>
      </c>
      <c r="H38" s="270">
        <f t="shared" si="8"/>
        <v>0</v>
      </c>
      <c r="I38" s="270">
        <f t="shared" si="8"/>
        <v>0</v>
      </c>
      <c r="J38" s="270">
        <f t="shared" si="8"/>
        <v>0</v>
      </c>
      <c r="K38" s="270">
        <f t="shared" si="8"/>
        <v>0</v>
      </c>
      <c r="L38" s="270">
        <f t="shared" si="8"/>
        <v>0</v>
      </c>
      <c r="M38" s="270">
        <f t="shared" si="8"/>
        <v>0</v>
      </c>
      <c r="N38" s="270">
        <f t="shared" si="8"/>
        <v>0</v>
      </c>
      <c r="O38" s="270">
        <f t="shared" si="8"/>
        <v>0</v>
      </c>
      <c r="P38" s="270">
        <f t="shared" si="8"/>
        <v>0</v>
      </c>
      <c r="Q38"/>
      <c r="R38" s="2">
        <f>P37-P32</f>
        <v>320891.31299996376</v>
      </c>
      <c r="S38"/>
      <c r="T38"/>
    </row>
    <row r="39" spans="1:20">
      <c r="A39"/>
      <c r="B39" s="271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1"/>
      <c r="N39" s="271"/>
      <c r="O39" s="273"/>
      <c r="P39" s="274"/>
      <c r="Q39"/>
      <c r="R39"/>
      <c r="S39"/>
      <c r="T39"/>
    </row>
    <row r="40" spans="1:20">
      <c r="A40"/>
      <c r="B40" s="271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1"/>
      <c r="N40" s="271"/>
      <c r="O40" s="273"/>
      <c r="P40"/>
      <c r="Q40"/>
      <c r="R40"/>
      <c r="S40"/>
      <c r="T40"/>
    </row>
    <row r="41" spans="1:20">
      <c r="A41"/>
      <c r="B41" s="263" t="s">
        <v>2326</v>
      </c>
      <c r="C41"/>
      <c r="D41" s="275">
        <f t="shared" ref="D41:O41" si="9">D$3</f>
        <v>43466</v>
      </c>
      <c r="E41" s="275">
        <f t="shared" si="9"/>
        <v>43497</v>
      </c>
      <c r="F41" s="275">
        <f t="shared" si="9"/>
        <v>43525</v>
      </c>
      <c r="G41" s="275">
        <f t="shared" si="9"/>
        <v>43556</v>
      </c>
      <c r="H41" s="275">
        <f t="shared" si="9"/>
        <v>43586</v>
      </c>
      <c r="I41" s="275">
        <f t="shared" si="9"/>
        <v>43617</v>
      </c>
      <c r="J41" s="275">
        <f t="shared" si="9"/>
        <v>43647</v>
      </c>
      <c r="K41" s="275">
        <f t="shared" si="9"/>
        <v>43678</v>
      </c>
      <c r="L41" s="275">
        <f t="shared" si="9"/>
        <v>43709</v>
      </c>
      <c r="M41" s="276">
        <f t="shared" si="9"/>
        <v>43739</v>
      </c>
      <c r="N41" s="276">
        <f t="shared" si="9"/>
        <v>43770</v>
      </c>
      <c r="O41" s="276">
        <f t="shared" si="9"/>
        <v>43800</v>
      </c>
      <c r="P41" s="262" t="s">
        <v>277</v>
      </c>
      <c r="Q41" s="261" t="s">
        <v>2327</v>
      </c>
      <c r="R41" s="261" t="s">
        <v>156</v>
      </c>
      <c r="S41" s="261"/>
      <c r="T41"/>
    </row>
    <row r="42" spans="1:20">
      <c r="A42" s="154">
        <v>1</v>
      </c>
      <c r="B42" s="207">
        <f t="shared" ref="B42:C57" si="10">B4</f>
        <v>0</v>
      </c>
      <c r="C42" s="207">
        <f t="shared" si="10"/>
        <v>0</v>
      </c>
      <c r="D42" s="264">
        <v>11235.119000000001</v>
      </c>
      <c r="E42" s="264">
        <v>13097.044</v>
      </c>
      <c r="F42" s="264">
        <v>12788.42</v>
      </c>
      <c r="G42" s="264">
        <v>11813.075999999999</v>
      </c>
      <c r="H42" s="264">
        <v>19727.5</v>
      </c>
      <c r="I42" s="264">
        <v>11694.565000000001</v>
      </c>
      <c r="J42" s="264">
        <v>10955.651</v>
      </c>
      <c r="K42" s="264">
        <v>11234.874</v>
      </c>
      <c r="L42" s="264">
        <v>11020.227000000001</v>
      </c>
      <c r="M42" s="371">
        <v>9747.6959999999999</v>
      </c>
      <c r="N42" s="371">
        <v>7452.8119999999999</v>
      </c>
      <c r="O42" s="372">
        <v>7325.1319999999996</v>
      </c>
      <c r="P42" s="216">
        <f t="shared" ref="P42:P64" si="11">SUM(D42:O42)</f>
        <v>138092.11600000001</v>
      </c>
      <c r="Q42" s="2">
        <f>MAX(D42:O42)</f>
        <v>19727.5</v>
      </c>
      <c r="R42" s="277">
        <f t="shared" ref="R42:R64" si="12">INDEX($D$41:$O$41,MATCH(Q42,$D42:$O42,0))</f>
        <v>43586</v>
      </c>
      <c r="S42" s="262"/>
      <c r="T42"/>
    </row>
    <row r="43" spans="1:20">
      <c r="A43" s="154">
        <v>2</v>
      </c>
      <c r="B43" s="207">
        <f t="shared" si="10"/>
        <v>0</v>
      </c>
      <c r="C43" s="207">
        <f t="shared" si="10"/>
        <v>0</v>
      </c>
      <c r="D43" s="264">
        <v>5486.0749999999998</v>
      </c>
      <c r="E43" s="264">
        <v>5434.125</v>
      </c>
      <c r="F43" s="264">
        <v>5276.1229999999996</v>
      </c>
      <c r="G43" s="264">
        <v>5056.1369999999997</v>
      </c>
      <c r="H43" s="264">
        <v>4983.9690000000001</v>
      </c>
      <c r="I43" s="264">
        <v>5005.4129999999996</v>
      </c>
      <c r="J43" s="264">
        <v>5087.6890000000003</v>
      </c>
      <c r="K43" s="264">
        <v>5057.6229999999996</v>
      </c>
      <c r="L43" s="264">
        <v>5126.2299999999996</v>
      </c>
      <c r="M43" s="371">
        <v>5102.8950000000004</v>
      </c>
      <c r="N43" s="371">
        <v>5137.21</v>
      </c>
      <c r="O43" s="373">
        <v>5127.7849999999999</v>
      </c>
      <c r="P43" s="216">
        <f>SUM(D43:O43)</f>
        <v>61881.274000000005</v>
      </c>
      <c r="Q43" s="2">
        <f>MAX(D43:O43)</f>
        <v>5486.0749999999998</v>
      </c>
      <c r="R43" s="277">
        <f t="shared" si="12"/>
        <v>43466</v>
      </c>
      <c r="S43" s="262"/>
      <c r="T43"/>
    </row>
    <row r="44" spans="1:20">
      <c r="A44" s="154">
        <v>3</v>
      </c>
      <c r="B44" s="207">
        <f t="shared" si="10"/>
        <v>0</v>
      </c>
      <c r="C44" s="207">
        <f t="shared" si="10"/>
        <v>0</v>
      </c>
      <c r="D44" s="264">
        <v>3170.4920000000002</v>
      </c>
      <c r="E44" s="264">
        <v>2956.6480000000001</v>
      </c>
      <c r="F44" s="264">
        <v>3009.1469999999999</v>
      </c>
      <c r="G44" s="264">
        <v>2718.489</v>
      </c>
      <c r="H44" s="264">
        <v>2604.73</v>
      </c>
      <c r="I44" s="264">
        <v>2581.2370000000001</v>
      </c>
      <c r="J44" s="264">
        <v>2646.1439999999998</v>
      </c>
      <c r="K44" s="264">
        <v>2770.75</v>
      </c>
      <c r="L44" s="264">
        <v>2656.09</v>
      </c>
      <c r="M44" s="371">
        <v>2911.7049999999999</v>
      </c>
      <c r="N44" s="371">
        <v>2818.0540000000001</v>
      </c>
      <c r="O44" s="372">
        <v>2969.598</v>
      </c>
      <c r="P44" s="216">
        <f>SUM(D44:O44)</f>
        <v>33813.084000000003</v>
      </c>
      <c r="Q44" s="2">
        <f>MAX(D44:O44)</f>
        <v>3170.4920000000002</v>
      </c>
      <c r="R44" s="277">
        <f t="shared" si="12"/>
        <v>43466</v>
      </c>
      <c r="S44" s="262"/>
      <c r="T44"/>
    </row>
    <row r="45" spans="1:20">
      <c r="A45" s="154">
        <v>4</v>
      </c>
      <c r="B45" s="207">
        <f t="shared" si="10"/>
        <v>0</v>
      </c>
      <c r="C45" s="207">
        <f t="shared" si="10"/>
        <v>0</v>
      </c>
      <c r="D45" s="264">
        <v>2775.9839999999999</v>
      </c>
      <c r="E45" s="264">
        <v>2727.2489999999998</v>
      </c>
      <c r="F45" s="264">
        <v>2695.5529999999999</v>
      </c>
      <c r="G45" s="264">
        <v>2485.556</v>
      </c>
      <c r="H45" s="264">
        <v>2523.7530000000002</v>
      </c>
      <c r="I45" s="264">
        <v>2697.9369999999999</v>
      </c>
      <c r="J45" s="264">
        <v>2645.4070000000002</v>
      </c>
      <c r="K45" s="264">
        <v>2641.172</v>
      </c>
      <c r="L45" s="264">
        <v>2607.1990000000001</v>
      </c>
      <c r="M45" s="371">
        <v>2611.6439999999998</v>
      </c>
      <c r="N45" s="371">
        <v>2852.1060000000002</v>
      </c>
      <c r="O45" s="373">
        <v>2986.779</v>
      </c>
      <c r="P45" s="216">
        <f t="shared" si="11"/>
        <v>32250.339</v>
      </c>
      <c r="Q45" s="2">
        <f>MAX(D45:O45)</f>
        <v>2986.779</v>
      </c>
      <c r="R45" s="277">
        <f t="shared" si="12"/>
        <v>43800</v>
      </c>
      <c r="S45" s="262"/>
      <c r="T45"/>
    </row>
    <row r="46" spans="1:20">
      <c r="A46" s="154">
        <v>5</v>
      </c>
      <c r="B46" s="207">
        <f t="shared" si="10"/>
        <v>0</v>
      </c>
      <c r="C46" s="207">
        <f t="shared" si="10"/>
        <v>0</v>
      </c>
      <c r="D46" s="264">
        <v>2798.1210000000001</v>
      </c>
      <c r="E46" s="264">
        <v>2925.64</v>
      </c>
      <c r="F46" s="264">
        <v>2824.83</v>
      </c>
      <c r="G46" s="264">
        <v>3132.223</v>
      </c>
      <c r="H46" s="264">
        <v>3477.3690000000001</v>
      </c>
      <c r="I46" s="264">
        <v>3747.4949999999999</v>
      </c>
      <c r="J46" s="264">
        <v>3914.42</v>
      </c>
      <c r="K46" s="264">
        <v>3810.7330000000002</v>
      </c>
      <c r="L46" s="264">
        <v>3653.3</v>
      </c>
      <c r="M46" s="371">
        <v>2698.2080000000001</v>
      </c>
      <c r="N46" s="371">
        <v>2697.904</v>
      </c>
      <c r="O46" s="372">
        <v>2856.3240000000001</v>
      </c>
      <c r="P46" s="216">
        <f t="shared" si="11"/>
        <v>38536.567000000003</v>
      </c>
      <c r="Q46" s="2">
        <f t="shared" ref="Q46:Q64" si="13">MAX(D46:O46)</f>
        <v>3914.42</v>
      </c>
      <c r="R46" s="277">
        <f t="shared" si="12"/>
        <v>43647</v>
      </c>
      <c r="S46" s="262"/>
      <c r="T46"/>
    </row>
    <row r="47" spans="1:20">
      <c r="A47" s="154">
        <v>6</v>
      </c>
      <c r="B47" s="207">
        <f t="shared" si="10"/>
        <v>0</v>
      </c>
      <c r="C47" s="207">
        <f t="shared" si="10"/>
        <v>0</v>
      </c>
      <c r="D47" s="264">
        <v>4693.9759999999997</v>
      </c>
      <c r="E47" s="264">
        <v>4607.82</v>
      </c>
      <c r="F47" s="264">
        <v>4350.3389999999999</v>
      </c>
      <c r="G47" s="264">
        <v>4168.8230000000003</v>
      </c>
      <c r="H47" s="264">
        <v>4653.5330000000004</v>
      </c>
      <c r="I47" s="264">
        <v>4532.701</v>
      </c>
      <c r="J47" s="264">
        <v>4783.741</v>
      </c>
      <c r="K47" s="264">
        <v>5478.8410000000003</v>
      </c>
      <c r="L47" s="264">
        <v>5486.0709999999999</v>
      </c>
      <c r="M47" s="371">
        <v>4220.9070000000002</v>
      </c>
      <c r="N47" s="371">
        <v>4550.799</v>
      </c>
      <c r="O47" s="372">
        <v>4495.9210000000003</v>
      </c>
      <c r="P47" s="216">
        <f t="shared" si="11"/>
        <v>56023.472000000002</v>
      </c>
      <c r="Q47" s="2">
        <f t="shared" si="13"/>
        <v>5486.0709999999999</v>
      </c>
      <c r="R47" s="277">
        <f t="shared" si="12"/>
        <v>43709</v>
      </c>
      <c r="S47" s="262"/>
      <c r="T47"/>
    </row>
    <row r="48" spans="1:20">
      <c r="A48" s="154">
        <v>7</v>
      </c>
      <c r="B48" s="207">
        <f t="shared" si="10"/>
        <v>0</v>
      </c>
      <c r="C48" s="207">
        <f t="shared" si="10"/>
        <v>0</v>
      </c>
      <c r="D48" s="264">
        <v>2837.009</v>
      </c>
      <c r="E48" s="264">
        <v>2880.2910000000002</v>
      </c>
      <c r="F48" s="264">
        <v>2821.7139999999999</v>
      </c>
      <c r="G48" s="264">
        <v>2974.2080000000001</v>
      </c>
      <c r="H48" s="264">
        <v>3029.1109999999999</v>
      </c>
      <c r="I48" s="264">
        <v>3196.0479999999998</v>
      </c>
      <c r="J48" s="264">
        <v>3339.1889999999999</v>
      </c>
      <c r="K48" s="264">
        <v>3522.6179999999999</v>
      </c>
      <c r="L48" s="264">
        <v>3280.2060000000001</v>
      </c>
      <c r="M48" s="371">
        <v>3114.7240000000002</v>
      </c>
      <c r="N48" s="371">
        <v>3080.4810000000002</v>
      </c>
      <c r="O48" s="372">
        <v>3007.6979999999999</v>
      </c>
      <c r="P48" s="216">
        <f t="shared" si="11"/>
        <v>37083.296999999991</v>
      </c>
      <c r="Q48" s="2">
        <f t="shared" si="13"/>
        <v>3522.6179999999999</v>
      </c>
      <c r="R48" s="277">
        <f t="shared" si="12"/>
        <v>43678</v>
      </c>
      <c r="S48" s="262"/>
      <c r="T48"/>
    </row>
    <row r="49" spans="1:20">
      <c r="A49" s="154">
        <v>8</v>
      </c>
      <c r="B49" s="207">
        <f t="shared" si="10"/>
        <v>0</v>
      </c>
      <c r="C49" s="207">
        <f t="shared" si="10"/>
        <v>0</v>
      </c>
      <c r="D49" s="264">
        <v>4138.03</v>
      </c>
      <c r="E49" s="264">
        <v>4134.473</v>
      </c>
      <c r="F49" s="264">
        <v>4111.0600000000004</v>
      </c>
      <c r="G49" s="264">
        <v>4134.7290000000003</v>
      </c>
      <c r="H49" s="264">
        <v>4168.1779999999999</v>
      </c>
      <c r="I49" s="264">
        <v>4212.5640000000003</v>
      </c>
      <c r="J49" s="264">
        <v>4223.6970000000001</v>
      </c>
      <c r="K49" s="264">
        <v>4273.0990000000002</v>
      </c>
      <c r="L49" s="264">
        <v>4214.49</v>
      </c>
      <c r="M49" s="371">
        <v>4157.8900000000003</v>
      </c>
      <c r="N49" s="371">
        <v>4170.9449999999997</v>
      </c>
      <c r="O49" s="373">
        <v>4257.5990000000002</v>
      </c>
      <c r="P49" s="216">
        <f t="shared" si="11"/>
        <v>50196.754000000001</v>
      </c>
      <c r="Q49" s="2">
        <f t="shared" si="13"/>
        <v>4273.0990000000002</v>
      </c>
      <c r="R49" s="277">
        <f t="shared" si="12"/>
        <v>43678</v>
      </c>
      <c r="S49" s="262"/>
      <c r="T49"/>
    </row>
    <row r="50" spans="1:20">
      <c r="A50" s="154">
        <v>9</v>
      </c>
      <c r="B50" s="207">
        <f t="shared" si="10"/>
        <v>0</v>
      </c>
      <c r="C50" s="207">
        <f t="shared" si="10"/>
        <v>0</v>
      </c>
      <c r="D50" s="264">
        <f>3000+53979.76</f>
        <v>56979.76</v>
      </c>
      <c r="E50" s="264">
        <f>3000+55491.21</f>
        <v>58491.21</v>
      </c>
      <c r="F50" s="264">
        <f>3000+57723.97</f>
        <v>60723.97</v>
      </c>
      <c r="G50" s="264">
        <f>3000+57695.18</f>
        <v>60695.18</v>
      </c>
      <c r="H50" s="264">
        <f>3000+56633.5</f>
        <v>59633.5</v>
      </c>
      <c r="I50" s="264">
        <f>3000+56915.37</f>
        <v>59915.37</v>
      </c>
      <c r="J50" s="264">
        <f>3000+57954.8</f>
        <v>60954.8</v>
      </c>
      <c r="K50" s="264">
        <f>3000+59499.94</f>
        <v>62499.94</v>
      </c>
      <c r="L50" s="264">
        <f>3000+57332.9</f>
        <v>60332.9</v>
      </c>
      <c r="M50" s="371">
        <f>3000+58348.84</f>
        <v>61348.84</v>
      </c>
      <c r="N50" s="371">
        <f>3000+58453.18</f>
        <v>61453.18</v>
      </c>
      <c r="O50" s="372">
        <f>3000+59886.96</f>
        <v>62886.96</v>
      </c>
      <c r="P50" s="216">
        <f t="shared" si="11"/>
        <v>725915.61</v>
      </c>
      <c r="Q50" s="2">
        <f t="shared" si="13"/>
        <v>62886.96</v>
      </c>
      <c r="R50" s="277">
        <f t="shared" si="12"/>
        <v>43800</v>
      </c>
      <c r="S50" s="262"/>
      <c r="T50"/>
    </row>
    <row r="51" spans="1:20">
      <c r="A51" s="154">
        <v>10</v>
      </c>
      <c r="B51" s="207">
        <f t="shared" si="10"/>
        <v>0</v>
      </c>
      <c r="C51" s="207">
        <f t="shared" si="10"/>
        <v>0</v>
      </c>
      <c r="D51" s="264">
        <v>9494.3670000000002</v>
      </c>
      <c r="E51" s="264">
        <v>8151.6930000000002</v>
      </c>
      <c r="F51" s="264">
        <v>8444.6409999999996</v>
      </c>
      <c r="G51" s="264">
        <v>8251.3700000000008</v>
      </c>
      <c r="H51" s="264">
        <v>8416.0830000000005</v>
      </c>
      <c r="I51" s="264">
        <v>8438.518</v>
      </c>
      <c r="J51" s="264">
        <v>8465.4709999999995</v>
      </c>
      <c r="K51" s="264">
        <v>8617.5730000000003</v>
      </c>
      <c r="L51" s="264">
        <v>8465.0079999999998</v>
      </c>
      <c r="M51" s="371">
        <v>8444.6409999999996</v>
      </c>
      <c r="N51" s="371">
        <v>8123.326</v>
      </c>
      <c r="O51" s="372">
        <v>8375.3729999999996</v>
      </c>
      <c r="P51" s="216">
        <f t="shared" si="11"/>
        <v>101688.06400000001</v>
      </c>
      <c r="Q51" s="2">
        <f t="shared" si="13"/>
        <v>9494.3670000000002</v>
      </c>
      <c r="R51" s="277">
        <f t="shared" si="12"/>
        <v>43466</v>
      </c>
      <c r="S51" s="262"/>
      <c r="T51"/>
    </row>
    <row r="52" spans="1:20">
      <c r="A52" s="154">
        <v>11</v>
      </c>
      <c r="B52" s="207">
        <f t="shared" si="10"/>
        <v>0</v>
      </c>
      <c r="C52" s="207">
        <f t="shared" si="10"/>
        <v>0</v>
      </c>
      <c r="D52" s="264">
        <v>8557.5769999999993</v>
      </c>
      <c r="E52" s="264">
        <v>8575.1489999999994</v>
      </c>
      <c r="F52" s="264">
        <v>8703.8919999999998</v>
      </c>
      <c r="G52" s="264">
        <v>8473.3389999999999</v>
      </c>
      <c r="H52" s="264">
        <v>8775.9770000000008</v>
      </c>
      <c r="I52" s="264">
        <v>9149.5429999999997</v>
      </c>
      <c r="J52" s="264">
        <v>8848.1560000000009</v>
      </c>
      <c r="K52" s="264">
        <v>8727.2649999999994</v>
      </c>
      <c r="L52" s="264">
        <v>8415.0239999999994</v>
      </c>
      <c r="M52" s="374">
        <f>3000+5497.022</f>
        <v>8497.0220000000008</v>
      </c>
      <c r="N52" s="371">
        <f>3000+5603.248</f>
        <v>8603.2479999999996</v>
      </c>
      <c r="O52" s="372">
        <f>3000+5631.508</f>
        <v>8631.5079999999998</v>
      </c>
      <c r="P52" s="216">
        <f t="shared" si="11"/>
        <v>103957.69999999998</v>
      </c>
      <c r="Q52" s="2">
        <f t="shared" si="13"/>
        <v>9149.5429999999997</v>
      </c>
      <c r="R52" s="277">
        <f t="shared" si="12"/>
        <v>43617</v>
      </c>
      <c r="S52" s="262"/>
      <c r="T52"/>
    </row>
    <row r="53" spans="1:20">
      <c r="A53" s="154">
        <v>12</v>
      </c>
      <c r="B53" s="207">
        <f t="shared" si="10"/>
        <v>0</v>
      </c>
      <c r="C53" s="207">
        <f t="shared" si="10"/>
        <v>0</v>
      </c>
      <c r="D53" s="264">
        <v>4980.2330000000002</v>
      </c>
      <c r="E53" s="264">
        <v>4999.5879999999997</v>
      </c>
      <c r="F53" s="264">
        <v>5543.7340000000004</v>
      </c>
      <c r="G53" s="264">
        <v>5907.4949999999999</v>
      </c>
      <c r="H53" s="264">
        <v>6389.4269999999997</v>
      </c>
      <c r="I53" s="264">
        <v>6828.66</v>
      </c>
      <c r="J53" s="264">
        <v>7121.8649999999998</v>
      </c>
      <c r="K53" s="264">
        <v>7273.9849999999997</v>
      </c>
      <c r="L53" s="264">
        <v>6707.2110000000002</v>
      </c>
      <c r="M53" s="371">
        <v>5606.3140000000003</v>
      </c>
      <c r="N53" s="374">
        <v>4896.1009999999997</v>
      </c>
      <c r="O53" s="372">
        <v>4949.0129999999999</v>
      </c>
      <c r="P53" s="216">
        <f t="shared" si="11"/>
        <v>71203.626000000004</v>
      </c>
      <c r="Q53" s="2">
        <f t="shared" si="13"/>
        <v>7273.9849999999997</v>
      </c>
      <c r="R53" s="277">
        <f t="shared" si="12"/>
        <v>43678</v>
      </c>
      <c r="S53" s="262"/>
      <c r="T53"/>
    </row>
    <row r="54" spans="1:20">
      <c r="A54" s="154">
        <v>13</v>
      </c>
      <c r="B54" s="207">
        <f t="shared" si="10"/>
        <v>0</v>
      </c>
      <c r="C54" s="207">
        <f t="shared" si="10"/>
        <v>0</v>
      </c>
      <c r="D54" s="264">
        <v>1801.0119999999999</v>
      </c>
      <c r="E54" s="264">
        <v>1807.5129999999999</v>
      </c>
      <c r="F54" s="264">
        <v>1766.2239999999999</v>
      </c>
      <c r="G54" s="264">
        <v>2097.4659999999999</v>
      </c>
      <c r="H54" s="264">
        <v>2342.8510000000001</v>
      </c>
      <c r="I54" s="264">
        <v>2440.1709999999998</v>
      </c>
      <c r="J54" s="264">
        <v>2558.3000000000002</v>
      </c>
      <c r="K54" s="264">
        <v>2603.3220000000001</v>
      </c>
      <c r="L54" s="264">
        <v>2421.0439999999999</v>
      </c>
      <c r="M54" s="371">
        <v>1998.9749999999999</v>
      </c>
      <c r="N54" s="371">
        <v>1729.87</v>
      </c>
      <c r="O54" s="373">
        <v>1770.8520000000001</v>
      </c>
      <c r="P54" s="216">
        <f t="shared" si="11"/>
        <v>25337.599999999995</v>
      </c>
      <c r="Q54" s="2">
        <f t="shared" si="13"/>
        <v>2603.3220000000001</v>
      </c>
      <c r="R54" s="277">
        <f t="shared" si="12"/>
        <v>43678</v>
      </c>
      <c r="S54" s="262"/>
      <c r="T54"/>
    </row>
    <row r="55" spans="1:20">
      <c r="A55" s="154">
        <v>14</v>
      </c>
      <c r="B55" s="207">
        <f t="shared" si="10"/>
        <v>0</v>
      </c>
      <c r="C55" s="207">
        <f t="shared" si="10"/>
        <v>0</v>
      </c>
      <c r="D55" s="264">
        <v>5920.46</v>
      </c>
      <c r="E55" s="264">
        <v>5993.2539999999999</v>
      </c>
      <c r="F55" s="264">
        <v>5928.2049999999999</v>
      </c>
      <c r="G55" s="264">
        <v>5817.009</v>
      </c>
      <c r="H55" s="264">
        <v>6388.3950000000004</v>
      </c>
      <c r="I55" s="264">
        <v>6221.201</v>
      </c>
      <c r="J55" s="264">
        <v>6304.875</v>
      </c>
      <c r="K55" s="264">
        <v>6173.893</v>
      </c>
      <c r="L55" s="264">
        <v>6325.0529999999999</v>
      </c>
      <c r="M55" s="371">
        <v>6242.3940000000002</v>
      </c>
      <c r="N55" s="371">
        <v>6406.4470000000001</v>
      </c>
      <c r="O55" s="372">
        <v>6101.6930000000002</v>
      </c>
      <c r="P55" s="216">
        <f t="shared" si="11"/>
        <v>73822.879000000001</v>
      </c>
      <c r="Q55" s="2">
        <f t="shared" si="13"/>
        <v>6406.4470000000001</v>
      </c>
      <c r="R55" s="277">
        <f t="shared" si="12"/>
        <v>43770</v>
      </c>
      <c r="S55" s="262"/>
      <c r="T55"/>
    </row>
    <row r="56" spans="1:20">
      <c r="A56" s="154">
        <v>15</v>
      </c>
      <c r="B56" s="207">
        <f t="shared" si="10"/>
        <v>0</v>
      </c>
      <c r="C56" s="207">
        <f t="shared" si="10"/>
        <v>0</v>
      </c>
      <c r="D56" s="264">
        <v>2938.127</v>
      </c>
      <c r="E56" s="264">
        <v>2939.04</v>
      </c>
      <c r="F56" s="264">
        <v>2930.6849999999999</v>
      </c>
      <c r="G56" s="264">
        <v>2893.5529999999999</v>
      </c>
      <c r="H56" s="264">
        <v>3409.6239999999998</v>
      </c>
      <c r="I56" s="264">
        <v>3301.98</v>
      </c>
      <c r="J56" s="265">
        <v>3509.3910000000001</v>
      </c>
      <c r="K56" s="265">
        <v>3666.569</v>
      </c>
      <c r="L56" s="265">
        <v>3697.6990000000001</v>
      </c>
      <c r="M56" s="371">
        <v>3131.4090000000001</v>
      </c>
      <c r="N56" s="374">
        <v>2915.127</v>
      </c>
      <c r="O56" s="372">
        <v>2900.0929999999998</v>
      </c>
      <c r="P56" s="216">
        <f t="shared" si="11"/>
        <v>38233.296999999999</v>
      </c>
      <c r="Q56" s="2">
        <f t="shared" si="13"/>
        <v>3697.6990000000001</v>
      </c>
      <c r="R56" s="277">
        <f t="shared" si="12"/>
        <v>43709</v>
      </c>
      <c r="S56" s="262"/>
      <c r="T56"/>
    </row>
    <row r="57" spans="1:20">
      <c r="A57" s="154">
        <v>16</v>
      </c>
      <c r="B57" s="207">
        <f t="shared" si="10"/>
        <v>0</v>
      </c>
      <c r="C57" s="207">
        <f t="shared" si="10"/>
        <v>0</v>
      </c>
      <c r="D57" s="264">
        <v>5028.1019999999999</v>
      </c>
      <c r="E57" s="264">
        <v>4788.4679999999998</v>
      </c>
      <c r="F57" s="264">
        <v>4942.8050000000003</v>
      </c>
      <c r="G57" s="264">
        <v>4612.442</v>
      </c>
      <c r="H57" s="264">
        <v>4606.8090000000002</v>
      </c>
      <c r="I57" s="264">
        <v>4393.97</v>
      </c>
      <c r="J57" s="265">
        <v>4423.7870000000003</v>
      </c>
      <c r="K57" s="265">
        <v>4237.9390000000003</v>
      </c>
      <c r="L57" s="265">
        <v>4362.2529999999997</v>
      </c>
      <c r="M57" s="371">
        <v>4489.8590000000004</v>
      </c>
      <c r="N57" s="371">
        <v>4602.6000000000004</v>
      </c>
      <c r="O57" s="372">
        <v>4523.5379999999996</v>
      </c>
      <c r="P57" s="216">
        <f t="shared" si="11"/>
        <v>55012.571999999993</v>
      </c>
      <c r="Q57" s="2">
        <f t="shared" si="13"/>
        <v>5028.1019999999999</v>
      </c>
      <c r="R57" s="277">
        <f t="shared" si="12"/>
        <v>43466</v>
      </c>
      <c r="S57" s="262"/>
      <c r="T57"/>
    </row>
    <row r="58" spans="1:20">
      <c r="A58" s="154">
        <v>17</v>
      </c>
      <c r="B58" s="207">
        <f t="shared" ref="B58:C64" si="14">B20</f>
        <v>0</v>
      </c>
      <c r="C58" s="207">
        <f t="shared" si="14"/>
        <v>0</v>
      </c>
      <c r="D58" s="264">
        <v>4576.1419999999998</v>
      </c>
      <c r="E58" s="264">
        <v>4593.7479999999996</v>
      </c>
      <c r="F58" s="264">
        <v>4793.0240000000003</v>
      </c>
      <c r="G58" s="264">
        <v>4269.5659999999998</v>
      </c>
      <c r="H58" s="264">
        <v>4178.7259999999997</v>
      </c>
      <c r="I58" s="264">
        <v>4025.9749999999999</v>
      </c>
      <c r="J58" s="265">
        <v>4061.17</v>
      </c>
      <c r="K58" s="265">
        <v>4215.13</v>
      </c>
      <c r="L58" s="264">
        <v>4599.915</v>
      </c>
      <c r="M58" s="371">
        <v>4512.3909999999996</v>
      </c>
      <c r="N58" s="371">
        <v>4444.4250000000002</v>
      </c>
      <c r="O58" s="373">
        <v>4482.9390000000003</v>
      </c>
      <c r="P58" s="216">
        <f t="shared" si="11"/>
        <v>52753.150999999998</v>
      </c>
      <c r="Q58" s="2">
        <f t="shared" si="13"/>
        <v>4793.0240000000003</v>
      </c>
      <c r="R58" s="277">
        <f t="shared" si="12"/>
        <v>43525</v>
      </c>
      <c r="S58" s="262"/>
      <c r="T58"/>
    </row>
    <row r="59" spans="1:20">
      <c r="A59" s="154">
        <v>18</v>
      </c>
      <c r="B59" s="207">
        <f t="shared" si="14"/>
        <v>0</v>
      </c>
      <c r="C59" s="207">
        <f t="shared" si="14"/>
        <v>0</v>
      </c>
      <c r="D59" s="264">
        <v>7561.8</v>
      </c>
      <c r="E59" s="264">
        <v>7319.55</v>
      </c>
      <c r="F59" s="264">
        <v>6877.6</v>
      </c>
      <c r="G59" s="264">
        <v>7474.16</v>
      </c>
      <c r="H59" s="264">
        <v>8302.59</v>
      </c>
      <c r="I59" s="264">
        <v>9730.33</v>
      </c>
      <c r="J59" s="265">
        <v>10780.89</v>
      </c>
      <c r="K59" s="265">
        <v>11330.56</v>
      </c>
      <c r="L59" s="265">
        <v>10798.06</v>
      </c>
      <c r="M59" s="374">
        <v>7293.78</v>
      </c>
      <c r="N59" s="374">
        <v>7735.4</v>
      </c>
      <c r="O59" s="373">
        <v>7646.46</v>
      </c>
      <c r="P59" s="216">
        <f t="shared" si="11"/>
        <v>102851.18</v>
      </c>
      <c r="Q59" s="2">
        <f t="shared" si="13"/>
        <v>11330.56</v>
      </c>
      <c r="R59" s="277">
        <f t="shared" si="12"/>
        <v>43678</v>
      </c>
      <c r="S59" s="262"/>
      <c r="T59"/>
    </row>
    <row r="60" spans="1:20">
      <c r="A60" s="154">
        <v>19</v>
      </c>
      <c r="B60" s="207">
        <f t="shared" si="14"/>
        <v>0</v>
      </c>
      <c r="C60" s="207">
        <f t="shared" si="14"/>
        <v>0</v>
      </c>
      <c r="D60" s="264">
        <v>5925.4719999999998</v>
      </c>
      <c r="E60" s="264">
        <v>5829.2190000000001</v>
      </c>
      <c r="F60" s="264">
        <v>5446.55</v>
      </c>
      <c r="G60" s="264">
        <v>5450.83</v>
      </c>
      <c r="H60" s="264">
        <v>4763.3630000000003</v>
      </c>
      <c r="I60" s="264">
        <v>4751.4009999999998</v>
      </c>
      <c r="J60" s="265">
        <v>4657.95</v>
      </c>
      <c r="K60" s="265">
        <v>5287.0439999999999</v>
      </c>
      <c r="L60" s="265">
        <v>5266.2640000000001</v>
      </c>
      <c r="M60" s="371">
        <v>5678.3630000000003</v>
      </c>
      <c r="N60" s="371">
        <v>5797.1559999999999</v>
      </c>
      <c r="O60" s="372">
        <v>5921.9229999999998</v>
      </c>
      <c r="P60" s="216">
        <f t="shared" si="11"/>
        <v>64775.535000000003</v>
      </c>
      <c r="Q60" s="2">
        <f t="shared" si="13"/>
        <v>5925.4719999999998</v>
      </c>
      <c r="R60" s="277">
        <f t="shared" si="12"/>
        <v>43466</v>
      </c>
      <c r="S60" s="262"/>
      <c r="T60"/>
    </row>
    <row r="61" spans="1:20">
      <c r="A61" s="154">
        <v>20</v>
      </c>
      <c r="B61" s="207">
        <f t="shared" si="14"/>
        <v>0</v>
      </c>
      <c r="C61" s="207">
        <f t="shared" si="14"/>
        <v>0</v>
      </c>
      <c r="D61" s="266">
        <f>3000+2543.024</f>
        <v>5543.0239999999994</v>
      </c>
      <c r="E61" s="266">
        <f>3000+6427.748</f>
        <v>9427.7479999999996</v>
      </c>
      <c r="F61" s="266">
        <f>3000+2699.796</f>
        <v>5699.7960000000003</v>
      </c>
      <c r="G61" s="266">
        <f>3000+2095.943</f>
        <v>5095.9430000000002</v>
      </c>
      <c r="H61" s="266">
        <f>3000+1944.725</f>
        <v>4944.7250000000004</v>
      </c>
      <c r="I61" s="266">
        <f>3000+1815.787</f>
        <v>4815.7870000000003</v>
      </c>
      <c r="J61" s="266">
        <f>3000+1644.219</f>
        <v>4644.2190000000001</v>
      </c>
      <c r="K61" s="266">
        <f>3000+1858.576</f>
        <v>4858.576</v>
      </c>
      <c r="L61" s="266">
        <f>3000+1945.268</f>
        <v>4945.268</v>
      </c>
      <c r="M61" s="379">
        <f>3000+2057.24</f>
        <v>5057.24</v>
      </c>
      <c r="N61" s="379">
        <f>3000+1988.948</f>
        <v>4988.9480000000003</v>
      </c>
      <c r="O61" s="380">
        <f>3000+1920.228</f>
        <v>4920.2280000000001</v>
      </c>
      <c r="P61" s="391">
        <f t="shared" si="11"/>
        <v>64941.501999999993</v>
      </c>
      <c r="Q61" s="392">
        <f t="shared" si="13"/>
        <v>9427.7479999999996</v>
      </c>
      <c r="R61" s="277">
        <f t="shared" si="12"/>
        <v>43497</v>
      </c>
      <c r="S61" s="262"/>
      <c r="T61"/>
    </row>
    <row r="62" spans="1:20">
      <c r="A62" s="154">
        <v>21</v>
      </c>
      <c r="B62" s="207">
        <f t="shared" si="14"/>
        <v>0</v>
      </c>
      <c r="C62" s="207">
        <f t="shared" si="14"/>
        <v>0</v>
      </c>
      <c r="D62" s="266">
        <f>3000+1283.557</f>
        <v>4283.5569999999998</v>
      </c>
      <c r="E62" s="266">
        <f>3000+1289.834</f>
        <v>4289.8339999999998</v>
      </c>
      <c r="F62" s="266">
        <f>3000+1226.067</f>
        <v>4226.067</v>
      </c>
      <c r="G62" s="266">
        <f>3000+1553.32</f>
        <v>4553.32</v>
      </c>
      <c r="H62" s="266">
        <f>3000+2085.145</f>
        <v>5085.1450000000004</v>
      </c>
      <c r="I62" s="266">
        <f>3000+3309.379</f>
        <v>6309.3789999999999</v>
      </c>
      <c r="J62" s="266">
        <f>3000+2919.558</f>
        <v>5919.558</v>
      </c>
      <c r="K62" s="266">
        <f>3000+4191.935</f>
        <v>7191.9350000000004</v>
      </c>
      <c r="L62" s="266">
        <f>3000+6554.729</f>
        <v>9554.7289999999994</v>
      </c>
      <c r="M62" s="379">
        <f>3000+5275.527</f>
        <v>8275.527</v>
      </c>
      <c r="N62" s="379">
        <f>3000+1245.864</f>
        <v>4245.8639999999996</v>
      </c>
      <c r="O62" s="380">
        <f>3000+1204.433</f>
        <v>4204.433</v>
      </c>
      <c r="P62" s="391">
        <f t="shared" si="11"/>
        <v>68139.347999999998</v>
      </c>
      <c r="Q62" s="392">
        <f t="shared" si="13"/>
        <v>9554.7289999999994</v>
      </c>
      <c r="R62" s="277">
        <f t="shared" si="12"/>
        <v>43709</v>
      </c>
      <c r="S62" s="262"/>
      <c r="T62"/>
    </row>
    <row r="63" spans="1:20">
      <c r="A63" s="154">
        <v>22</v>
      </c>
      <c r="B63" s="207">
        <f t="shared" si="14"/>
        <v>0</v>
      </c>
      <c r="C63" s="207">
        <f t="shared" si="14"/>
        <v>0</v>
      </c>
      <c r="D63" s="266">
        <v>2223.39</v>
      </c>
      <c r="E63" s="266">
        <v>2148.5909999999999</v>
      </c>
      <c r="F63" s="266">
        <v>1909.559</v>
      </c>
      <c r="G63" s="266">
        <v>2118.7249999999999</v>
      </c>
      <c r="H63" s="266">
        <v>2298.212</v>
      </c>
      <c r="I63" s="266">
        <v>2136.0309999999999</v>
      </c>
      <c r="J63" s="266">
        <v>2246.8220000000001</v>
      </c>
      <c r="K63" s="266">
        <v>2660.0880000000002</v>
      </c>
      <c r="L63" s="266">
        <v>2377.2779999999998</v>
      </c>
      <c r="M63" s="379">
        <f>3000+3979.901</f>
        <v>6979.9009999999998</v>
      </c>
      <c r="N63" s="379">
        <f>3000+3503.073</f>
        <v>6503.0730000000003</v>
      </c>
      <c r="O63" s="380">
        <f>3000+3407.751</f>
        <v>6407.7510000000002</v>
      </c>
      <c r="P63" s="391">
        <f t="shared" si="11"/>
        <v>40009.421000000002</v>
      </c>
      <c r="Q63" s="392">
        <f t="shared" si="13"/>
        <v>6979.9009999999998</v>
      </c>
      <c r="R63" s="277">
        <f t="shared" si="12"/>
        <v>43739</v>
      </c>
      <c r="S63" s="262"/>
      <c r="T63"/>
    </row>
    <row r="64" spans="1:20">
      <c r="A64" s="154">
        <v>23</v>
      </c>
      <c r="B64" s="207">
        <f t="shared" si="14"/>
        <v>0</v>
      </c>
      <c r="C64" s="207">
        <f t="shared" si="14"/>
        <v>0</v>
      </c>
      <c r="D64" s="264">
        <v>3733.76</v>
      </c>
      <c r="E64" s="264">
        <v>3840.748</v>
      </c>
      <c r="F64" s="264">
        <v>3713.1419999999998</v>
      </c>
      <c r="G64" s="264">
        <v>3775.5549999999998</v>
      </c>
      <c r="H64" s="264">
        <v>3660.1640000000002</v>
      </c>
      <c r="I64" s="264">
        <v>3602.386</v>
      </c>
      <c r="J64" s="264">
        <v>3660.2130000000002</v>
      </c>
      <c r="K64" s="264">
        <v>3628.8780000000002</v>
      </c>
      <c r="L64" s="264">
        <v>3524.9789999999998</v>
      </c>
      <c r="M64" s="374">
        <v>3638.9459999999999</v>
      </c>
      <c r="N64" s="374">
        <v>3738.2359999999999</v>
      </c>
      <c r="O64" s="373">
        <v>3734.7139999999999</v>
      </c>
      <c r="P64" s="216">
        <f t="shared" si="11"/>
        <v>44251.72099999999</v>
      </c>
      <c r="Q64" s="2">
        <f t="shared" si="13"/>
        <v>3840.748</v>
      </c>
      <c r="R64" s="277">
        <f t="shared" si="12"/>
        <v>43497</v>
      </c>
      <c r="S64" s="262"/>
      <c r="T64"/>
    </row>
    <row r="65" spans="1:20">
      <c r="A65"/>
      <c r="B65" t="s">
        <v>2184</v>
      </c>
      <c r="C65"/>
      <c r="D65" s="278">
        <f t="shared" ref="D65:O65" si="15">SUM(D42:D64)</f>
        <v>166681.58900000001</v>
      </c>
      <c r="E65" s="278">
        <f t="shared" si="15"/>
        <v>171958.64299999998</v>
      </c>
      <c r="F65" s="278">
        <f t="shared" si="15"/>
        <v>169527.08</v>
      </c>
      <c r="G65" s="278">
        <f t="shared" si="15"/>
        <v>167969.19399999999</v>
      </c>
      <c r="H65" s="278">
        <f t="shared" si="15"/>
        <v>178363.734</v>
      </c>
      <c r="I65" s="278">
        <f t="shared" si="15"/>
        <v>173728.66200000001</v>
      </c>
      <c r="J65" s="278">
        <f t="shared" si="15"/>
        <v>175753.40500000003</v>
      </c>
      <c r="K65" s="278">
        <f t="shared" si="15"/>
        <v>181762.40699999998</v>
      </c>
      <c r="L65" s="278">
        <f t="shared" si="15"/>
        <v>179836.49799999996</v>
      </c>
      <c r="M65" s="279">
        <f t="shared" si="15"/>
        <v>175761.27100000001</v>
      </c>
      <c r="N65" s="279">
        <f t="shared" si="15"/>
        <v>168943.31199999998</v>
      </c>
      <c r="O65" s="279">
        <f t="shared" si="15"/>
        <v>170484.31399999998</v>
      </c>
      <c r="P65" s="279">
        <f>IF(ROUND(SUM(P42:P64),0)&lt;&gt;ROUND(SUM(D65:O65),0),#VALUE!,SUM(P42:P64))</f>
        <v>2080770.1089999999</v>
      </c>
      <c r="Q65"/>
      <c r="R65"/>
      <c r="S65"/>
      <c r="T65"/>
    </row>
    <row r="66" spans="1:20">
      <c r="A66"/>
      <c r="B66"/>
      <c r="C66"/>
      <c r="D66" s="280"/>
      <c r="E66" s="280"/>
      <c r="F66" s="280"/>
      <c r="G66" s="280"/>
      <c r="H66" s="280"/>
      <c r="I66" s="280"/>
      <c r="J66" s="280"/>
      <c r="K66" s="280"/>
      <c r="L66" s="280"/>
      <c r="M66" s="5"/>
      <c r="N66" s="5"/>
      <c r="O66" s="5"/>
      <c r="P66" s="5"/>
      <c r="Q66"/>
      <c r="R66"/>
      <c r="S66"/>
      <c r="T66"/>
    </row>
    <row r="67" spans="1:20">
      <c r="A67"/>
      <c r="B67"/>
      <c r="C67"/>
      <c r="D67" s="77"/>
      <c r="E67" s="77"/>
      <c r="F67" s="77"/>
      <c r="G67" s="77"/>
      <c r="H67" s="77"/>
      <c r="I67" s="77"/>
      <c r="J67" s="77"/>
      <c r="K67" s="77"/>
      <c r="L67" s="77"/>
      <c r="M67"/>
      <c r="N67"/>
      <c r="O67"/>
      <c r="P67" s="262" t="str">
        <f>P$2</f>
        <v>12-mo Ended</v>
      </c>
      <c r="Q67"/>
      <c r="R67"/>
      <c r="S67"/>
      <c r="T67"/>
    </row>
    <row r="68" spans="1:20">
      <c r="A68"/>
      <c r="B68" s="263" t="s">
        <v>2328</v>
      </c>
      <c r="C68"/>
      <c r="D68" s="275">
        <f t="shared" ref="D68:O68" si="16">D$3</f>
        <v>43466</v>
      </c>
      <c r="E68" s="275">
        <f t="shared" si="16"/>
        <v>43497</v>
      </c>
      <c r="F68" s="275">
        <f t="shared" si="16"/>
        <v>43525</v>
      </c>
      <c r="G68" s="275">
        <f t="shared" si="16"/>
        <v>43556</v>
      </c>
      <c r="H68" s="275">
        <f t="shared" si="16"/>
        <v>43586</v>
      </c>
      <c r="I68" s="275">
        <f t="shared" si="16"/>
        <v>43617</v>
      </c>
      <c r="J68" s="275">
        <f t="shared" si="16"/>
        <v>43647</v>
      </c>
      <c r="K68" s="275">
        <f t="shared" si="16"/>
        <v>43678</v>
      </c>
      <c r="L68" s="275">
        <f t="shared" si="16"/>
        <v>43709</v>
      </c>
      <c r="M68" s="276">
        <f t="shared" si="16"/>
        <v>43739</v>
      </c>
      <c r="N68" s="276">
        <f t="shared" si="16"/>
        <v>43770</v>
      </c>
      <c r="O68" s="276">
        <f t="shared" si="16"/>
        <v>43800</v>
      </c>
      <c r="P68" s="262" t="s">
        <v>277</v>
      </c>
      <c r="Q68"/>
      <c r="R68"/>
      <c r="S68"/>
      <c r="T68"/>
    </row>
    <row r="69" spans="1:20">
      <c r="A69">
        <v>1</v>
      </c>
      <c r="B69" s="459">
        <f>B4</f>
        <v>0</v>
      </c>
      <c r="C69" s="281">
        <f>C4</f>
        <v>0</v>
      </c>
      <c r="D69" s="225">
        <f t="shared" ref="D69:F78" si="17">IF(D42&gt;3000,D42-3000,0)</f>
        <v>8235.1190000000006</v>
      </c>
      <c r="E69" s="225">
        <f t="shared" si="17"/>
        <v>10097.044</v>
      </c>
      <c r="F69" s="225">
        <f t="shared" si="17"/>
        <v>9788.42</v>
      </c>
      <c r="G69" s="225">
        <f>MAX(0,G42-3000)</f>
        <v>8813.0759999999991</v>
      </c>
      <c r="H69" s="225">
        <f t="shared" ref="H69:O69" si="18">MAX(0,H42-3000)</f>
        <v>16727.5</v>
      </c>
      <c r="I69" s="225">
        <f t="shared" si="18"/>
        <v>8694.5650000000005</v>
      </c>
      <c r="J69" s="225">
        <f t="shared" si="18"/>
        <v>7955.6509999999998</v>
      </c>
      <c r="K69" s="225">
        <f t="shared" si="18"/>
        <v>8234.8739999999998</v>
      </c>
      <c r="L69" s="225">
        <f t="shared" si="18"/>
        <v>8020.2270000000008</v>
      </c>
      <c r="M69" s="225">
        <f t="shared" si="18"/>
        <v>6747.6959999999999</v>
      </c>
      <c r="N69" s="225">
        <f t="shared" si="18"/>
        <v>4452.8119999999999</v>
      </c>
      <c r="O69" s="225">
        <f t="shared" si="18"/>
        <v>4325.1319999999996</v>
      </c>
      <c r="P69" s="216">
        <f t="shared" ref="P69:P91" si="19">SUM(D69:O69)</f>
        <v>102092.11599999999</v>
      </c>
      <c r="Q69"/>
      <c r="R69"/>
      <c r="S69"/>
      <c r="T69"/>
    </row>
    <row r="70" spans="1:20">
      <c r="A70">
        <v>2</v>
      </c>
      <c r="B70" s="459">
        <f t="shared" ref="B70:B91" si="20">B5</f>
        <v>0</v>
      </c>
      <c r="C70" s="281"/>
      <c r="D70" s="225">
        <f t="shared" si="17"/>
        <v>2486.0749999999998</v>
      </c>
      <c r="E70" s="225">
        <f t="shared" si="17"/>
        <v>2434.125</v>
      </c>
      <c r="F70" s="225">
        <f t="shared" si="17"/>
        <v>2276.1229999999996</v>
      </c>
      <c r="G70" s="225">
        <f t="shared" ref="G70:O85" si="21">MAX(0,G43-3000)</f>
        <v>2056.1369999999997</v>
      </c>
      <c r="H70" s="225">
        <f t="shared" si="21"/>
        <v>1983.9690000000001</v>
      </c>
      <c r="I70" s="225">
        <f t="shared" si="21"/>
        <v>2005.4129999999996</v>
      </c>
      <c r="J70" s="225">
        <f t="shared" si="21"/>
        <v>2087.6890000000003</v>
      </c>
      <c r="K70" s="225">
        <f t="shared" si="21"/>
        <v>2057.6229999999996</v>
      </c>
      <c r="L70" s="225">
        <f t="shared" si="21"/>
        <v>2126.2299999999996</v>
      </c>
      <c r="M70" s="225">
        <f t="shared" si="21"/>
        <v>2102.8950000000004</v>
      </c>
      <c r="N70" s="225">
        <f t="shared" si="21"/>
        <v>2137.21</v>
      </c>
      <c r="O70" s="225">
        <f t="shared" si="21"/>
        <v>2127.7849999999999</v>
      </c>
      <c r="P70" s="216">
        <f>SUM(D70:O70)</f>
        <v>25881.274000000001</v>
      </c>
      <c r="Q70"/>
      <c r="R70"/>
      <c r="S70"/>
      <c r="T70"/>
    </row>
    <row r="71" spans="1:20">
      <c r="A71">
        <v>3</v>
      </c>
      <c r="B71" s="459">
        <f t="shared" si="20"/>
        <v>0</v>
      </c>
      <c r="C71" s="281"/>
      <c r="D71" s="225">
        <f t="shared" si="17"/>
        <v>170.49200000000019</v>
      </c>
      <c r="E71" s="225">
        <f t="shared" si="17"/>
        <v>0</v>
      </c>
      <c r="F71" s="225">
        <f t="shared" si="17"/>
        <v>9.1469999999999345</v>
      </c>
      <c r="G71" s="225">
        <f t="shared" si="21"/>
        <v>0</v>
      </c>
      <c r="H71" s="225">
        <f t="shared" si="21"/>
        <v>0</v>
      </c>
      <c r="I71" s="225">
        <f t="shared" si="21"/>
        <v>0</v>
      </c>
      <c r="J71" s="225">
        <f t="shared" si="21"/>
        <v>0</v>
      </c>
      <c r="K71" s="225">
        <f t="shared" si="21"/>
        <v>0</v>
      </c>
      <c r="L71" s="225">
        <f t="shared" si="21"/>
        <v>0</v>
      </c>
      <c r="M71" s="225">
        <f t="shared" si="21"/>
        <v>0</v>
      </c>
      <c r="N71" s="225">
        <f t="shared" si="21"/>
        <v>0</v>
      </c>
      <c r="O71" s="225">
        <f t="shared" si="21"/>
        <v>0</v>
      </c>
      <c r="P71" s="216">
        <f>SUM(D71:O71)</f>
        <v>179.63900000000012</v>
      </c>
      <c r="Q71"/>
      <c r="R71"/>
      <c r="S71"/>
      <c r="T71"/>
    </row>
    <row r="72" spans="1:20">
      <c r="A72">
        <v>4</v>
      </c>
      <c r="B72" s="459">
        <f t="shared" si="20"/>
        <v>0</v>
      </c>
      <c r="C72" s="281">
        <f t="shared" ref="C72:C77" si="22">C7</f>
        <v>0</v>
      </c>
      <c r="D72" s="225">
        <f t="shared" si="17"/>
        <v>0</v>
      </c>
      <c r="E72" s="225">
        <f t="shared" si="17"/>
        <v>0</v>
      </c>
      <c r="F72" s="225">
        <f t="shared" si="17"/>
        <v>0</v>
      </c>
      <c r="G72" s="225">
        <f t="shared" si="21"/>
        <v>0</v>
      </c>
      <c r="H72" s="225">
        <f t="shared" si="21"/>
        <v>0</v>
      </c>
      <c r="I72" s="225">
        <f t="shared" si="21"/>
        <v>0</v>
      </c>
      <c r="J72" s="225">
        <f t="shared" si="21"/>
        <v>0</v>
      </c>
      <c r="K72" s="225">
        <f t="shared" si="21"/>
        <v>0</v>
      </c>
      <c r="L72" s="225">
        <f t="shared" si="21"/>
        <v>0</v>
      </c>
      <c r="M72" s="225">
        <f t="shared" si="21"/>
        <v>0</v>
      </c>
      <c r="N72" s="225">
        <f t="shared" si="21"/>
        <v>0</v>
      </c>
      <c r="O72" s="225">
        <f t="shared" si="21"/>
        <v>0</v>
      </c>
      <c r="P72" s="216">
        <f t="shared" si="19"/>
        <v>0</v>
      </c>
      <c r="Q72"/>
      <c r="R72"/>
      <c r="S72"/>
      <c r="T72"/>
    </row>
    <row r="73" spans="1:20">
      <c r="A73">
        <v>5</v>
      </c>
      <c r="B73" s="459">
        <f t="shared" si="20"/>
        <v>0</v>
      </c>
      <c r="C73" s="281">
        <f t="shared" si="22"/>
        <v>0</v>
      </c>
      <c r="D73" s="225">
        <f t="shared" si="17"/>
        <v>0</v>
      </c>
      <c r="E73" s="225">
        <f t="shared" si="17"/>
        <v>0</v>
      </c>
      <c r="F73" s="225">
        <f t="shared" si="17"/>
        <v>0</v>
      </c>
      <c r="G73" s="225">
        <f t="shared" si="21"/>
        <v>132.22299999999996</v>
      </c>
      <c r="H73" s="225">
        <f t="shared" si="21"/>
        <v>477.36900000000014</v>
      </c>
      <c r="I73" s="225">
        <f t="shared" si="21"/>
        <v>747.49499999999989</v>
      </c>
      <c r="J73" s="225">
        <f t="shared" si="21"/>
        <v>914.42000000000007</v>
      </c>
      <c r="K73" s="225">
        <f t="shared" si="21"/>
        <v>810.73300000000017</v>
      </c>
      <c r="L73" s="225">
        <f t="shared" si="21"/>
        <v>653.30000000000018</v>
      </c>
      <c r="M73" s="225">
        <f t="shared" si="21"/>
        <v>0</v>
      </c>
      <c r="N73" s="225">
        <f t="shared" si="21"/>
        <v>0</v>
      </c>
      <c r="O73" s="225">
        <f t="shared" si="21"/>
        <v>0</v>
      </c>
      <c r="P73" s="216">
        <f t="shared" si="19"/>
        <v>3735.5400000000004</v>
      </c>
      <c r="Q73"/>
      <c r="R73"/>
      <c r="S73"/>
      <c r="T73"/>
    </row>
    <row r="74" spans="1:20">
      <c r="A74">
        <v>6</v>
      </c>
      <c r="B74" s="459">
        <f t="shared" si="20"/>
        <v>0</v>
      </c>
      <c r="C74" s="281">
        <f t="shared" si="22"/>
        <v>0</v>
      </c>
      <c r="D74" s="225">
        <f t="shared" si="17"/>
        <v>1693.9759999999997</v>
      </c>
      <c r="E74" s="225">
        <f t="shared" si="17"/>
        <v>1607.8199999999997</v>
      </c>
      <c r="F74" s="225">
        <f t="shared" si="17"/>
        <v>1350.3389999999999</v>
      </c>
      <c r="G74" s="225">
        <f t="shared" si="21"/>
        <v>1168.8230000000003</v>
      </c>
      <c r="H74" s="225">
        <f t="shared" si="21"/>
        <v>1653.5330000000004</v>
      </c>
      <c r="I74" s="225">
        <f t="shared" si="21"/>
        <v>1532.701</v>
      </c>
      <c r="J74" s="225">
        <f t="shared" si="21"/>
        <v>1783.741</v>
      </c>
      <c r="K74" s="225">
        <f t="shared" si="21"/>
        <v>2478.8410000000003</v>
      </c>
      <c r="L74" s="225">
        <f t="shared" si="21"/>
        <v>2486.0709999999999</v>
      </c>
      <c r="M74" s="225">
        <f t="shared" si="21"/>
        <v>1220.9070000000002</v>
      </c>
      <c r="N74" s="225">
        <f t="shared" si="21"/>
        <v>1550.799</v>
      </c>
      <c r="O74" s="225">
        <f t="shared" si="21"/>
        <v>1495.9210000000003</v>
      </c>
      <c r="P74" s="216">
        <f t="shared" si="19"/>
        <v>20023.472000000002</v>
      </c>
      <c r="Q74"/>
      <c r="R74"/>
      <c r="S74"/>
      <c r="T74"/>
    </row>
    <row r="75" spans="1:20">
      <c r="A75">
        <v>7</v>
      </c>
      <c r="B75" s="459">
        <f t="shared" si="20"/>
        <v>0</v>
      </c>
      <c r="C75" s="281">
        <f t="shared" si="22"/>
        <v>0</v>
      </c>
      <c r="D75" s="225">
        <f t="shared" si="17"/>
        <v>0</v>
      </c>
      <c r="E75" s="225">
        <f t="shared" si="17"/>
        <v>0</v>
      </c>
      <c r="F75" s="225">
        <f t="shared" si="17"/>
        <v>0</v>
      </c>
      <c r="G75" s="225">
        <f t="shared" si="21"/>
        <v>0</v>
      </c>
      <c r="H75" s="225">
        <f t="shared" si="21"/>
        <v>29.110999999999876</v>
      </c>
      <c r="I75" s="225">
        <f t="shared" si="21"/>
        <v>196.04799999999977</v>
      </c>
      <c r="J75" s="225">
        <f t="shared" si="21"/>
        <v>339.18899999999985</v>
      </c>
      <c r="K75" s="225">
        <f t="shared" si="21"/>
        <v>522.61799999999994</v>
      </c>
      <c r="L75" s="225">
        <f t="shared" si="21"/>
        <v>280.20600000000013</v>
      </c>
      <c r="M75" s="225">
        <f t="shared" si="21"/>
        <v>114.72400000000016</v>
      </c>
      <c r="N75" s="225">
        <f t="shared" si="21"/>
        <v>80.481000000000222</v>
      </c>
      <c r="O75" s="225">
        <f t="shared" si="21"/>
        <v>7.6979999999998654</v>
      </c>
      <c r="P75" s="216">
        <f t="shared" si="19"/>
        <v>1570.0749999999998</v>
      </c>
      <c r="Q75"/>
      <c r="R75"/>
      <c r="S75"/>
      <c r="T75"/>
    </row>
    <row r="76" spans="1:20">
      <c r="A76">
        <v>8</v>
      </c>
      <c r="B76" s="459">
        <f t="shared" si="20"/>
        <v>0</v>
      </c>
      <c r="C76" s="281">
        <f t="shared" si="22"/>
        <v>0</v>
      </c>
      <c r="D76" s="225">
        <f t="shared" si="17"/>
        <v>1138.0299999999997</v>
      </c>
      <c r="E76" s="225">
        <f t="shared" si="17"/>
        <v>1134.473</v>
      </c>
      <c r="F76" s="225">
        <f t="shared" si="17"/>
        <v>1111.0600000000004</v>
      </c>
      <c r="G76" s="225">
        <f t="shared" si="21"/>
        <v>1134.7290000000003</v>
      </c>
      <c r="H76" s="225">
        <f t="shared" si="21"/>
        <v>1168.1779999999999</v>
      </c>
      <c r="I76" s="225">
        <f t="shared" si="21"/>
        <v>1212.5640000000003</v>
      </c>
      <c r="J76" s="225">
        <f t="shared" si="21"/>
        <v>1223.6970000000001</v>
      </c>
      <c r="K76" s="225">
        <f t="shared" si="21"/>
        <v>1273.0990000000002</v>
      </c>
      <c r="L76" s="225">
        <f t="shared" si="21"/>
        <v>1214.4899999999998</v>
      </c>
      <c r="M76" s="225">
        <f t="shared" si="21"/>
        <v>1157.8900000000003</v>
      </c>
      <c r="N76" s="225">
        <f t="shared" si="21"/>
        <v>1170.9449999999997</v>
      </c>
      <c r="O76" s="225">
        <f t="shared" si="21"/>
        <v>1257.5990000000002</v>
      </c>
      <c r="P76" s="216">
        <f t="shared" si="19"/>
        <v>14196.754000000003</v>
      </c>
      <c r="Q76"/>
      <c r="R76"/>
      <c r="S76"/>
      <c r="T76"/>
    </row>
    <row r="77" spans="1:20">
      <c r="A77">
        <v>9</v>
      </c>
      <c r="B77" s="459">
        <f t="shared" si="20"/>
        <v>0</v>
      </c>
      <c r="C77" s="281">
        <f t="shared" si="22"/>
        <v>0</v>
      </c>
      <c r="D77" s="225">
        <f t="shared" si="17"/>
        <v>53979.76</v>
      </c>
      <c r="E77" s="225">
        <f t="shared" si="17"/>
        <v>55491.21</v>
      </c>
      <c r="F77" s="225">
        <f t="shared" si="17"/>
        <v>57723.97</v>
      </c>
      <c r="G77" s="225">
        <f t="shared" si="21"/>
        <v>57695.18</v>
      </c>
      <c r="H77" s="225">
        <f t="shared" si="21"/>
        <v>56633.5</v>
      </c>
      <c r="I77" s="225">
        <f t="shared" si="21"/>
        <v>56915.37</v>
      </c>
      <c r="J77" s="225">
        <f t="shared" si="21"/>
        <v>57954.8</v>
      </c>
      <c r="K77" s="225">
        <f t="shared" si="21"/>
        <v>59499.94</v>
      </c>
      <c r="L77" s="225">
        <f t="shared" si="21"/>
        <v>57332.9</v>
      </c>
      <c r="M77" s="225">
        <f t="shared" si="21"/>
        <v>58348.84</v>
      </c>
      <c r="N77" s="225">
        <f t="shared" si="21"/>
        <v>58453.18</v>
      </c>
      <c r="O77" s="225">
        <f t="shared" si="21"/>
        <v>59886.96</v>
      </c>
      <c r="P77" s="216">
        <f t="shared" si="19"/>
        <v>689915.61</v>
      </c>
      <c r="Q77"/>
      <c r="R77"/>
      <c r="S77"/>
      <c r="T77"/>
    </row>
    <row r="78" spans="1:20">
      <c r="A78">
        <v>10</v>
      </c>
      <c r="B78" s="459">
        <f t="shared" si="20"/>
        <v>0</v>
      </c>
      <c r="C78" s="281">
        <v>610074869</v>
      </c>
      <c r="D78" s="225">
        <f t="shared" si="17"/>
        <v>6494.3670000000002</v>
      </c>
      <c r="E78" s="225">
        <f t="shared" si="17"/>
        <v>5151.6930000000002</v>
      </c>
      <c r="F78" s="225">
        <f t="shared" si="17"/>
        <v>5444.6409999999996</v>
      </c>
      <c r="G78" s="225">
        <f t="shared" si="21"/>
        <v>5251.3700000000008</v>
      </c>
      <c r="H78" s="225">
        <f t="shared" si="21"/>
        <v>5416.0830000000005</v>
      </c>
      <c r="I78" s="225">
        <f t="shared" si="21"/>
        <v>5438.518</v>
      </c>
      <c r="J78" s="225">
        <f t="shared" si="21"/>
        <v>5465.4709999999995</v>
      </c>
      <c r="K78" s="225">
        <f t="shared" si="21"/>
        <v>5617.5730000000003</v>
      </c>
      <c r="L78" s="225">
        <f t="shared" si="21"/>
        <v>5465.0079999999998</v>
      </c>
      <c r="M78" s="225">
        <f t="shared" si="21"/>
        <v>5444.6409999999996</v>
      </c>
      <c r="N78" s="225">
        <f t="shared" si="21"/>
        <v>5123.326</v>
      </c>
      <c r="O78" s="225">
        <f t="shared" si="21"/>
        <v>5375.3729999999996</v>
      </c>
      <c r="P78" s="216">
        <f t="shared" si="19"/>
        <v>65688.064000000013</v>
      </c>
      <c r="Q78"/>
      <c r="R78"/>
      <c r="S78"/>
      <c r="T78"/>
    </row>
    <row r="79" spans="1:20">
      <c r="A79">
        <v>11</v>
      </c>
      <c r="B79" s="459">
        <f t="shared" si="20"/>
        <v>0</v>
      </c>
      <c r="C79" s="281">
        <f t="shared" ref="C79:C91" si="23">C14</f>
        <v>0</v>
      </c>
      <c r="D79" s="225">
        <f>MAX(0,D52-3000)</f>
        <v>5557.5769999999993</v>
      </c>
      <c r="E79" s="225">
        <f>MAX(0,E52-3000)</f>
        <v>5575.1489999999994</v>
      </c>
      <c r="F79" s="225">
        <f>MAX(0,F52-3000)</f>
        <v>5703.8919999999998</v>
      </c>
      <c r="G79" s="225">
        <f t="shared" si="21"/>
        <v>5473.3389999999999</v>
      </c>
      <c r="H79" s="225">
        <f t="shared" si="21"/>
        <v>5775.9770000000008</v>
      </c>
      <c r="I79" s="225">
        <f t="shared" si="21"/>
        <v>6149.5429999999997</v>
      </c>
      <c r="J79" s="225">
        <f t="shared" si="21"/>
        <v>5848.1560000000009</v>
      </c>
      <c r="K79" s="225">
        <f t="shared" si="21"/>
        <v>5727.2649999999994</v>
      </c>
      <c r="L79" s="225">
        <f t="shared" si="21"/>
        <v>5415.0239999999994</v>
      </c>
      <c r="M79" s="225">
        <f t="shared" si="21"/>
        <v>5497.0220000000008</v>
      </c>
      <c r="N79" s="225">
        <f t="shared" si="21"/>
        <v>5603.2479999999996</v>
      </c>
      <c r="O79" s="225">
        <f t="shared" si="21"/>
        <v>5631.5079999999998</v>
      </c>
      <c r="P79" s="216">
        <f t="shared" si="19"/>
        <v>67957.7</v>
      </c>
      <c r="Q79"/>
      <c r="R79"/>
      <c r="S79"/>
      <c r="T79"/>
    </row>
    <row r="80" spans="1:20">
      <c r="A80">
        <v>12</v>
      </c>
      <c r="B80" s="459">
        <f t="shared" si="20"/>
        <v>0</v>
      </c>
      <c r="C80" s="281">
        <f t="shared" si="23"/>
        <v>0</v>
      </c>
      <c r="D80" s="225">
        <f t="shared" ref="D80:F91" si="24">IF(D53&gt;3000,D53-3000,0)</f>
        <v>1980.2330000000002</v>
      </c>
      <c r="E80" s="225">
        <f t="shared" si="24"/>
        <v>1999.5879999999997</v>
      </c>
      <c r="F80" s="225">
        <f t="shared" si="24"/>
        <v>2543.7340000000004</v>
      </c>
      <c r="G80" s="225">
        <f t="shared" si="21"/>
        <v>2907.4949999999999</v>
      </c>
      <c r="H80" s="225">
        <f t="shared" si="21"/>
        <v>3389.4269999999997</v>
      </c>
      <c r="I80" s="225">
        <f t="shared" si="21"/>
        <v>3828.66</v>
      </c>
      <c r="J80" s="225">
        <f t="shared" si="21"/>
        <v>4121.8649999999998</v>
      </c>
      <c r="K80" s="225">
        <f t="shared" si="21"/>
        <v>4273.9849999999997</v>
      </c>
      <c r="L80" s="225">
        <f t="shared" si="21"/>
        <v>3707.2110000000002</v>
      </c>
      <c r="M80" s="225">
        <f t="shared" si="21"/>
        <v>2606.3140000000003</v>
      </c>
      <c r="N80" s="225">
        <f t="shared" si="21"/>
        <v>1896.1009999999997</v>
      </c>
      <c r="O80" s="225">
        <f t="shared" si="21"/>
        <v>1949.0129999999999</v>
      </c>
      <c r="P80" s="216">
        <f t="shared" si="19"/>
        <v>35203.626000000004</v>
      </c>
      <c r="Q80"/>
      <c r="R80"/>
      <c r="S80"/>
      <c r="T80"/>
    </row>
    <row r="81" spans="1:20">
      <c r="A81">
        <v>13</v>
      </c>
      <c r="B81" s="459">
        <f t="shared" si="20"/>
        <v>0</v>
      </c>
      <c r="C81" s="281">
        <f t="shared" si="23"/>
        <v>0</v>
      </c>
      <c r="D81" s="225">
        <f t="shared" si="24"/>
        <v>0</v>
      </c>
      <c r="E81" s="225">
        <f t="shared" si="24"/>
        <v>0</v>
      </c>
      <c r="F81" s="225">
        <f t="shared" si="24"/>
        <v>0</v>
      </c>
      <c r="G81" s="225">
        <f t="shared" si="21"/>
        <v>0</v>
      </c>
      <c r="H81" s="225">
        <f t="shared" si="21"/>
        <v>0</v>
      </c>
      <c r="I81" s="225">
        <f t="shared" si="21"/>
        <v>0</v>
      </c>
      <c r="J81" s="225">
        <f t="shared" si="21"/>
        <v>0</v>
      </c>
      <c r="K81" s="225">
        <f t="shared" si="21"/>
        <v>0</v>
      </c>
      <c r="L81" s="225">
        <f t="shared" si="21"/>
        <v>0</v>
      </c>
      <c r="M81" s="225">
        <f t="shared" si="21"/>
        <v>0</v>
      </c>
      <c r="N81" s="225">
        <f t="shared" si="21"/>
        <v>0</v>
      </c>
      <c r="O81" s="225">
        <f t="shared" si="21"/>
        <v>0</v>
      </c>
      <c r="P81" s="216">
        <f t="shared" si="19"/>
        <v>0</v>
      </c>
      <c r="Q81"/>
      <c r="R81"/>
      <c r="S81"/>
      <c r="T81"/>
    </row>
    <row r="82" spans="1:20">
      <c r="A82">
        <v>14</v>
      </c>
      <c r="B82" s="459">
        <f t="shared" si="20"/>
        <v>0</v>
      </c>
      <c r="C82" s="281">
        <f t="shared" si="23"/>
        <v>0</v>
      </c>
      <c r="D82" s="225">
        <f t="shared" si="24"/>
        <v>2920.46</v>
      </c>
      <c r="E82" s="225">
        <f t="shared" si="24"/>
        <v>2993.2539999999999</v>
      </c>
      <c r="F82" s="225">
        <f t="shared" si="24"/>
        <v>2928.2049999999999</v>
      </c>
      <c r="G82" s="225">
        <f t="shared" si="21"/>
        <v>2817.009</v>
      </c>
      <c r="H82" s="225">
        <f t="shared" si="21"/>
        <v>3388.3950000000004</v>
      </c>
      <c r="I82" s="225">
        <f t="shared" si="21"/>
        <v>3221.201</v>
      </c>
      <c r="J82" s="225">
        <f t="shared" si="21"/>
        <v>3304.875</v>
      </c>
      <c r="K82" s="225">
        <f t="shared" si="21"/>
        <v>3173.893</v>
      </c>
      <c r="L82" s="225">
        <f t="shared" si="21"/>
        <v>3325.0529999999999</v>
      </c>
      <c r="M82" s="225">
        <f t="shared" si="21"/>
        <v>3242.3940000000002</v>
      </c>
      <c r="N82" s="225">
        <f t="shared" si="21"/>
        <v>3406.4470000000001</v>
      </c>
      <c r="O82" s="225">
        <f t="shared" si="21"/>
        <v>3101.6930000000002</v>
      </c>
      <c r="P82" s="216">
        <f t="shared" si="19"/>
        <v>37822.879000000001</v>
      </c>
      <c r="Q82"/>
      <c r="R82"/>
      <c r="S82"/>
      <c r="T82"/>
    </row>
    <row r="83" spans="1:20">
      <c r="A83">
        <v>15</v>
      </c>
      <c r="B83" s="459">
        <f t="shared" si="20"/>
        <v>0</v>
      </c>
      <c r="C83" s="281">
        <f t="shared" si="23"/>
        <v>0</v>
      </c>
      <c r="D83" s="225">
        <f t="shared" si="24"/>
        <v>0</v>
      </c>
      <c r="E83" s="225">
        <f t="shared" si="24"/>
        <v>0</v>
      </c>
      <c r="F83" s="225">
        <f t="shared" si="24"/>
        <v>0</v>
      </c>
      <c r="G83" s="225">
        <f t="shared" si="21"/>
        <v>0</v>
      </c>
      <c r="H83" s="225">
        <f t="shared" si="21"/>
        <v>409.6239999999998</v>
      </c>
      <c r="I83" s="225">
        <f t="shared" si="21"/>
        <v>301.98</v>
      </c>
      <c r="J83" s="225">
        <f t="shared" si="21"/>
        <v>509.39100000000008</v>
      </c>
      <c r="K83" s="225">
        <f t="shared" si="21"/>
        <v>666.56899999999996</v>
      </c>
      <c r="L83" s="225">
        <f t="shared" si="21"/>
        <v>697.69900000000007</v>
      </c>
      <c r="M83" s="225">
        <f t="shared" si="21"/>
        <v>131.40900000000011</v>
      </c>
      <c r="N83" s="225">
        <f t="shared" si="21"/>
        <v>0</v>
      </c>
      <c r="O83" s="225">
        <f t="shared" si="21"/>
        <v>0</v>
      </c>
      <c r="P83" s="216">
        <f t="shared" si="19"/>
        <v>2716.672</v>
      </c>
      <c r="Q83"/>
      <c r="R83"/>
      <c r="S83"/>
      <c r="T83"/>
    </row>
    <row r="84" spans="1:20">
      <c r="A84">
        <v>16</v>
      </c>
      <c r="B84" s="459">
        <f t="shared" si="20"/>
        <v>0</v>
      </c>
      <c r="C84" s="281">
        <f t="shared" si="23"/>
        <v>0</v>
      </c>
      <c r="D84" s="225">
        <f t="shared" si="24"/>
        <v>2028.1019999999999</v>
      </c>
      <c r="E84" s="225">
        <f t="shared" si="24"/>
        <v>1788.4679999999998</v>
      </c>
      <c r="F84" s="225">
        <f t="shared" si="24"/>
        <v>1942.8050000000003</v>
      </c>
      <c r="G84" s="225">
        <f t="shared" si="21"/>
        <v>1612.442</v>
      </c>
      <c r="H84" s="225">
        <f t="shared" si="21"/>
        <v>1606.8090000000002</v>
      </c>
      <c r="I84" s="225">
        <f t="shared" si="21"/>
        <v>1393.9700000000003</v>
      </c>
      <c r="J84" s="225">
        <f t="shared" si="21"/>
        <v>1423.7870000000003</v>
      </c>
      <c r="K84" s="225">
        <f t="shared" si="21"/>
        <v>1237.9390000000003</v>
      </c>
      <c r="L84" s="225">
        <f t="shared" si="21"/>
        <v>1362.2529999999997</v>
      </c>
      <c r="M84" s="225">
        <f t="shared" si="21"/>
        <v>1489.8590000000004</v>
      </c>
      <c r="N84" s="225">
        <f t="shared" si="21"/>
        <v>1602.6000000000004</v>
      </c>
      <c r="O84" s="225">
        <f t="shared" si="21"/>
        <v>1523.5379999999996</v>
      </c>
      <c r="P84" s="216">
        <f t="shared" si="19"/>
        <v>19012.572</v>
      </c>
      <c r="Q84"/>
      <c r="R84"/>
      <c r="S84"/>
      <c r="T84"/>
    </row>
    <row r="85" spans="1:20">
      <c r="A85">
        <v>17</v>
      </c>
      <c r="B85" s="459">
        <f t="shared" si="20"/>
        <v>0</v>
      </c>
      <c r="C85" s="281">
        <f t="shared" si="23"/>
        <v>0</v>
      </c>
      <c r="D85" s="225">
        <f t="shared" si="24"/>
        <v>1576.1419999999998</v>
      </c>
      <c r="E85" s="225">
        <f t="shared" si="24"/>
        <v>1593.7479999999996</v>
      </c>
      <c r="F85" s="225">
        <f t="shared" si="24"/>
        <v>1793.0240000000003</v>
      </c>
      <c r="G85" s="225">
        <f t="shared" si="21"/>
        <v>1269.5659999999998</v>
      </c>
      <c r="H85" s="225">
        <f t="shared" si="21"/>
        <v>1178.7259999999997</v>
      </c>
      <c r="I85" s="225">
        <f t="shared" si="21"/>
        <v>1025.9749999999999</v>
      </c>
      <c r="J85" s="225">
        <f t="shared" si="21"/>
        <v>1061.17</v>
      </c>
      <c r="K85" s="225">
        <f t="shared" si="21"/>
        <v>1215.1300000000001</v>
      </c>
      <c r="L85" s="225">
        <f t="shared" si="21"/>
        <v>1599.915</v>
      </c>
      <c r="M85" s="225">
        <f t="shared" si="21"/>
        <v>1512.3909999999996</v>
      </c>
      <c r="N85" s="225">
        <f t="shared" si="21"/>
        <v>1444.4250000000002</v>
      </c>
      <c r="O85" s="225">
        <f t="shared" si="21"/>
        <v>1482.9390000000003</v>
      </c>
      <c r="P85" s="216">
        <f t="shared" si="19"/>
        <v>16753.150999999998</v>
      </c>
      <c r="Q85"/>
      <c r="R85"/>
      <c r="S85"/>
      <c r="T85"/>
    </row>
    <row r="86" spans="1:20">
      <c r="A86">
        <v>18</v>
      </c>
      <c r="B86" s="459">
        <f t="shared" si="20"/>
        <v>0</v>
      </c>
      <c r="C86" s="281">
        <f t="shared" si="23"/>
        <v>0</v>
      </c>
      <c r="D86" s="225">
        <f t="shared" si="24"/>
        <v>4561.8</v>
      </c>
      <c r="E86" s="225">
        <f t="shared" si="24"/>
        <v>4319.55</v>
      </c>
      <c r="F86" s="225">
        <f t="shared" si="24"/>
        <v>3877.6000000000004</v>
      </c>
      <c r="G86" s="225">
        <f t="shared" ref="G86:O91" si="25">MAX(0,G59-3000)</f>
        <v>4474.16</v>
      </c>
      <c r="H86" s="225">
        <f t="shared" si="25"/>
        <v>5302.59</v>
      </c>
      <c r="I86" s="225">
        <f t="shared" si="25"/>
        <v>6730.33</v>
      </c>
      <c r="J86" s="225">
        <f t="shared" si="25"/>
        <v>7780.8899999999994</v>
      </c>
      <c r="K86" s="225">
        <f t="shared" si="25"/>
        <v>8330.56</v>
      </c>
      <c r="L86" s="225">
        <f t="shared" si="25"/>
        <v>7798.0599999999995</v>
      </c>
      <c r="M86" s="225">
        <f t="shared" si="25"/>
        <v>4293.78</v>
      </c>
      <c r="N86" s="225">
        <f t="shared" si="25"/>
        <v>4735.3999999999996</v>
      </c>
      <c r="O86" s="225">
        <f t="shared" si="25"/>
        <v>4646.46</v>
      </c>
      <c r="P86" s="216">
        <f t="shared" si="19"/>
        <v>66851.179999999993</v>
      </c>
      <c r="Q86"/>
      <c r="R86"/>
      <c r="S86"/>
      <c r="T86"/>
    </row>
    <row r="87" spans="1:20">
      <c r="A87">
        <v>19</v>
      </c>
      <c r="B87" s="459">
        <f t="shared" si="20"/>
        <v>0</v>
      </c>
      <c r="C87" s="281">
        <f t="shared" si="23"/>
        <v>0</v>
      </c>
      <c r="D87" s="225">
        <f t="shared" si="24"/>
        <v>2925.4719999999998</v>
      </c>
      <c r="E87" s="225">
        <f t="shared" si="24"/>
        <v>2829.2190000000001</v>
      </c>
      <c r="F87" s="225">
        <f t="shared" si="24"/>
        <v>2446.5500000000002</v>
      </c>
      <c r="G87" s="225">
        <f t="shared" si="25"/>
        <v>2450.83</v>
      </c>
      <c r="H87" s="225">
        <f t="shared" si="25"/>
        <v>1763.3630000000003</v>
      </c>
      <c r="I87" s="225">
        <f t="shared" si="25"/>
        <v>1751.4009999999998</v>
      </c>
      <c r="J87" s="225">
        <f t="shared" si="25"/>
        <v>1657.9499999999998</v>
      </c>
      <c r="K87" s="225">
        <f t="shared" si="25"/>
        <v>2287.0439999999999</v>
      </c>
      <c r="L87" s="225">
        <f t="shared" si="25"/>
        <v>2266.2640000000001</v>
      </c>
      <c r="M87" s="225">
        <f t="shared" si="25"/>
        <v>2678.3630000000003</v>
      </c>
      <c r="N87" s="225">
        <f t="shared" si="25"/>
        <v>2797.1559999999999</v>
      </c>
      <c r="O87" s="225">
        <f t="shared" si="25"/>
        <v>2921.9229999999998</v>
      </c>
      <c r="P87" s="216">
        <f t="shared" si="19"/>
        <v>28775.534999999996</v>
      </c>
      <c r="Q87"/>
      <c r="R87"/>
      <c r="S87"/>
      <c r="T87"/>
    </row>
    <row r="88" spans="1:20">
      <c r="A88">
        <v>20</v>
      </c>
      <c r="B88" s="459">
        <f t="shared" si="20"/>
        <v>0</v>
      </c>
      <c r="C88" s="281">
        <f t="shared" si="23"/>
        <v>0</v>
      </c>
      <c r="D88" s="225">
        <f t="shared" si="24"/>
        <v>2543.0239999999994</v>
      </c>
      <c r="E88" s="225">
        <f t="shared" si="24"/>
        <v>6427.7479999999996</v>
      </c>
      <c r="F88" s="225">
        <f t="shared" si="24"/>
        <v>2699.7960000000003</v>
      </c>
      <c r="G88" s="225">
        <f t="shared" si="25"/>
        <v>2095.9430000000002</v>
      </c>
      <c r="H88" s="225">
        <f t="shared" si="25"/>
        <v>1944.7250000000004</v>
      </c>
      <c r="I88" s="225">
        <f t="shared" si="25"/>
        <v>1815.7870000000003</v>
      </c>
      <c r="J88" s="225">
        <f t="shared" si="25"/>
        <v>1644.2190000000001</v>
      </c>
      <c r="K88" s="225">
        <f t="shared" si="25"/>
        <v>1858.576</v>
      </c>
      <c r="L88" s="225">
        <f t="shared" si="25"/>
        <v>1945.268</v>
      </c>
      <c r="M88" s="225">
        <f t="shared" si="25"/>
        <v>2057.2399999999998</v>
      </c>
      <c r="N88" s="225">
        <f t="shared" si="25"/>
        <v>1988.9480000000003</v>
      </c>
      <c r="O88" s="225">
        <f t="shared" si="25"/>
        <v>1920.2280000000001</v>
      </c>
      <c r="P88" s="216">
        <f t="shared" si="19"/>
        <v>28941.502</v>
      </c>
      <c r="Q88"/>
      <c r="R88"/>
      <c r="S88"/>
      <c r="T88"/>
    </row>
    <row r="89" spans="1:20">
      <c r="A89">
        <v>21</v>
      </c>
      <c r="B89" s="459">
        <f t="shared" si="20"/>
        <v>0</v>
      </c>
      <c r="C89" s="281">
        <f t="shared" si="23"/>
        <v>0</v>
      </c>
      <c r="D89" s="225">
        <f t="shared" si="24"/>
        <v>1283.5569999999998</v>
      </c>
      <c r="E89" s="225">
        <f t="shared" si="24"/>
        <v>1289.8339999999998</v>
      </c>
      <c r="F89" s="225">
        <f t="shared" si="24"/>
        <v>1226.067</v>
      </c>
      <c r="G89" s="225">
        <f t="shared" si="25"/>
        <v>1553.3199999999997</v>
      </c>
      <c r="H89" s="225">
        <f t="shared" si="25"/>
        <v>2085.1450000000004</v>
      </c>
      <c r="I89" s="225">
        <f t="shared" si="25"/>
        <v>3309.3789999999999</v>
      </c>
      <c r="J89" s="225">
        <f t="shared" si="25"/>
        <v>2919.558</v>
      </c>
      <c r="K89" s="225">
        <f t="shared" si="25"/>
        <v>4191.9350000000004</v>
      </c>
      <c r="L89" s="225">
        <f t="shared" si="25"/>
        <v>6554.7289999999994</v>
      </c>
      <c r="M89" s="225">
        <f t="shared" si="25"/>
        <v>5275.527</v>
      </c>
      <c r="N89" s="225">
        <f t="shared" si="25"/>
        <v>1245.8639999999996</v>
      </c>
      <c r="O89" s="225">
        <f t="shared" si="25"/>
        <v>1204.433</v>
      </c>
      <c r="P89" s="216">
        <f t="shared" si="19"/>
        <v>32139.348000000002</v>
      </c>
      <c r="Q89"/>
      <c r="R89"/>
      <c r="S89"/>
      <c r="T89"/>
    </row>
    <row r="90" spans="1:20">
      <c r="A90">
        <v>22</v>
      </c>
      <c r="B90" s="459">
        <f t="shared" si="20"/>
        <v>0</v>
      </c>
      <c r="C90" s="281">
        <f t="shared" si="23"/>
        <v>0</v>
      </c>
      <c r="D90" s="225">
        <f t="shared" si="24"/>
        <v>0</v>
      </c>
      <c r="E90" s="225">
        <f t="shared" si="24"/>
        <v>0</v>
      </c>
      <c r="F90" s="225">
        <f t="shared" si="24"/>
        <v>0</v>
      </c>
      <c r="G90" s="225">
        <f t="shared" si="25"/>
        <v>0</v>
      </c>
      <c r="H90" s="225">
        <f t="shared" si="25"/>
        <v>0</v>
      </c>
      <c r="I90" s="225">
        <f t="shared" si="25"/>
        <v>0</v>
      </c>
      <c r="J90" s="225">
        <f t="shared" si="25"/>
        <v>0</v>
      </c>
      <c r="K90" s="225">
        <f t="shared" si="25"/>
        <v>0</v>
      </c>
      <c r="L90" s="225">
        <f t="shared" si="25"/>
        <v>0</v>
      </c>
      <c r="M90" s="225">
        <f t="shared" si="25"/>
        <v>3979.9009999999998</v>
      </c>
      <c r="N90" s="225">
        <f t="shared" si="25"/>
        <v>3503.0730000000003</v>
      </c>
      <c r="O90" s="225">
        <f t="shared" si="25"/>
        <v>3407.7510000000002</v>
      </c>
      <c r="P90" s="216">
        <f t="shared" si="19"/>
        <v>10890.725</v>
      </c>
      <c r="Q90"/>
      <c r="R90"/>
      <c r="S90"/>
      <c r="T90"/>
    </row>
    <row r="91" spans="1:20">
      <c r="A91">
        <v>23</v>
      </c>
      <c r="B91" s="459">
        <f t="shared" si="20"/>
        <v>0</v>
      </c>
      <c r="C91" s="281">
        <f t="shared" si="23"/>
        <v>0</v>
      </c>
      <c r="D91" s="225">
        <f t="shared" si="24"/>
        <v>733.76000000000022</v>
      </c>
      <c r="E91" s="225">
        <f t="shared" si="24"/>
        <v>840.74800000000005</v>
      </c>
      <c r="F91" s="225">
        <f t="shared" si="24"/>
        <v>713.14199999999983</v>
      </c>
      <c r="G91" s="225">
        <f t="shared" si="25"/>
        <v>775.55499999999984</v>
      </c>
      <c r="H91" s="225">
        <f t="shared" si="25"/>
        <v>660.16400000000021</v>
      </c>
      <c r="I91" s="225">
        <f t="shared" si="25"/>
        <v>602.38599999999997</v>
      </c>
      <c r="J91" s="225">
        <f t="shared" si="25"/>
        <v>660.21300000000019</v>
      </c>
      <c r="K91" s="225">
        <f t="shared" si="25"/>
        <v>628.87800000000016</v>
      </c>
      <c r="L91" s="225">
        <f t="shared" si="25"/>
        <v>524.97899999999981</v>
      </c>
      <c r="M91" s="225">
        <f t="shared" si="25"/>
        <v>638.94599999999991</v>
      </c>
      <c r="N91" s="225">
        <f t="shared" si="25"/>
        <v>738.23599999999988</v>
      </c>
      <c r="O91" s="225">
        <f t="shared" si="25"/>
        <v>734.71399999999994</v>
      </c>
      <c r="P91" s="216">
        <f t="shared" si="19"/>
        <v>8251.7210000000014</v>
      </c>
      <c r="Q91"/>
      <c r="R91"/>
      <c r="S91"/>
      <c r="T91"/>
    </row>
    <row r="92" spans="1:20">
      <c r="A92"/>
      <c r="B92" t="s">
        <v>2184</v>
      </c>
      <c r="C92" s="13"/>
      <c r="D92" s="282">
        <f t="shared" ref="D92:O92" si="26">SUM(D69:D91)</f>
        <v>100307.94600000001</v>
      </c>
      <c r="E92" s="282">
        <f t="shared" si="26"/>
        <v>105573.67099999999</v>
      </c>
      <c r="F92" s="282">
        <f t="shared" si="26"/>
        <v>103578.51500000001</v>
      </c>
      <c r="G92" s="282">
        <f t="shared" si="26"/>
        <v>101681.19700000001</v>
      </c>
      <c r="H92" s="282">
        <f t="shared" si="26"/>
        <v>111594.18799999999</v>
      </c>
      <c r="I92" s="282">
        <f t="shared" si="26"/>
        <v>106873.28600000001</v>
      </c>
      <c r="J92" s="282">
        <f t="shared" si="26"/>
        <v>108656.73200000002</v>
      </c>
      <c r="K92" s="282">
        <f t="shared" si="26"/>
        <v>114087.075</v>
      </c>
      <c r="L92" s="282">
        <f t="shared" si="26"/>
        <v>112774.88699999997</v>
      </c>
      <c r="M92" s="283">
        <f t="shared" si="26"/>
        <v>108540.73899999999</v>
      </c>
      <c r="N92" s="283">
        <f t="shared" si="26"/>
        <v>101930.251</v>
      </c>
      <c r="O92" s="283">
        <f t="shared" si="26"/>
        <v>103000.66800000001</v>
      </c>
      <c r="P92" s="283">
        <f>IF(ROUND(SUM(P69:P91),0)&lt;&gt;ROUND(SUM(D92:O92),0),#VALUE!,SUM(P69:P91))</f>
        <v>1278599.155</v>
      </c>
      <c r="Q92"/>
      <c r="R92"/>
      <c r="S92"/>
      <c r="T92"/>
    </row>
    <row r="93" spans="1:20">
      <c r="A93"/>
      <c r="B93"/>
      <c r="C93" s="13"/>
      <c r="D93" s="225"/>
      <c r="E93" s="225"/>
      <c r="F93" s="225"/>
      <c r="G93" s="225"/>
      <c r="H93" s="225"/>
      <c r="I93" s="225"/>
      <c r="J93" s="225"/>
      <c r="K93" s="225"/>
      <c r="L93" s="225"/>
      <c r="M93" s="216"/>
      <c r="N93" s="216"/>
      <c r="O93" s="216"/>
      <c r="P93" s="216"/>
      <c r="Q93"/>
      <c r="R93"/>
      <c r="S93"/>
      <c r="T93"/>
    </row>
    <row r="94" spans="1:20">
      <c r="A94"/>
      <c r="B94"/>
      <c r="C94"/>
      <c r="D94" s="284"/>
      <c r="E94" s="284"/>
      <c r="F94" s="284"/>
      <c r="G94" s="284"/>
      <c r="H94" s="284"/>
      <c r="I94" s="284"/>
      <c r="J94" s="284"/>
      <c r="K94" s="284"/>
      <c r="L94" s="284"/>
      <c r="M94" s="285"/>
      <c r="N94" s="285"/>
      <c r="O94" s="285"/>
      <c r="P94" s="285"/>
      <c r="Q94"/>
      <c r="R94"/>
      <c r="S94"/>
      <c r="T94"/>
    </row>
    <row r="95" spans="1:20">
      <c r="A95"/>
      <c r="B95"/>
      <c r="C95"/>
      <c r="D95" s="284"/>
      <c r="E95" s="284"/>
      <c r="F95" s="284"/>
      <c r="G95" s="284"/>
      <c r="H95" s="284"/>
      <c r="I95" s="284"/>
      <c r="J95" s="284"/>
      <c r="K95" s="284"/>
      <c r="L95" s="284"/>
      <c r="M95" s="285"/>
      <c r="N95" s="285"/>
      <c r="O95" s="285"/>
      <c r="P95" s="285"/>
      <c r="Q95"/>
      <c r="R95"/>
      <c r="S95"/>
      <c r="T95"/>
    </row>
    <row r="96" spans="1:20">
      <c r="A96"/>
      <c r="B96"/>
      <c r="C96"/>
      <c r="D96" s="284"/>
      <c r="E96" s="284"/>
      <c r="F96" s="284"/>
      <c r="G96" s="284"/>
      <c r="H96" s="284"/>
      <c r="I96" s="284"/>
      <c r="J96" s="284"/>
      <c r="K96" s="284"/>
      <c r="L96" s="284"/>
      <c r="M96" s="285"/>
      <c r="N96" s="285"/>
      <c r="O96" s="285"/>
      <c r="P96" s="5"/>
      <c r="Q96"/>
      <c r="R96"/>
      <c r="S96"/>
      <c r="T96"/>
    </row>
    <row r="97" spans="1:20">
      <c r="A97"/>
      <c r="B97" s="263" t="s">
        <v>2417</v>
      </c>
      <c r="C97"/>
      <c r="D97" s="275">
        <f t="shared" ref="D97:O97" si="27">D$3</f>
        <v>43466</v>
      </c>
      <c r="E97" s="275">
        <f t="shared" si="27"/>
        <v>43497</v>
      </c>
      <c r="F97" s="275">
        <f t="shared" si="27"/>
        <v>43525</v>
      </c>
      <c r="G97" s="275">
        <f t="shared" si="27"/>
        <v>43556</v>
      </c>
      <c r="H97" s="275">
        <f t="shared" si="27"/>
        <v>43586</v>
      </c>
      <c r="I97" s="275">
        <f t="shared" si="27"/>
        <v>43617</v>
      </c>
      <c r="J97" s="275">
        <f t="shared" si="27"/>
        <v>43647</v>
      </c>
      <c r="K97" s="275">
        <f t="shared" si="27"/>
        <v>43678</v>
      </c>
      <c r="L97" s="275">
        <f t="shared" si="27"/>
        <v>43709</v>
      </c>
      <c r="M97" s="276">
        <f t="shared" si="27"/>
        <v>43739</v>
      </c>
      <c r="N97" s="276">
        <f t="shared" si="27"/>
        <v>43770</v>
      </c>
      <c r="O97" s="276">
        <f t="shared" si="27"/>
        <v>43800</v>
      </c>
      <c r="P97" s="262" t="s">
        <v>277</v>
      </c>
      <c r="Q97"/>
      <c r="R97"/>
      <c r="S97"/>
      <c r="T97"/>
    </row>
    <row r="98" spans="1:20">
      <c r="A98"/>
      <c r="B98" t="s">
        <v>2456</v>
      </c>
      <c r="C98"/>
      <c r="D98" s="286">
        <v>4804344</v>
      </c>
      <c r="E98" s="286">
        <v>4739292</v>
      </c>
      <c r="F98" s="286">
        <v>4456332</v>
      </c>
      <c r="G98" s="286">
        <v>4364316</v>
      </c>
      <c r="H98" s="286">
        <v>4962600</v>
      </c>
      <c r="I98" s="286">
        <v>4298868</v>
      </c>
      <c r="J98" s="286">
        <v>4247388</v>
      </c>
      <c r="K98" s="286">
        <v>4172868</v>
      </c>
      <c r="L98" s="286">
        <v>4273704</v>
      </c>
      <c r="M98" s="204">
        <v>4882824</v>
      </c>
      <c r="N98" s="204">
        <v>5588964</v>
      </c>
      <c r="O98" s="204">
        <v>4940424</v>
      </c>
      <c r="P98" s="287">
        <f>SUM(D98:O98)</f>
        <v>55731924</v>
      </c>
      <c r="Q98"/>
      <c r="R98"/>
      <c r="S98"/>
      <c r="T98"/>
    </row>
    <row r="99" spans="1:20">
      <c r="A99"/>
      <c r="B99" t="s">
        <v>2457</v>
      </c>
      <c r="C99"/>
      <c r="D99" s="288">
        <v>1340460</v>
      </c>
      <c r="E99" s="289">
        <v>1260120</v>
      </c>
      <c r="F99" s="289">
        <v>1254990</v>
      </c>
      <c r="G99" s="289">
        <v>1164780</v>
      </c>
      <c r="H99" s="289">
        <v>1248310</v>
      </c>
      <c r="I99" s="289">
        <v>1191540</v>
      </c>
      <c r="J99" s="289">
        <v>1245980</v>
      </c>
      <c r="K99" s="289">
        <v>1275890</v>
      </c>
      <c r="L99" s="289">
        <v>1221090</v>
      </c>
      <c r="M99" s="205">
        <v>1274280</v>
      </c>
      <c r="N99" s="205">
        <v>1369690</v>
      </c>
      <c r="O99" s="205">
        <v>1357010</v>
      </c>
      <c r="P99" s="290">
        <f>SUM(D99:O99)</f>
        <v>15204140</v>
      </c>
      <c r="Q99"/>
      <c r="R99"/>
      <c r="S99"/>
      <c r="T99"/>
    </row>
    <row r="100" spans="1:20">
      <c r="A100"/>
      <c r="B100" t="s">
        <v>2458</v>
      </c>
      <c r="C100"/>
      <c r="D100" s="286">
        <v>30017088</v>
      </c>
      <c r="E100" s="286">
        <v>29056392</v>
      </c>
      <c r="F100" s="286">
        <v>29564784</v>
      </c>
      <c r="G100" s="286">
        <v>28753272</v>
      </c>
      <c r="H100" s="286">
        <v>32473728</v>
      </c>
      <c r="I100" s="286">
        <v>32054184</v>
      </c>
      <c r="J100" s="286">
        <v>34821000</v>
      </c>
      <c r="K100" s="286">
        <v>34886520</v>
      </c>
      <c r="L100" s="286">
        <v>33120072</v>
      </c>
      <c r="M100" s="204">
        <v>34481952</v>
      </c>
      <c r="N100" s="204">
        <v>26445600</v>
      </c>
      <c r="O100" s="204">
        <v>34488792</v>
      </c>
      <c r="P100" s="287">
        <f>SUM(D100:O100)</f>
        <v>380163384</v>
      </c>
      <c r="Q100"/>
      <c r="R100"/>
      <c r="S100"/>
      <c r="T100"/>
    </row>
    <row r="101" spans="1:20">
      <c r="A101" t="s">
        <v>417</v>
      </c>
      <c r="B101" t="s">
        <v>2459</v>
      </c>
      <c r="C101"/>
      <c r="D101" s="278">
        <f t="shared" ref="D101:P101" si="28">SUM(D98:D100)</f>
        <v>36161892</v>
      </c>
      <c r="E101" s="278">
        <f t="shared" si="28"/>
        <v>35055804</v>
      </c>
      <c r="F101" s="278">
        <f t="shared" si="28"/>
        <v>35276106</v>
      </c>
      <c r="G101" s="278">
        <f t="shared" si="28"/>
        <v>34282368</v>
      </c>
      <c r="H101" s="278">
        <f t="shared" si="28"/>
        <v>38684638</v>
      </c>
      <c r="I101" s="278">
        <f t="shared" si="28"/>
        <v>37544592</v>
      </c>
      <c r="J101" s="278">
        <f t="shared" si="28"/>
        <v>40314368</v>
      </c>
      <c r="K101" s="278">
        <f t="shared" si="28"/>
        <v>40335278</v>
      </c>
      <c r="L101" s="278">
        <f t="shared" si="28"/>
        <v>38614866</v>
      </c>
      <c r="M101" s="279">
        <f t="shared" si="28"/>
        <v>40639056</v>
      </c>
      <c r="N101" s="279">
        <f t="shared" si="28"/>
        <v>33404254</v>
      </c>
      <c r="O101" s="279">
        <f t="shared" si="28"/>
        <v>40786226</v>
      </c>
      <c r="P101" s="279">
        <f t="shared" si="28"/>
        <v>451099448</v>
      </c>
      <c r="Q101"/>
      <c r="R101" s="2">
        <f>P12</f>
        <v>451099448</v>
      </c>
      <c r="S101"/>
      <c r="T101"/>
    </row>
    <row r="102" spans="1:20">
      <c r="A102"/>
      <c r="B102"/>
      <c r="C102"/>
      <c r="D102" s="183">
        <f>D12-D101</f>
        <v>0</v>
      </c>
      <c r="E102" s="183">
        <f t="shared" ref="E102:P102" si="29">E12-E101</f>
        <v>0</v>
      </c>
      <c r="F102" s="183">
        <f t="shared" si="29"/>
        <v>0</v>
      </c>
      <c r="G102" s="183">
        <f t="shared" si="29"/>
        <v>0</v>
      </c>
      <c r="H102" s="183">
        <f t="shared" si="29"/>
        <v>0</v>
      </c>
      <c r="I102" s="183">
        <f t="shared" si="29"/>
        <v>0</v>
      </c>
      <c r="J102" s="183">
        <f t="shared" si="29"/>
        <v>0</v>
      </c>
      <c r="K102" s="183">
        <f t="shared" si="29"/>
        <v>0</v>
      </c>
      <c r="L102" s="183">
        <f t="shared" si="29"/>
        <v>0</v>
      </c>
      <c r="M102" s="183">
        <f t="shared" si="29"/>
        <v>0</v>
      </c>
      <c r="N102" s="183">
        <f t="shared" si="29"/>
        <v>0</v>
      </c>
      <c r="O102" s="183">
        <f t="shared" si="29"/>
        <v>0</v>
      </c>
      <c r="P102" s="183">
        <f t="shared" si="29"/>
        <v>0</v>
      </c>
      <c r="Q102"/>
      <c r="R102"/>
      <c r="S102"/>
      <c r="T102"/>
    </row>
    <row r="103" spans="1:20">
      <c r="A103"/>
      <c r="B103" s="263" t="s">
        <v>2418</v>
      </c>
      <c r="C103"/>
      <c r="D103" s="77"/>
      <c r="E103" s="77"/>
      <c r="F103" s="77"/>
      <c r="G103" s="77"/>
      <c r="H103" s="77"/>
      <c r="I103" s="77"/>
      <c r="J103" s="77"/>
      <c r="K103" s="77"/>
      <c r="L103" s="77"/>
      <c r="M103"/>
      <c r="N103"/>
      <c r="O103"/>
      <c r="P103"/>
      <c r="Q103"/>
      <c r="R103"/>
      <c r="S103"/>
      <c r="T103"/>
    </row>
    <row r="104" spans="1:20">
      <c r="A104"/>
      <c r="B104" t="s">
        <v>2460</v>
      </c>
      <c r="C104"/>
      <c r="D104" s="286">
        <v>12147.53</v>
      </c>
      <c r="E104" s="286">
        <v>10722.44</v>
      </c>
      <c r="F104" s="286">
        <v>10827.09</v>
      </c>
      <c r="G104" s="286">
        <v>8690.5499999999993</v>
      </c>
      <c r="H104" s="286">
        <v>8811.69</v>
      </c>
      <c r="I104" s="286">
        <v>9212.06</v>
      </c>
      <c r="J104" s="286">
        <v>8570.7199999999993</v>
      </c>
      <c r="K104" s="286">
        <v>8267.4699999999993</v>
      </c>
      <c r="L104" s="286">
        <v>9002.2999999999993</v>
      </c>
      <c r="M104" s="291">
        <v>9878.44</v>
      </c>
      <c r="N104" s="291">
        <v>13562.4</v>
      </c>
      <c r="O104" s="291">
        <v>10503.37</v>
      </c>
      <c r="P104" s="293">
        <f>SUM(D104:O104)</f>
        <v>120196.06</v>
      </c>
      <c r="Q104"/>
      <c r="R104"/>
      <c r="S104"/>
      <c r="T104"/>
    </row>
    <row r="105" spans="1:20">
      <c r="A105"/>
      <c r="B105" t="s">
        <v>2457</v>
      </c>
      <c r="C105"/>
      <c r="D105" s="289"/>
      <c r="E105" s="289"/>
      <c r="F105" s="289"/>
      <c r="G105" s="289"/>
      <c r="H105" s="289"/>
      <c r="I105" s="289"/>
      <c r="J105" s="289"/>
      <c r="K105" s="289"/>
      <c r="L105" s="289"/>
      <c r="M105" s="393"/>
      <c r="N105" s="393"/>
      <c r="O105" s="393"/>
      <c r="P105" s="456">
        <f>SUM(D105:O105)</f>
        <v>0</v>
      </c>
      <c r="Q105"/>
      <c r="R105"/>
      <c r="S105"/>
      <c r="T105"/>
    </row>
    <row r="106" spans="1:20">
      <c r="A106"/>
      <c r="B106" t="s">
        <v>2458</v>
      </c>
      <c r="C106"/>
      <c r="D106" s="286">
        <v>48672</v>
      </c>
      <c r="E106" s="286">
        <v>48816</v>
      </c>
      <c r="F106" s="286">
        <v>52128.800000000003</v>
      </c>
      <c r="G106" s="286">
        <v>51408.2</v>
      </c>
      <c r="H106" s="286">
        <v>50688.2</v>
      </c>
      <c r="I106" s="286">
        <v>51552.2</v>
      </c>
      <c r="J106" s="286">
        <v>52272.2</v>
      </c>
      <c r="K106" s="286">
        <v>54001.73</v>
      </c>
      <c r="L106" s="286">
        <v>52128.2</v>
      </c>
      <c r="M106" s="291">
        <v>54144.19</v>
      </c>
      <c r="N106" s="291">
        <v>51264.2</v>
      </c>
      <c r="O106" s="291">
        <v>54288.19</v>
      </c>
      <c r="P106" s="294">
        <f>SUM(D106:O106)</f>
        <v>621364.1100000001</v>
      </c>
      <c r="Q106"/>
      <c r="R106"/>
      <c r="S106"/>
      <c r="T106"/>
    </row>
    <row r="107" spans="1:20">
      <c r="A107" t="s">
        <v>417</v>
      </c>
      <c r="B107" t="s">
        <v>277</v>
      </c>
      <c r="C107"/>
      <c r="D107" s="282">
        <f t="shared" ref="D107:P107" si="30">SUM(D104:D106)</f>
        <v>60819.53</v>
      </c>
      <c r="E107" s="282">
        <f t="shared" si="30"/>
        <v>59538.44</v>
      </c>
      <c r="F107" s="282">
        <f t="shared" si="30"/>
        <v>62955.89</v>
      </c>
      <c r="G107" s="282">
        <f t="shared" si="30"/>
        <v>60098.75</v>
      </c>
      <c r="H107" s="282">
        <f t="shared" si="30"/>
        <v>59499.89</v>
      </c>
      <c r="I107" s="282">
        <f t="shared" si="30"/>
        <v>60764.259999999995</v>
      </c>
      <c r="J107" s="282">
        <f t="shared" si="30"/>
        <v>60842.92</v>
      </c>
      <c r="K107" s="282">
        <f t="shared" si="30"/>
        <v>62269.200000000004</v>
      </c>
      <c r="L107" s="282">
        <f t="shared" si="30"/>
        <v>61130.5</v>
      </c>
      <c r="M107" s="283">
        <f t="shared" si="30"/>
        <v>64022.630000000005</v>
      </c>
      <c r="N107" s="283">
        <f t="shared" si="30"/>
        <v>64826.6</v>
      </c>
      <c r="O107" s="283">
        <f t="shared" si="30"/>
        <v>64791.560000000005</v>
      </c>
      <c r="P107" s="279">
        <f t="shared" si="30"/>
        <v>741560.17000000016</v>
      </c>
      <c r="Q107"/>
      <c r="R107"/>
      <c r="S107"/>
      <c r="T107"/>
    </row>
    <row r="108" spans="1:20">
      <c r="A108"/>
      <c r="B108"/>
      <c r="C108"/>
      <c r="D108" s="292">
        <f>D50</f>
        <v>56979.76</v>
      </c>
      <c r="E108" s="292">
        <f t="shared" ref="E108:O108" si="31">E50</f>
        <v>58491.21</v>
      </c>
      <c r="F108" s="292">
        <f t="shared" si="31"/>
        <v>60723.97</v>
      </c>
      <c r="G108" s="292">
        <f t="shared" si="31"/>
        <v>60695.18</v>
      </c>
      <c r="H108" s="292">
        <f t="shared" si="31"/>
        <v>59633.5</v>
      </c>
      <c r="I108" s="292">
        <f t="shared" si="31"/>
        <v>59915.37</v>
      </c>
      <c r="J108" s="292">
        <f t="shared" si="31"/>
        <v>60954.8</v>
      </c>
      <c r="K108" s="292">
        <f t="shared" si="31"/>
        <v>62499.94</v>
      </c>
      <c r="L108" s="292">
        <f t="shared" si="31"/>
        <v>60332.9</v>
      </c>
      <c r="M108" s="292">
        <f t="shared" si="31"/>
        <v>61348.84</v>
      </c>
      <c r="N108" s="292">
        <f t="shared" si="31"/>
        <v>61453.18</v>
      </c>
      <c r="O108" s="292">
        <f t="shared" si="31"/>
        <v>62886.96</v>
      </c>
      <c r="P108" s="2">
        <f>SUM(D108:O108)</f>
        <v>725915.61</v>
      </c>
      <c r="Q108"/>
      <c r="R108"/>
      <c r="S108"/>
      <c r="T108"/>
    </row>
    <row r="109" spans="1:20">
      <c r="A109"/>
      <c r="B109"/>
      <c r="C109"/>
      <c r="D109" s="77"/>
      <c r="E109" s="77"/>
      <c r="F109" s="77"/>
      <c r="G109" s="77"/>
      <c r="H109" s="77"/>
      <c r="I109" s="77"/>
      <c r="J109" s="77"/>
      <c r="K109" s="77"/>
      <c r="L109" s="77"/>
      <c r="M109"/>
      <c r="N109"/>
      <c r="O109"/>
      <c r="P109"/>
      <c r="Q109"/>
      <c r="R109"/>
      <c r="S109"/>
      <c r="T109"/>
    </row>
    <row r="110" spans="1:20">
      <c r="A110" s="198" t="s">
        <v>2378</v>
      </c>
      <c r="B110" s="198" t="s">
        <v>2379</v>
      </c>
      <c r="C110" s="394" t="s">
        <v>2524</v>
      </c>
      <c r="D110" s="374">
        <v>1880</v>
      </c>
      <c r="E110" s="374">
        <v>1890</v>
      </c>
      <c r="F110" s="374">
        <v>1870</v>
      </c>
      <c r="G110" s="374">
        <v>1860</v>
      </c>
      <c r="H110" s="374">
        <v>1810</v>
      </c>
      <c r="I110" s="374">
        <v>1810</v>
      </c>
      <c r="J110" s="374">
        <v>1680</v>
      </c>
      <c r="K110" s="374">
        <v>1700</v>
      </c>
      <c r="L110" s="374">
        <v>1740</v>
      </c>
      <c r="M110" s="374">
        <v>1710</v>
      </c>
      <c r="N110" s="374">
        <v>1570</v>
      </c>
      <c r="O110" s="374">
        <v>1940</v>
      </c>
      <c r="P110" s="206">
        <f>AVERAGE(D110:O110)</f>
        <v>1788.3333333333333</v>
      </c>
    </row>
    <row r="111" spans="1:20"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1:20">
      <c r="A112" s="198" t="s">
        <v>2378</v>
      </c>
      <c r="B112" s="198" t="s">
        <v>2566</v>
      </c>
      <c r="C112" s="394" t="s">
        <v>2524</v>
      </c>
      <c r="D112" s="374">
        <v>1820</v>
      </c>
      <c r="E112" s="374">
        <v>1960</v>
      </c>
      <c r="F112" s="374">
        <v>1930</v>
      </c>
      <c r="G112" s="374">
        <v>1800</v>
      </c>
      <c r="H112" s="374">
        <v>1730</v>
      </c>
      <c r="I112" s="374">
        <v>1760</v>
      </c>
      <c r="J112" s="374">
        <v>1670</v>
      </c>
      <c r="K112" s="374">
        <v>1740</v>
      </c>
      <c r="L112" s="374">
        <v>1760</v>
      </c>
      <c r="M112" s="374">
        <v>1760</v>
      </c>
      <c r="N112" s="374">
        <v>1700</v>
      </c>
      <c r="O112" s="374">
        <v>1850</v>
      </c>
      <c r="P112" s="206">
        <f>AVERAGE(D112:O112)</f>
        <v>1790</v>
      </c>
      <c r="Q112"/>
      <c r="R112"/>
    </row>
    <row r="113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>
      <c r="B123" s="207"/>
      <c r="C123" s="208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155"/>
    </row>
    <row r="124" spans="1:18">
      <c r="B124" s="207"/>
      <c r="C124" s="208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155"/>
    </row>
    <row r="125" spans="1:18">
      <c r="B125" s="207"/>
      <c r="C125" s="208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155"/>
    </row>
    <row r="126" spans="1:18">
      <c r="B126" s="207"/>
      <c r="C126" s="208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155"/>
    </row>
    <row r="127" spans="1:18">
      <c r="B127" s="207"/>
      <c r="C127" s="208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155"/>
    </row>
    <row r="128" spans="1:18">
      <c r="B128" s="207"/>
      <c r="C128" s="208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155"/>
    </row>
    <row r="129" spans="2:16">
      <c r="B129" s="207"/>
      <c r="C129" s="208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155"/>
    </row>
    <row r="130" spans="2:16">
      <c r="B130" s="207"/>
      <c r="C130" s="208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155"/>
    </row>
    <row r="131" spans="2:16">
      <c r="B131" s="207"/>
      <c r="C131" s="208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155"/>
    </row>
    <row r="132" spans="2:16">
      <c r="B132" s="207"/>
      <c r="C132" s="208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155"/>
    </row>
    <row r="133" spans="2:16">
      <c r="B133" s="207"/>
      <c r="C133" s="208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155"/>
    </row>
    <row r="134" spans="2:16">
      <c r="B134" s="207"/>
      <c r="C134" s="208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155"/>
    </row>
    <row r="135" spans="2:16">
      <c r="B135" s="207"/>
      <c r="C135" s="208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155"/>
    </row>
    <row r="136" spans="2:16">
      <c r="B136" s="207"/>
      <c r="C136" s="208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155"/>
    </row>
    <row r="137" spans="2:16">
      <c r="B137" s="207"/>
      <c r="C137" s="208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155"/>
    </row>
    <row r="138" spans="2:16">
      <c r="B138" s="207"/>
      <c r="C138" s="208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155"/>
    </row>
    <row r="139" spans="2:16">
      <c r="B139" s="207"/>
      <c r="C139" s="208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155"/>
    </row>
    <row r="140" spans="2:16">
      <c r="B140" s="207"/>
      <c r="C140" s="208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155"/>
    </row>
    <row r="141" spans="2:16">
      <c r="B141" s="207"/>
      <c r="C141" s="208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155"/>
    </row>
    <row r="142" spans="2:16">
      <c r="B142" s="207"/>
      <c r="C142" s="208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155"/>
    </row>
    <row r="143" spans="2:16">
      <c r="P143" s="155"/>
    </row>
    <row r="144" spans="2:16">
      <c r="P144" s="155"/>
    </row>
  </sheetData>
  <conditionalFormatting sqref="P39">
    <cfRule type="expression" dxfId="5" priority="2" stopIfTrue="1">
      <formula>ABS(P39-#REF!)&gt;1</formula>
    </cfRule>
  </conditionalFormatting>
  <conditionalFormatting sqref="S28">
    <cfRule type="cellIs" dxfId="4" priority="1" operator="notEqual">
      <formula>$P$27</formula>
    </cfRule>
    <cfRule type="expression" dxfId="3" priority="3" stopIfTrue="1">
      <formula>ABS($P$27-$S$28)&gt;0.5</formula>
    </cfRule>
  </conditionalFormatting>
  <printOptions horizontalCentered="1"/>
  <pageMargins left="0.5" right="0.56000000000000005" top="0.62" bottom="0.46" header="0.4" footer="0.24"/>
  <pageSetup scale="56" fitToHeight="2" orientation="landscape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U125"/>
  <sheetViews>
    <sheetView topLeftCell="A10" workbookViewId="0">
      <selection activeCell="V28" sqref="V28"/>
    </sheetView>
  </sheetViews>
  <sheetFormatPr defaultColWidth="8.83203125" defaultRowHeight="12.75"/>
  <cols>
    <col min="1" max="1" width="4.5" style="210" customWidth="1"/>
    <col min="2" max="2" width="18.1640625" style="209" customWidth="1"/>
    <col min="3" max="3" width="15.1640625" style="209" customWidth="1"/>
    <col min="4" max="4" width="13.83203125" style="209" customWidth="1"/>
    <col min="5" max="5" width="13.6640625" style="209" customWidth="1"/>
    <col min="6" max="7" width="14" style="209" bestFit="1" customWidth="1"/>
    <col min="8" max="8" width="13.6640625" style="209" customWidth="1"/>
    <col min="9" max="9" width="14" style="209" bestFit="1" customWidth="1"/>
    <col min="10" max="10" width="14" style="209" customWidth="1"/>
    <col min="11" max="11" width="13.5" style="209" customWidth="1"/>
    <col min="12" max="12" width="14.5" style="209" customWidth="1"/>
    <col min="13" max="13" width="14.6640625" style="209" customWidth="1"/>
    <col min="14" max="14" width="14.33203125" style="209" customWidth="1"/>
    <col min="15" max="15" width="14.1640625" style="209" customWidth="1"/>
    <col min="16" max="16" width="13.5" style="209" customWidth="1"/>
    <col min="17" max="17" width="15.1640625" style="209" customWidth="1"/>
    <col min="18" max="18" width="1.33203125" style="209" customWidth="1"/>
    <col min="19" max="19" width="8.5" style="209" customWidth="1"/>
    <col min="20" max="20" width="13.6640625" style="209" customWidth="1"/>
    <col min="21" max="16384" width="8.83203125" style="209"/>
  </cols>
  <sheetData>
    <row r="1" spans="1:21" ht="15">
      <c r="A1" s="295" t="s">
        <v>2185</v>
      </c>
      <c r="B1" s="296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357" t="s">
        <v>2317</v>
      </c>
      <c r="T1" s="351">
        <f>S2</f>
        <v>500000</v>
      </c>
      <c r="U1"/>
    </row>
    <row r="2" spans="1:21">
      <c r="A2" s="255"/>
      <c r="B2" s="297"/>
      <c r="C2" s="297"/>
      <c r="D2" s="297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55" t="s">
        <v>2318</v>
      </c>
      <c r="R2" s="296"/>
      <c r="S2" s="351">
        <v>500000</v>
      </c>
      <c r="T2" s="352">
        <v>99999999</v>
      </c>
      <c r="U2"/>
    </row>
    <row r="3" spans="1:21" ht="12.75" customHeight="1">
      <c r="A3" s="299" t="s">
        <v>2329</v>
      </c>
      <c r="B3" s="296"/>
      <c r="C3" s="202" t="s">
        <v>2415</v>
      </c>
      <c r="D3" s="190" t="s">
        <v>2416</v>
      </c>
      <c r="E3" s="211">
        <v>43466</v>
      </c>
      <c r="F3" s="211">
        <f>EDATE(E3,1)</f>
        <v>43497</v>
      </c>
      <c r="G3" s="211">
        <f t="shared" ref="G3:P3" si="0">EDATE(F3,1)</f>
        <v>43525</v>
      </c>
      <c r="H3" s="211">
        <f t="shared" si="0"/>
        <v>43556</v>
      </c>
      <c r="I3" s="211">
        <f t="shared" si="0"/>
        <v>43586</v>
      </c>
      <c r="J3" s="211">
        <f t="shared" si="0"/>
        <v>43617</v>
      </c>
      <c r="K3" s="211">
        <f t="shared" si="0"/>
        <v>43647</v>
      </c>
      <c r="L3" s="211">
        <f t="shared" si="0"/>
        <v>43678</v>
      </c>
      <c r="M3" s="211">
        <f t="shared" si="0"/>
        <v>43709</v>
      </c>
      <c r="N3" s="211">
        <f t="shared" si="0"/>
        <v>43739</v>
      </c>
      <c r="O3" s="211">
        <f t="shared" si="0"/>
        <v>43770</v>
      </c>
      <c r="P3" s="211">
        <f t="shared" si="0"/>
        <v>43800</v>
      </c>
      <c r="Q3" s="255" t="s">
        <v>277</v>
      </c>
      <c r="R3" s="296"/>
      <c r="S3" s="353" t="s">
        <v>2320</v>
      </c>
      <c r="T3" s="353" t="s">
        <v>2320</v>
      </c>
      <c r="U3"/>
    </row>
    <row r="4" spans="1:21" ht="12.75" customHeight="1">
      <c r="A4" s="255">
        <v>1</v>
      </c>
      <c r="B4" s="400"/>
      <c r="C4" s="395"/>
      <c r="D4" s="395"/>
      <c r="E4" s="212">
        <v>3788529.57</v>
      </c>
      <c r="F4" s="212">
        <v>3409321.51</v>
      </c>
      <c r="G4" s="212">
        <v>3780129.26</v>
      </c>
      <c r="H4" s="212">
        <v>3740885.05</v>
      </c>
      <c r="I4" s="212">
        <v>3673838.45</v>
      </c>
      <c r="J4" s="212">
        <v>3699048.59</v>
      </c>
      <c r="K4" s="212">
        <v>3625105.7</v>
      </c>
      <c r="L4" s="212">
        <v>3765962.06</v>
      </c>
      <c r="M4" s="212">
        <v>3480502.79</v>
      </c>
      <c r="N4" s="212">
        <v>4134308.09</v>
      </c>
      <c r="O4" s="212">
        <v>3842897.28</v>
      </c>
      <c r="P4" s="212">
        <v>3771199.7</v>
      </c>
      <c r="Q4" s="213">
        <f t="shared" ref="Q4:Q11" si="1">SUM(E4:P4)</f>
        <v>44711728.049999997</v>
      </c>
      <c r="R4" s="296"/>
      <c r="S4" s="354">
        <f>S$2*12-SUMPRODUCT(--($E4:$P4&lt;=S$2),S$2-$E4:$P4)</f>
        <v>6000000</v>
      </c>
      <c r="T4" s="354">
        <f>T$2*12-SUM($R4:S4)-SUMPRODUCT(--($E4:$P4&lt;=T$2),T$2-$E4:$P4)</f>
        <v>38711728.049999952</v>
      </c>
      <c r="U4"/>
    </row>
    <row r="5" spans="1:21" ht="12.75" customHeight="1">
      <c r="A5" s="255">
        <v>2</v>
      </c>
      <c r="B5" s="400"/>
      <c r="C5" s="395"/>
      <c r="D5" s="395"/>
      <c r="E5" s="222">
        <v>3269541.6</v>
      </c>
      <c r="F5" s="222">
        <v>3282148.8</v>
      </c>
      <c r="G5" s="222">
        <v>3458052</v>
      </c>
      <c r="H5" s="222">
        <v>3322584</v>
      </c>
      <c r="I5" s="222">
        <v>3064327.2</v>
      </c>
      <c r="J5" s="222">
        <v>3070562.4</v>
      </c>
      <c r="K5" s="222">
        <v>3255480</v>
      </c>
      <c r="L5" s="222">
        <v>3178152</v>
      </c>
      <c r="M5" s="222">
        <v>3040617.6</v>
      </c>
      <c r="N5" s="222">
        <v>3539505.6</v>
      </c>
      <c r="O5" s="222">
        <v>3195316.8</v>
      </c>
      <c r="P5" s="222">
        <v>3168856.8</v>
      </c>
      <c r="Q5" s="213">
        <f t="shared" si="1"/>
        <v>38845144.799999997</v>
      </c>
      <c r="R5" s="296"/>
      <c r="S5" s="354">
        <f>S$2*12-SUMPRODUCT(--($E5:$P5&lt;=S$2),S$2-$E5:$P5)</f>
        <v>6000000</v>
      </c>
      <c r="T5" s="354">
        <f>T$2*12-SUM($R5:S5)-SUMPRODUCT(--($E5:$P5&lt;=T$2),T$2-$E5:$P5)</f>
        <v>32845144.799999952</v>
      </c>
      <c r="U5"/>
    </row>
    <row r="6" spans="1:21" ht="12.75" customHeight="1">
      <c r="A6" s="255">
        <v>3</v>
      </c>
      <c r="B6" s="400"/>
      <c r="C6" s="395"/>
      <c r="D6" s="395"/>
      <c r="E6" s="212">
        <v>2001190.8</v>
      </c>
      <c r="F6" s="212">
        <v>1873586.4</v>
      </c>
      <c r="G6" s="212">
        <v>1953008.4</v>
      </c>
      <c r="H6" s="212">
        <v>1881037.2</v>
      </c>
      <c r="I6" s="212">
        <v>1818003.6</v>
      </c>
      <c r="J6" s="212">
        <v>1816298.4</v>
      </c>
      <c r="K6" s="212">
        <v>2075707.2</v>
      </c>
      <c r="L6" s="212">
        <v>2294964</v>
      </c>
      <c r="M6" s="212">
        <v>1784428.8</v>
      </c>
      <c r="N6" s="212">
        <v>1438390.8</v>
      </c>
      <c r="O6" s="212">
        <v>1296170.3999999999</v>
      </c>
      <c r="P6" s="212">
        <v>1365520.8</v>
      </c>
      <c r="Q6" s="213">
        <f t="shared" si="1"/>
        <v>21598306.800000001</v>
      </c>
      <c r="R6" s="296"/>
      <c r="S6" s="354">
        <f t="shared" ref="S6:S14" si="2">S$2*12-SUMPRODUCT(--($E6:$P6&lt;=S$2),S$2-$E6:$P6)</f>
        <v>6000000</v>
      </c>
      <c r="T6" s="354">
        <f>T$2*12-SUM($R6:S6)-SUMPRODUCT(--($E6:$P6&lt;=T$2),T$2-$E6:$P6)</f>
        <v>15598306.799999952</v>
      </c>
      <c r="U6"/>
    </row>
    <row r="7" spans="1:21" ht="12.75" customHeight="1">
      <c r="A7" s="255">
        <v>4</v>
      </c>
      <c r="B7" s="400"/>
      <c r="C7" s="395"/>
      <c r="D7" s="395"/>
      <c r="E7" s="212">
        <v>2862476.4</v>
      </c>
      <c r="F7" s="212">
        <v>2601303.6</v>
      </c>
      <c r="G7" s="212">
        <v>2830730</v>
      </c>
      <c r="H7" s="212">
        <v>2692799.2</v>
      </c>
      <c r="I7" s="212">
        <v>2865301.6</v>
      </c>
      <c r="J7" s="212">
        <v>2781161.6</v>
      </c>
      <c r="K7" s="212">
        <v>2828086.8</v>
      </c>
      <c r="L7" s="212">
        <v>2865410.8</v>
      </c>
      <c r="M7" s="212">
        <v>2677446.7999999998</v>
      </c>
      <c r="N7" s="212">
        <v>2746506</v>
      </c>
      <c r="O7" s="212">
        <v>2683447.2000000002</v>
      </c>
      <c r="P7" s="212">
        <v>2798143.6</v>
      </c>
      <c r="Q7" s="213">
        <f t="shared" si="1"/>
        <v>33232813.600000001</v>
      </c>
      <c r="R7" s="296"/>
      <c r="S7" s="354">
        <f t="shared" si="2"/>
        <v>6000000</v>
      </c>
      <c r="T7" s="354">
        <f>T$2*12-SUM($R7:S7)-SUMPRODUCT(--($E7:$P7&lt;=T$2),T$2-$E7:$P7)</f>
        <v>27232813.599999905</v>
      </c>
      <c r="U7"/>
    </row>
    <row r="8" spans="1:21" ht="12.75" customHeight="1">
      <c r="A8" s="255">
        <v>5</v>
      </c>
      <c r="B8" s="400"/>
      <c r="C8" s="395"/>
      <c r="D8" s="395"/>
      <c r="E8" s="212">
        <v>2099647.2000000002</v>
      </c>
      <c r="F8" s="212">
        <v>1947372</v>
      </c>
      <c r="G8" s="212">
        <v>2073881.6000000001</v>
      </c>
      <c r="H8" s="212">
        <v>1916829.6</v>
      </c>
      <c r="I8" s="212">
        <v>1854496</v>
      </c>
      <c r="J8" s="212">
        <v>1758344</v>
      </c>
      <c r="K8" s="212">
        <v>1845944.8</v>
      </c>
      <c r="L8" s="212">
        <v>1896731.2</v>
      </c>
      <c r="M8" s="212">
        <v>2142336</v>
      </c>
      <c r="N8" s="212">
        <v>2482317.6</v>
      </c>
      <c r="O8" s="212">
        <v>2441616.7999999998</v>
      </c>
      <c r="P8" s="212">
        <v>2505574.3999999999</v>
      </c>
      <c r="Q8" s="213">
        <f t="shared" si="1"/>
        <v>24965091.199999999</v>
      </c>
      <c r="R8" s="296"/>
      <c r="S8" s="354">
        <f t="shared" si="2"/>
        <v>6000000</v>
      </c>
      <c r="T8" s="354">
        <f>T$2*12-SUM($R8:S8)-SUMPRODUCT(--($E8:$P8&lt;=T$2),T$2-$E8:$P8)</f>
        <v>18965091.200000048</v>
      </c>
      <c r="U8"/>
    </row>
    <row r="9" spans="1:21" ht="12.75" customHeight="1">
      <c r="A9" s="255">
        <v>6</v>
      </c>
      <c r="B9" s="400"/>
      <c r="C9" s="395"/>
      <c r="D9" s="395"/>
      <c r="E9" s="212">
        <v>2145913.0499999998</v>
      </c>
      <c r="F9" s="212">
        <v>2131712.9</v>
      </c>
      <c r="G9" s="212">
        <v>2326691.81</v>
      </c>
      <c r="H9" s="212">
        <v>2213386.96</v>
      </c>
      <c r="I9" s="212">
        <v>2144379.4300000002</v>
      </c>
      <c r="J9" s="212">
        <v>2069674.1</v>
      </c>
      <c r="K9" s="212">
        <v>2059177.03</v>
      </c>
      <c r="L9" s="212">
        <v>2142382.7000000002</v>
      </c>
      <c r="M9" s="212">
        <v>1950632.91</v>
      </c>
      <c r="N9" s="212">
        <v>2391202.3199999998</v>
      </c>
      <c r="O9" s="212">
        <v>2185083.21</v>
      </c>
      <c r="P9" s="212">
        <v>2132404.87</v>
      </c>
      <c r="Q9" s="213">
        <f t="shared" si="1"/>
        <v>25892641.289999999</v>
      </c>
      <c r="R9" s="296"/>
      <c r="S9" s="354">
        <f t="shared" si="2"/>
        <v>6000000</v>
      </c>
      <c r="T9" s="354">
        <f>T$2*12-SUM($R9:S9)-SUMPRODUCT(--($E9:$P9&lt;=T$2),T$2-$E9:$P9)</f>
        <v>19892641.289999962</v>
      </c>
      <c r="U9"/>
    </row>
    <row r="10" spans="1:21" ht="12.75" customHeight="1">
      <c r="A10" s="255">
        <v>7</v>
      </c>
      <c r="B10" s="400"/>
      <c r="C10" s="395"/>
      <c r="D10" s="395"/>
      <c r="E10" s="212">
        <v>4353485.8</v>
      </c>
      <c r="F10" s="212">
        <v>4237782.2</v>
      </c>
      <c r="G10" s="212">
        <v>4427606.5999999996</v>
      </c>
      <c r="H10" s="212">
        <v>4572682.5999999996</v>
      </c>
      <c r="I10" s="212">
        <v>4425364.8</v>
      </c>
      <c r="J10" s="212">
        <v>4393052</v>
      </c>
      <c r="K10" s="212">
        <v>4543425.4000000004</v>
      </c>
      <c r="L10" s="212">
        <v>4460041.8</v>
      </c>
      <c r="M10" s="212">
        <v>4448237.2</v>
      </c>
      <c r="N10" s="212">
        <v>4786175.5999999996</v>
      </c>
      <c r="O10" s="212">
        <v>4249378.8</v>
      </c>
      <c r="P10" s="212">
        <v>4668001.8</v>
      </c>
      <c r="Q10" s="213">
        <f t="shared" si="1"/>
        <v>53565234.599999994</v>
      </c>
      <c r="R10" s="296"/>
      <c r="S10" s="354">
        <f t="shared" si="2"/>
        <v>6000000</v>
      </c>
      <c r="T10" s="354">
        <f>T$2*12-SUM($R10:S10)-SUMPRODUCT(--($E10:$P10&lt;=T$2),T$2-$E10:$P10)</f>
        <v>47565234.599999905</v>
      </c>
      <c r="U10"/>
    </row>
    <row r="11" spans="1:21" ht="12.75" customHeight="1">
      <c r="A11" s="255">
        <v>8</v>
      </c>
      <c r="B11" s="400"/>
      <c r="C11" s="395"/>
      <c r="D11" s="395"/>
      <c r="E11" s="212">
        <v>3466254.24</v>
      </c>
      <c r="F11" s="212">
        <v>3190682.64</v>
      </c>
      <c r="G11" s="212">
        <v>3391937.52</v>
      </c>
      <c r="H11" s="212">
        <v>3085864.08</v>
      </c>
      <c r="I11" s="212">
        <v>2973930.96</v>
      </c>
      <c r="J11" s="212">
        <v>2877995.52</v>
      </c>
      <c r="K11" s="212">
        <v>2982732.24</v>
      </c>
      <c r="L11" s="212">
        <v>3057318.48</v>
      </c>
      <c r="M11" s="212">
        <v>2698362</v>
      </c>
      <c r="N11" s="212">
        <v>3322246.08</v>
      </c>
      <c r="O11" s="212">
        <v>2934331.92</v>
      </c>
      <c r="P11" s="212">
        <v>2962270.8</v>
      </c>
      <c r="Q11" s="213">
        <f t="shared" si="1"/>
        <v>36943926.480000004</v>
      </c>
      <c r="R11" s="296"/>
      <c r="S11" s="354">
        <f t="shared" si="2"/>
        <v>6000000</v>
      </c>
      <c r="T11" s="354">
        <f>T$2*12-SUM($R11:S11)-SUMPRODUCT(--($E11:$P11&lt;=T$2),T$2-$E11:$P11)</f>
        <v>30943926.480000019</v>
      </c>
      <c r="U11"/>
    </row>
    <row r="12" spans="1:21" ht="12.75" customHeight="1">
      <c r="A12" s="255">
        <v>9</v>
      </c>
      <c r="B12" s="400"/>
      <c r="C12" s="395"/>
      <c r="D12" s="395"/>
      <c r="E12" s="212">
        <v>1534341.9</v>
      </c>
      <c r="F12" s="212">
        <v>1374916.2</v>
      </c>
      <c r="G12" s="212">
        <v>1207080</v>
      </c>
      <c r="H12" s="212">
        <v>296961</v>
      </c>
      <c r="I12" s="396"/>
      <c r="J12" s="396"/>
      <c r="K12" s="396"/>
      <c r="L12" s="396"/>
      <c r="M12" s="396"/>
      <c r="N12" s="396"/>
      <c r="O12" s="396"/>
      <c r="P12" s="396"/>
      <c r="Q12" s="213">
        <f t="shared" ref="Q12:Q14" si="3">SUM(E12:P12)</f>
        <v>4413299.0999999996</v>
      </c>
      <c r="R12" s="296"/>
      <c r="S12" s="354">
        <f t="shared" si="2"/>
        <v>1796961</v>
      </c>
      <c r="T12" s="354">
        <f>T$2*12-SUM($R12:S12)-SUMPRODUCT(--($E12:$P12&lt;=T$2),T$2-$E12:$P12)</f>
        <v>2616338.0999999046</v>
      </c>
      <c r="U12"/>
    </row>
    <row r="13" spans="1:21" ht="12.75" customHeight="1">
      <c r="A13" s="255">
        <v>10</v>
      </c>
      <c r="B13" s="400"/>
      <c r="C13" s="395"/>
      <c r="D13" s="395"/>
      <c r="E13" s="212">
        <v>1265157.6000000001</v>
      </c>
      <c r="F13" s="212">
        <v>1181381.6000000001</v>
      </c>
      <c r="G13" s="212">
        <v>1275808.8</v>
      </c>
      <c r="H13" s="212">
        <v>1267554.3999999999</v>
      </c>
      <c r="I13" s="212">
        <v>1390415.6</v>
      </c>
      <c r="J13" s="212">
        <v>1418410</v>
      </c>
      <c r="K13" s="212">
        <v>1520680</v>
      </c>
      <c r="L13" s="212">
        <v>1537799.2</v>
      </c>
      <c r="M13" s="212">
        <v>1321535.6000000001</v>
      </c>
      <c r="N13" s="212">
        <v>1216966.8</v>
      </c>
      <c r="O13" s="212">
        <v>1190862.3999999999</v>
      </c>
      <c r="P13" s="212">
        <v>1228463.6000000001</v>
      </c>
      <c r="Q13" s="213">
        <f t="shared" si="3"/>
        <v>15815035.6</v>
      </c>
      <c r="R13" s="296"/>
      <c r="S13" s="354">
        <f t="shared" si="2"/>
        <v>6000000</v>
      </c>
      <c r="T13" s="354">
        <f>T$2*12-SUM($R13:S13)-SUMPRODUCT(--($E13:$P13&lt;=T$2),T$2-$E13:$P13)</f>
        <v>9815035.5999999046</v>
      </c>
      <c r="U13"/>
    </row>
    <row r="14" spans="1:21" ht="12.75" customHeight="1">
      <c r="A14" s="255">
        <v>11</v>
      </c>
      <c r="B14" s="400"/>
      <c r="C14" s="395"/>
      <c r="D14" s="395"/>
      <c r="E14" s="212">
        <v>952606</v>
      </c>
      <c r="F14" s="212">
        <v>884044</v>
      </c>
      <c r="G14" s="212">
        <v>908998</v>
      </c>
      <c r="H14" s="212">
        <v>811580</v>
      </c>
      <c r="I14" s="212">
        <v>819466</v>
      </c>
      <c r="J14" s="212">
        <v>792446</v>
      </c>
      <c r="K14" s="212">
        <v>734546</v>
      </c>
      <c r="L14" s="212">
        <v>763146</v>
      </c>
      <c r="M14" s="212">
        <v>742288</v>
      </c>
      <c r="N14" s="212">
        <v>886274</v>
      </c>
      <c r="O14" s="212">
        <v>865974</v>
      </c>
      <c r="P14" s="212">
        <v>896606</v>
      </c>
      <c r="Q14" s="213">
        <f t="shared" si="3"/>
        <v>10057974</v>
      </c>
      <c r="R14" s="296"/>
      <c r="S14" s="354">
        <f t="shared" si="2"/>
        <v>6000000</v>
      </c>
      <c r="T14" s="354">
        <f>T$2*12-SUM($R14:S14)-SUMPRODUCT(--($E14:$P14&lt;=T$2),T$2-$E14:$P14)</f>
        <v>4057974</v>
      </c>
      <c r="U14"/>
    </row>
    <row r="15" spans="1:21" ht="12.75" customHeight="1" thickBot="1">
      <c r="A15" s="255"/>
      <c r="B15" s="297"/>
      <c r="C15" s="327"/>
      <c r="D15" s="327"/>
      <c r="E15" s="214">
        <f t="shared" ref="E15:P15" si="4">SUM(E4:E14)</f>
        <v>27739144.160000004</v>
      </c>
      <c r="F15" s="214">
        <f t="shared" si="4"/>
        <v>26114251.850000001</v>
      </c>
      <c r="G15" s="214">
        <f t="shared" si="4"/>
        <v>27633923.990000002</v>
      </c>
      <c r="H15" s="214">
        <f t="shared" si="4"/>
        <v>25802164.089999996</v>
      </c>
      <c r="I15" s="214">
        <f t="shared" si="4"/>
        <v>25029523.640000001</v>
      </c>
      <c r="J15" s="214">
        <f t="shared" si="4"/>
        <v>24676992.609999999</v>
      </c>
      <c r="K15" s="214">
        <f t="shared" si="4"/>
        <v>25470885.170000002</v>
      </c>
      <c r="L15" s="214">
        <f t="shared" si="4"/>
        <v>25961908.239999998</v>
      </c>
      <c r="M15" s="214">
        <f t="shared" si="4"/>
        <v>24286387.700000003</v>
      </c>
      <c r="N15" s="214">
        <f t="shared" si="4"/>
        <v>26943892.889999997</v>
      </c>
      <c r="O15" s="214">
        <f t="shared" si="4"/>
        <v>24885078.810000002</v>
      </c>
      <c r="P15" s="214">
        <f t="shared" si="4"/>
        <v>25497042.370000005</v>
      </c>
      <c r="Q15" s="215">
        <f>IF(ROUND(SUM(E15:P15),3)&lt;&gt;ROUND(SUM(Q4:Q14),3),#VALUE!,SUM(E15:P15))</f>
        <v>310041195.51999998</v>
      </c>
      <c r="R15" s="296"/>
      <c r="S15" s="355">
        <f>SUM(S4:S14)</f>
        <v>61796961</v>
      </c>
      <c r="T15" s="355">
        <f>SUM(T4:T14)</f>
        <v>248244234.5199995</v>
      </c>
      <c r="U15"/>
    </row>
    <row r="16" spans="1:21" ht="12.75" customHeight="1" thickTop="1">
      <c r="A16" s="255"/>
      <c r="B16" s="297"/>
      <c r="C16" s="327"/>
      <c r="D16" s="327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16"/>
      <c r="R16" s="296"/>
      <c r="S16" s="327"/>
      <c r="T16" s="356">
        <f>SUM(S15:T15)</f>
        <v>310041195.5199995</v>
      </c>
      <c r="U16"/>
    </row>
    <row r="17" spans="1:21" ht="12.75" customHeight="1">
      <c r="A17" s="296" t="s">
        <v>416</v>
      </c>
      <c r="B17" s="296"/>
      <c r="C17" s="327"/>
      <c r="D17" s="327"/>
      <c r="E17" s="301">
        <v>26991875.749000002</v>
      </c>
      <c r="F17" s="301">
        <v>27653410.079999998</v>
      </c>
      <c r="G17" s="301">
        <v>26114251.850000001</v>
      </c>
      <c r="H17" s="301">
        <v>27633923.989999998</v>
      </c>
      <c r="I17" s="301">
        <v>25802164.09</v>
      </c>
      <c r="J17" s="301">
        <v>25029523.640000001</v>
      </c>
      <c r="K17" s="301">
        <v>24676992.609999999</v>
      </c>
      <c r="L17" s="301">
        <v>25470885.170000002</v>
      </c>
      <c r="M17" s="301">
        <v>25961908.239999998</v>
      </c>
      <c r="N17" s="301">
        <v>24286387.699999999</v>
      </c>
      <c r="O17" s="301">
        <v>26943892.890000001</v>
      </c>
      <c r="P17" s="301">
        <v>24885078.809999999</v>
      </c>
      <c r="Q17" s="302">
        <f>SUM(E17:P17)</f>
        <v>311450294.81900001</v>
      </c>
      <c r="R17" s="296"/>
      <c r="S17" s="296"/>
      <c r="T17" s="296"/>
      <c r="U17"/>
    </row>
    <row r="18" spans="1:21" ht="12.75" customHeight="1">
      <c r="A18" s="297" t="s">
        <v>2321</v>
      </c>
      <c r="B18" s="297"/>
      <c r="C18" s="327"/>
      <c r="D18" s="327"/>
      <c r="E18" s="301">
        <v>-27065983</v>
      </c>
      <c r="F18" s="301">
        <v>-27615288</v>
      </c>
      <c r="G18" s="301">
        <v>-26011240</v>
      </c>
      <c r="H18" s="301">
        <v>-27940831</v>
      </c>
      <c r="I18" s="301">
        <v>-26654407</v>
      </c>
      <c r="J18" s="301">
        <v>-25304460</v>
      </c>
      <c r="K18" s="301">
        <v>-25093621</v>
      </c>
      <c r="L18" s="301">
        <v>-25353023</v>
      </c>
      <c r="M18" s="301">
        <v>-25110804</v>
      </c>
      <c r="N18" s="301">
        <v>-24999007</v>
      </c>
      <c r="O18" s="301">
        <v>-27911836</v>
      </c>
      <c r="P18" s="301">
        <v>-27303573</v>
      </c>
      <c r="Q18" s="302">
        <f>SUM(E18:P18)</f>
        <v>-316364073</v>
      </c>
      <c r="R18" s="296"/>
      <c r="S18" s="296"/>
      <c r="T18" s="296"/>
      <c r="U18"/>
    </row>
    <row r="19" spans="1:21" ht="12.75" customHeight="1">
      <c r="A19" s="297" t="s">
        <v>2322</v>
      </c>
      <c r="B19" s="297"/>
      <c r="C19" s="327"/>
      <c r="D19" s="327"/>
      <c r="E19" s="301">
        <v>27615288</v>
      </c>
      <c r="F19" s="301">
        <v>26011240</v>
      </c>
      <c r="G19" s="301">
        <v>27940831</v>
      </c>
      <c r="H19" s="301">
        <v>26654407</v>
      </c>
      <c r="I19" s="301">
        <v>25304460</v>
      </c>
      <c r="J19" s="301">
        <v>25093621</v>
      </c>
      <c r="K19" s="301">
        <v>25353023</v>
      </c>
      <c r="L19" s="301">
        <v>25110804</v>
      </c>
      <c r="M19" s="301">
        <v>24999007</v>
      </c>
      <c r="N19" s="301">
        <v>27911836</v>
      </c>
      <c r="O19" s="301">
        <v>27303573</v>
      </c>
      <c r="P19" s="301">
        <v>26974091</v>
      </c>
      <c r="Q19" s="302">
        <f>SUM(E19:P19)</f>
        <v>316272181</v>
      </c>
      <c r="R19" s="296"/>
      <c r="S19" s="296"/>
      <c r="T19" s="296"/>
      <c r="U19"/>
    </row>
    <row r="20" spans="1:21" ht="12.75" customHeight="1">
      <c r="A20" s="296" t="s">
        <v>2323</v>
      </c>
      <c r="B20" s="296"/>
      <c r="C20" s="327"/>
      <c r="D20" s="327"/>
      <c r="E20" s="303">
        <f t="shared" ref="E20:Q20" si="5">SUM(E17:E19)</f>
        <v>27541180.749000002</v>
      </c>
      <c r="F20" s="303">
        <f t="shared" si="5"/>
        <v>26049362.079999998</v>
      </c>
      <c r="G20" s="303">
        <f t="shared" si="5"/>
        <v>28043842.850000001</v>
      </c>
      <c r="H20" s="303">
        <f t="shared" si="5"/>
        <v>26347499.989999998</v>
      </c>
      <c r="I20" s="303">
        <f t="shared" si="5"/>
        <v>24452217.09</v>
      </c>
      <c r="J20" s="303">
        <f t="shared" si="5"/>
        <v>24818684.640000001</v>
      </c>
      <c r="K20" s="303">
        <f t="shared" si="5"/>
        <v>24936394.609999999</v>
      </c>
      <c r="L20" s="303">
        <f t="shared" si="5"/>
        <v>25228666.170000002</v>
      </c>
      <c r="M20" s="303">
        <f t="shared" si="5"/>
        <v>25850111.239999998</v>
      </c>
      <c r="N20" s="303">
        <f t="shared" si="5"/>
        <v>27199216.699999999</v>
      </c>
      <c r="O20" s="303">
        <f t="shared" si="5"/>
        <v>26335629.890000001</v>
      </c>
      <c r="P20" s="303">
        <f t="shared" si="5"/>
        <v>24555596.809999999</v>
      </c>
      <c r="Q20" s="303">
        <f t="shared" si="5"/>
        <v>311358402.81900001</v>
      </c>
      <c r="R20" s="296"/>
      <c r="S20" s="296"/>
      <c r="T20" s="296"/>
      <c r="U20"/>
    </row>
    <row r="21" spans="1:21" ht="12.75" customHeight="1">
      <c r="A21" s="304" t="s">
        <v>2324</v>
      </c>
      <c r="B21" s="304"/>
      <c r="C21" s="328"/>
      <c r="D21" s="328"/>
      <c r="E21" s="212">
        <f>E15-E20-E22</f>
        <v>123856.16000000387</v>
      </c>
      <c r="F21" s="212">
        <f>F15-F20-F22</f>
        <v>188745.93000000715</v>
      </c>
      <c r="G21" s="212">
        <f>G15-G20-G22</f>
        <v>-221172.92999999225</v>
      </c>
      <c r="H21" s="212">
        <f>H15-H20-H22</f>
        <v>-766508.82999999449</v>
      </c>
      <c r="I21" s="212">
        <f t="shared" ref="I21:P21" si="6">I15-I20-I22</f>
        <v>-189202.27999999374</v>
      </c>
      <c r="J21" s="212">
        <f t="shared" si="6"/>
        <v>-330894.30999999493</v>
      </c>
      <c r="K21" s="212">
        <f t="shared" si="6"/>
        <v>203596.25000000745</v>
      </c>
      <c r="L21" s="212">
        <f t="shared" si="6"/>
        <v>936838.32000000402</v>
      </c>
      <c r="M21" s="212">
        <f t="shared" si="6"/>
        <v>-626885.21999999136</v>
      </c>
      <c r="N21" s="212">
        <f t="shared" si="6"/>
        <v>-882209.02999999374</v>
      </c>
      <c r="O21" s="212">
        <f t="shared" si="6"/>
        <v>-2332760.109999992</v>
      </c>
      <c r="P21" s="212">
        <f t="shared" si="6"/>
        <v>-1391314.5499999858</v>
      </c>
      <c r="Q21" s="302">
        <f>SUM(E21:P21)</f>
        <v>-5287910.5999999158</v>
      </c>
      <c r="R21" s="296"/>
      <c r="S21" s="296"/>
      <c r="T21" s="296"/>
      <c r="U21"/>
    </row>
    <row r="22" spans="1:21" ht="12.75" customHeight="1">
      <c r="A22" s="304" t="s">
        <v>2325</v>
      </c>
      <c r="B22" s="304"/>
      <c r="C22" s="328"/>
      <c r="D22" s="328"/>
      <c r="E22" s="212">
        <f>-(E17+E18)</f>
        <v>74107.250999998301</v>
      </c>
      <c r="F22" s="212">
        <f>-E21</f>
        <v>-123856.16000000387</v>
      </c>
      <c r="G22" s="212">
        <f>-F21</f>
        <v>-188745.93000000715</v>
      </c>
      <c r="H22" s="212">
        <f>-G21</f>
        <v>221172.92999999225</v>
      </c>
      <c r="I22" s="212">
        <f t="shared" ref="I22:P22" si="7">-H21</f>
        <v>766508.82999999449</v>
      </c>
      <c r="J22" s="212">
        <f t="shared" si="7"/>
        <v>189202.27999999374</v>
      </c>
      <c r="K22" s="212">
        <f t="shared" si="7"/>
        <v>330894.30999999493</v>
      </c>
      <c r="L22" s="212">
        <f t="shared" si="7"/>
        <v>-203596.25000000745</v>
      </c>
      <c r="M22" s="212">
        <f t="shared" si="7"/>
        <v>-936838.32000000402</v>
      </c>
      <c r="N22" s="212">
        <f t="shared" si="7"/>
        <v>626885.21999999136</v>
      </c>
      <c r="O22" s="212">
        <f t="shared" si="7"/>
        <v>882209.02999999374</v>
      </c>
      <c r="P22" s="212">
        <f t="shared" si="7"/>
        <v>2332760.109999992</v>
      </c>
      <c r="Q22" s="302">
        <f>SUM(E22:P22)</f>
        <v>3970703.3009999283</v>
      </c>
      <c r="R22" s="296"/>
      <c r="S22" s="296"/>
      <c r="T22" s="300">
        <f>Q18+Q19+Q21+Q22</f>
        <v>-1409099.2989999875</v>
      </c>
      <c r="U22"/>
    </row>
    <row r="23" spans="1:21" ht="13.5" thickBot="1">
      <c r="A23" s="304" t="s">
        <v>2365</v>
      </c>
      <c r="B23" s="304"/>
      <c r="C23" s="328"/>
      <c r="D23" s="328"/>
      <c r="E23" s="305">
        <f t="shared" ref="E23:F23" si="8">SUM(E20:E22)</f>
        <v>27739144.160000004</v>
      </c>
      <c r="F23" s="305">
        <f t="shared" si="8"/>
        <v>26114251.850000001</v>
      </c>
      <c r="G23" s="305">
        <f>SUM(G20:G22)</f>
        <v>27633923.990000002</v>
      </c>
      <c r="H23" s="305">
        <f t="shared" ref="H23:O23" si="9">SUM(H20:H22)</f>
        <v>25802164.089999996</v>
      </c>
      <c r="I23" s="305">
        <f t="shared" si="9"/>
        <v>25029523.640000001</v>
      </c>
      <c r="J23" s="305">
        <f t="shared" si="9"/>
        <v>24676992.609999999</v>
      </c>
      <c r="K23" s="305">
        <f t="shared" si="9"/>
        <v>25470885.170000002</v>
      </c>
      <c r="L23" s="305">
        <f t="shared" si="9"/>
        <v>25961908.239999998</v>
      </c>
      <c r="M23" s="305">
        <f t="shared" si="9"/>
        <v>24286387.700000003</v>
      </c>
      <c r="N23" s="305">
        <f t="shared" si="9"/>
        <v>26943892.889999997</v>
      </c>
      <c r="O23" s="305">
        <f t="shared" si="9"/>
        <v>24885078.810000002</v>
      </c>
      <c r="P23" s="305">
        <f>SUM(P20:P22)</f>
        <v>25497042.370000005</v>
      </c>
      <c r="Q23" s="306">
        <f>SUM(Q20:Q22)</f>
        <v>310041195.52000004</v>
      </c>
      <c r="R23" s="296"/>
      <c r="S23" s="298"/>
      <c r="T23" s="463">
        <f>Q23-Q20</f>
        <v>-1317207.2989999652</v>
      </c>
      <c r="U23"/>
    </row>
    <row r="24" spans="1:21" ht="13.5" thickTop="1">
      <c r="A24" s="255"/>
      <c r="B24" s="307"/>
      <c r="C24" s="329"/>
      <c r="D24" s="329"/>
      <c r="E24" s="308"/>
      <c r="F24" s="308"/>
      <c r="G24" s="309"/>
      <c r="H24" s="308"/>
      <c r="I24" s="308"/>
      <c r="J24" s="308"/>
      <c r="K24" s="308"/>
      <c r="L24" s="308"/>
      <c r="M24" s="308"/>
      <c r="N24" s="308"/>
      <c r="O24" s="308"/>
      <c r="P24" s="309"/>
      <c r="Q24" s="296"/>
      <c r="R24" s="296"/>
      <c r="S24" s="296"/>
      <c r="T24" s="296"/>
      <c r="U24"/>
    </row>
    <row r="25" spans="1:21">
      <c r="A25" s="310" t="s">
        <v>2330</v>
      </c>
      <c r="B25" s="296"/>
      <c r="C25" s="330"/>
      <c r="D25" s="330"/>
      <c r="E25" s="312"/>
      <c r="F25" s="312"/>
      <c r="G25" s="312"/>
      <c r="H25" s="312"/>
      <c r="I25" s="312"/>
      <c r="J25" s="312"/>
      <c r="K25" s="312"/>
      <c r="L25" s="308"/>
      <c r="M25" s="308"/>
      <c r="N25" s="308"/>
      <c r="O25" s="308"/>
      <c r="P25" s="308"/>
      <c r="Q25" s="308"/>
      <c r="R25" s="296"/>
      <c r="S25" s="296"/>
      <c r="T25" s="296"/>
      <c r="U25"/>
    </row>
    <row r="26" spans="1:21" ht="12.75" customHeight="1">
      <c r="A26" s="219">
        <v>1</v>
      </c>
      <c r="B26" s="220"/>
      <c r="C26" s="462"/>
      <c r="D26" s="462"/>
      <c r="E26" s="221">
        <v>35210010</v>
      </c>
      <c r="F26" s="221">
        <v>30823170</v>
      </c>
      <c r="G26" s="221">
        <v>35740380</v>
      </c>
      <c r="H26" s="221">
        <v>31016760</v>
      </c>
      <c r="I26" s="221">
        <v>32290770</v>
      </c>
      <c r="J26" s="221">
        <v>29648650</v>
      </c>
      <c r="K26" s="221">
        <v>32657540</v>
      </c>
      <c r="L26" s="221">
        <v>39269540</v>
      </c>
      <c r="M26" s="221">
        <v>31549600</v>
      </c>
      <c r="N26" s="221">
        <v>29938810</v>
      </c>
      <c r="O26" s="221">
        <v>29702540</v>
      </c>
      <c r="P26" s="221">
        <v>31900980</v>
      </c>
      <c r="Q26" s="313">
        <f>SUM(E26:P26)</f>
        <v>389748750</v>
      </c>
      <c r="R26" s="296"/>
      <c r="S26" s="300">
        <f>Q26/8760/1000</f>
        <v>44.491866438356162</v>
      </c>
      <c r="T26" s="296"/>
      <c r="U26"/>
    </row>
    <row r="27" spans="1:21" ht="12.75" customHeight="1">
      <c r="A27" s="219"/>
      <c r="B27" s="220"/>
      <c r="C27" s="253"/>
      <c r="D27" s="253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313">
        <f>SUM(E27:P27)</f>
        <v>0</v>
      </c>
      <c r="R27" s="296"/>
      <c r="S27" s="300">
        <f>Q27/8760/1000</f>
        <v>0</v>
      </c>
      <c r="T27" s="296"/>
      <c r="U27"/>
    </row>
    <row r="28" spans="1:21" ht="12.75" customHeight="1" thickBot="1">
      <c r="A28" s="314" t="s">
        <v>2461</v>
      </c>
      <c r="B28" s="220"/>
      <c r="C28" s="253"/>
      <c r="D28" s="253"/>
      <c r="E28" s="157">
        <f t="shared" ref="E28:P28" si="10">E26-E27</f>
        <v>35210010</v>
      </c>
      <c r="F28" s="157">
        <f t="shared" si="10"/>
        <v>30823170</v>
      </c>
      <c r="G28" s="157">
        <f t="shared" si="10"/>
        <v>35740380</v>
      </c>
      <c r="H28" s="157">
        <f t="shared" si="10"/>
        <v>31016760</v>
      </c>
      <c r="I28" s="157">
        <f t="shared" si="10"/>
        <v>32290770</v>
      </c>
      <c r="J28" s="157">
        <f t="shared" si="10"/>
        <v>29648650</v>
      </c>
      <c r="K28" s="157">
        <f t="shared" si="10"/>
        <v>32657540</v>
      </c>
      <c r="L28" s="157">
        <f t="shared" si="10"/>
        <v>39269540</v>
      </c>
      <c r="M28" s="157">
        <f t="shared" si="10"/>
        <v>31549600</v>
      </c>
      <c r="N28" s="157">
        <f t="shared" si="10"/>
        <v>29938810</v>
      </c>
      <c r="O28" s="157">
        <f t="shared" si="10"/>
        <v>29702540</v>
      </c>
      <c r="P28" s="157">
        <f t="shared" si="10"/>
        <v>31900980</v>
      </c>
      <c r="Q28" s="158">
        <f>IF(ROUND(SUM(E28:P28),3)&lt;&gt;ROUND(Q26-Q27,3),#VALUE!,SUM(E28:P28))</f>
        <v>389748750</v>
      </c>
      <c r="R28" s="296"/>
      <c r="S28" s="300">
        <f>Q28/8760/1000</f>
        <v>44.491866438356162</v>
      </c>
      <c r="T28" s="296"/>
      <c r="U28"/>
    </row>
    <row r="29" spans="1:21" ht="13.5" thickTop="1">
      <c r="A29" s="255"/>
      <c r="B29" s="311"/>
      <c r="C29" s="331"/>
      <c r="D29" s="331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296"/>
      <c r="S29" s="296"/>
      <c r="T29" s="296"/>
      <c r="U29"/>
    </row>
    <row r="30" spans="1:21">
      <c r="A30" s="296" t="s">
        <v>416</v>
      </c>
      <c r="B30" s="296"/>
      <c r="C30" s="327"/>
      <c r="D30" s="327"/>
      <c r="E30" s="397">
        <v>34319970</v>
      </c>
      <c r="F30" s="397">
        <v>35210010</v>
      </c>
      <c r="G30" s="397">
        <v>30823170</v>
      </c>
      <c r="H30" s="397">
        <v>35740380</v>
      </c>
      <c r="I30" s="397">
        <v>31016760</v>
      </c>
      <c r="J30" s="397">
        <v>32290770</v>
      </c>
      <c r="K30" s="397">
        <v>29648650</v>
      </c>
      <c r="L30" s="397">
        <v>32657540</v>
      </c>
      <c r="M30" s="397">
        <v>39269540</v>
      </c>
      <c r="N30" s="397">
        <v>31549600</v>
      </c>
      <c r="O30" s="397">
        <v>29938810</v>
      </c>
      <c r="P30" s="397">
        <v>29702540</v>
      </c>
      <c r="Q30" s="213">
        <f>SUM(E30:P30)</f>
        <v>392167740</v>
      </c>
      <c r="R30" s="296"/>
      <c r="S30" s="296"/>
      <c r="T30" s="296"/>
      <c r="U30"/>
    </row>
    <row r="31" spans="1:21">
      <c r="A31" s="297" t="s">
        <v>2321</v>
      </c>
      <c r="B31" s="297"/>
      <c r="C31" s="327"/>
      <c r="D31" s="327"/>
      <c r="E31" s="397">
        <v>-30311220</v>
      </c>
      <c r="F31" s="397">
        <v>-35210010</v>
      </c>
      <c r="G31" s="397">
        <v>-30662209</v>
      </c>
      <c r="H31" s="397">
        <v>-35873045</v>
      </c>
      <c r="I31" s="397">
        <v>-31016760</v>
      </c>
      <c r="J31" s="397">
        <v>-32285803</v>
      </c>
      <c r="K31" s="397">
        <v>-29531144</v>
      </c>
      <c r="L31" s="397">
        <v>-31560910</v>
      </c>
      <c r="M31" s="397">
        <v>-39269540</v>
      </c>
      <c r="N31" s="397">
        <v>-31702862</v>
      </c>
      <c r="O31" s="397">
        <v>-30095916</v>
      </c>
      <c r="P31" s="397">
        <v>-29626027</v>
      </c>
      <c r="Q31" s="213">
        <f>SUM(E31:P31)</f>
        <v>-387145446</v>
      </c>
      <c r="R31" s="296"/>
      <c r="S31" s="296"/>
      <c r="T31" s="296"/>
      <c r="U31"/>
    </row>
    <row r="32" spans="1:21">
      <c r="A32" s="297" t="s">
        <v>2322</v>
      </c>
      <c r="B32" s="297"/>
      <c r="C32" s="327"/>
      <c r="D32" s="327"/>
      <c r="E32" s="397">
        <v>35210010</v>
      </c>
      <c r="F32" s="397">
        <v>30662209</v>
      </c>
      <c r="G32" s="397">
        <v>35873045</v>
      </c>
      <c r="H32" s="397">
        <v>31016760</v>
      </c>
      <c r="I32" s="397">
        <v>32285803</v>
      </c>
      <c r="J32" s="397">
        <v>29531144</v>
      </c>
      <c r="K32" s="397">
        <v>31560910</v>
      </c>
      <c r="L32" s="397">
        <v>39269540</v>
      </c>
      <c r="M32" s="397">
        <v>31702862</v>
      </c>
      <c r="N32" s="397">
        <v>30095916</v>
      </c>
      <c r="O32" s="397">
        <v>29626027</v>
      </c>
      <c r="P32" s="397">
        <v>31873756</v>
      </c>
      <c r="Q32" s="213">
        <f>SUM(E32:P32)</f>
        <v>388707982</v>
      </c>
      <c r="R32"/>
      <c r="S32"/>
      <c r="T32"/>
      <c r="U32"/>
    </row>
    <row r="33" spans="1:21">
      <c r="A33" s="296" t="s">
        <v>2323</v>
      </c>
      <c r="B33" s="296"/>
      <c r="C33" s="327"/>
      <c r="D33" s="327"/>
      <c r="E33" s="303">
        <f t="shared" ref="E33:Q33" si="11">SUM(E30:E32)</f>
        <v>39218760</v>
      </c>
      <c r="F33" s="303">
        <f t="shared" si="11"/>
        <v>30662209</v>
      </c>
      <c r="G33" s="303">
        <f t="shared" si="11"/>
        <v>36034006</v>
      </c>
      <c r="H33" s="303">
        <f t="shared" si="11"/>
        <v>30884095</v>
      </c>
      <c r="I33" s="303">
        <f t="shared" si="11"/>
        <v>32285803</v>
      </c>
      <c r="J33" s="303">
        <f t="shared" si="11"/>
        <v>29536111</v>
      </c>
      <c r="K33" s="303">
        <f t="shared" si="11"/>
        <v>31678416</v>
      </c>
      <c r="L33" s="303">
        <f t="shared" si="11"/>
        <v>40366170</v>
      </c>
      <c r="M33" s="303">
        <f t="shared" si="11"/>
        <v>31702862</v>
      </c>
      <c r="N33" s="303">
        <f t="shared" si="11"/>
        <v>29942654</v>
      </c>
      <c r="O33" s="303">
        <f t="shared" si="11"/>
        <v>29468921</v>
      </c>
      <c r="P33" s="303">
        <f t="shared" si="11"/>
        <v>31950269</v>
      </c>
      <c r="Q33" s="217">
        <f t="shared" si="11"/>
        <v>393730276</v>
      </c>
      <c r="R33"/>
      <c r="S33"/>
      <c r="T33"/>
      <c r="U33"/>
    </row>
    <row r="34" spans="1:21">
      <c r="A34" s="304" t="s">
        <v>2324</v>
      </c>
      <c r="B34" s="304"/>
      <c r="C34" s="328"/>
      <c r="D34" s="328"/>
      <c r="E34" s="397">
        <f t="shared" ref="E34:P34" si="12">E28-E33-E35</f>
        <v>0</v>
      </c>
      <c r="F34" s="397">
        <f t="shared" si="12"/>
        <v>160961</v>
      </c>
      <c r="G34" s="397">
        <f t="shared" si="12"/>
        <v>-132665</v>
      </c>
      <c r="H34" s="397">
        <f t="shared" si="12"/>
        <v>0</v>
      </c>
      <c r="I34" s="397">
        <f t="shared" si="12"/>
        <v>4967</v>
      </c>
      <c r="J34" s="397">
        <f t="shared" si="12"/>
        <v>117506</v>
      </c>
      <c r="K34" s="397">
        <f t="shared" si="12"/>
        <v>1096630</v>
      </c>
      <c r="L34" s="397">
        <f t="shared" si="12"/>
        <v>0</v>
      </c>
      <c r="M34" s="397">
        <f t="shared" si="12"/>
        <v>-153262</v>
      </c>
      <c r="N34" s="397">
        <f t="shared" si="12"/>
        <v>-157106</v>
      </c>
      <c r="O34" s="397">
        <f t="shared" si="12"/>
        <v>76513</v>
      </c>
      <c r="P34" s="397">
        <f t="shared" si="12"/>
        <v>27224</v>
      </c>
      <c r="Q34" s="213">
        <f>SUM(E34:P34)</f>
        <v>1040768</v>
      </c>
      <c r="R34"/>
      <c r="S34"/>
      <c r="T34"/>
      <c r="U34"/>
    </row>
    <row r="35" spans="1:21">
      <c r="A35" s="304" t="s">
        <v>2325</v>
      </c>
      <c r="B35" s="304"/>
      <c r="C35" s="328"/>
      <c r="D35" s="328"/>
      <c r="E35" s="397">
        <f>-(E30+E31)</f>
        <v>-4008750</v>
      </c>
      <c r="F35" s="397">
        <f>-E34</f>
        <v>0</v>
      </c>
      <c r="G35" s="397">
        <f>-F34</f>
        <v>-160961</v>
      </c>
      <c r="H35" s="397">
        <f>-G34</f>
        <v>132665</v>
      </c>
      <c r="I35" s="397">
        <f t="shared" ref="I35:P35" si="13">-H34</f>
        <v>0</v>
      </c>
      <c r="J35" s="397">
        <f t="shared" si="13"/>
        <v>-4967</v>
      </c>
      <c r="K35" s="397">
        <f t="shared" si="13"/>
        <v>-117506</v>
      </c>
      <c r="L35" s="397">
        <f t="shared" si="13"/>
        <v>-1096630</v>
      </c>
      <c r="M35" s="397">
        <f t="shared" si="13"/>
        <v>0</v>
      </c>
      <c r="N35" s="397">
        <f t="shared" si="13"/>
        <v>153262</v>
      </c>
      <c r="O35" s="397">
        <f t="shared" si="13"/>
        <v>157106</v>
      </c>
      <c r="P35" s="397">
        <f t="shared" si="13"/>
        <v>-76513</v>
      </c>
      <c r="Q35" s="213">
        <f>SUM(E35:P35)</f>
        <v>-5022294</v>
      </c>
      <c r="R35"/>
      <c r="S35"/>
      <c r="T35"/>
      <c r="U35"/>
    </row>
    <row r="36" spans="1:21" ht="13.5" thickBot="1">
      <c r="A36" s="304" t="s">
        <v>2462</v>
      </c>
      <c r="B36" s="304"/>
      <c r="C36" s="328"/>
      <c r="D36" s="328"/>
      <c r="E36" s="305">
        <f t="shared" ref="E36:F36" si="14">SUM(E33:E35)</f>
        <v>35210010</v>
      </c>
      <c r="F36" s="305">
        <f t="shared" si="14"/>
        <v>30823170</v>
      </c>
      <c r="G36" s="305">
        <f>SUM(G33:G35)</f>
        <v>35740380</v>
      </c>
      <c r="H36" s="305">
        <f t="shared" ref="H36:O36" si="15">SUM(H33:H35)</f>
        <v>31016760</v>
      </c>
      <c r="I36" s="305">
        <f t="shared" si="15"/>
        <v>32290770</v>
      </c>
      <c r="J36" s="305">
        <f t="shared" si="15"/>
        <v>29648650</v>
      </c>
      <c r="K36" s="305">
        <f t="shared" si="15"/>
        <v>32657540</v>
      </c>
      <c r="L36" s="305">
        <f t="shared" si="15"/>
        <v>39269540</v>
      </c>
      <c r="M36" s="305">
        <f t="shared" si="15"/>
        <v>31549600</v>
      </c>
      <c r="N36" s="305">
        <f t="shared" si="15"/>
        <v>29938810</v>
      </c>
      <c r="O36" s="305">
        <f t="shared" si="15"/>
        <v>29702540</v>
      </c>
      <c r="P36" s="305">
        <f>SUM(P33:P35)</f>
        <v>31900980</v>
      </c>
      <c r="Q36" s="218">
        <f>SUM(Q33:Q35)</f>
        <v>389748750</v>
      </c>
      <c r="R36"/>
      <c r="S36"/>
      <c r="T36"/>
      <c r="U36"/>
    </row>
    <row r="37" spans="1:21" ht="13.5" thickTop="1">
      <c r="A37"/>
      <c r="B37"/>
      <c r="C37" s="258"/>
      <c r="D37" s="25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/>
      <c r="B38"/>
      <c r="C38" s="462"/>
      <c r="D38" s="462"/>
      <c r="E38" s="221"/>
      <c r="F38" s="221"/>
      <c r="G38" s="221">
        <v>35226000</v>
      </c>
      <c r="H38" s="221">
        <f>68418000-33858000</f>
        <v>34560000</v>
      </c>
      <c r="I38" s="221">
        <v>38765000</v>
      </c>
      <c r="J38" s="221">
        <v>34845000</v>
      </c>
      <c r="K38" s="221">
        <v>37966000</v>
      </c>
      <c r="L38" s="221">
        <v>32628000</v>
      </c>
      <c r="M38" s="221">
        <v>25108000</v>
      </c>
      <c r="N38" s="221">
        <v>40272000</v>
      </c>
      <c r="O38" s="221">
        <v>38741000</v>
      </c>
      <c r="P38" s="221">
        <v>38137000</v>
      </c>
      <c r="Q38" s="313">
        <f>SUM(E38:P38)</f>
        <v>356248000</v>
      </c>
      <c r="R38"/>
      <c r="S38"/>
      <c r="T38"/>
      <c r="U38"/>
    </row>
    <row r="39" spans="1:21">
      <c r="A39"/>
      <c r="B39"/>
      <c r="C39" s="395"/>
      <c r="D39" s="395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313"/>
      <c r="R39"/>
      <c r="S39"/>
      <c r="T39"/>
      <c r="U39"/>
    </row>
    <row r="40" spans="1:21">
      <c r="A40"/>
      <c r="B40" s="398" t="s">
        <v>416</v>
      </c>
      <c r="C40"/>
      <c r="D40"/>
      <c r="E40" s="221">
        <v>0</v>
      </c>
      <c r="F40" s="221">
        <v>0</v>
      </c>
      <c r="G40" s="221">
        <v>0</v>
      </c>
      <c r="H40" s="221">
        <v>35226000</v>
      </c>
      <c r="I40" s="221">
        <v>34560000</v>
      </c>
      <c r="J40" s="221">
        <v>38765000</v>
      </c>
      <c r="K40" s="221">
        <v>34845000</v>
      </c>
      <c r="L40" s="221">
        <v>37966000</v>
      </c>
      <c r="M40" s="221">
        <v>32628000</v>
      </c>
      <c r="N40" s="221">
        <v>25108000</v>
      </c>
      <c r="O40" s="221">
        <v>40272000</v>
      </c>
      <c r="P40" s="221">
        <v>38741000</v>
      </c>
      <c r="Q40" s="313">
        <f>SUM(E40:P40)</f>
        <v>318111000</v>
      </c>
      <c r="R40"/>
      <c r="S40"/>
      <c r="T40"/>
      <c r="U40"/>
    </row>
    <row r="41" spans="1:21">
      <c r="A41"/>
      <c r="B41" s="398" t="s">
        <v>2322</v>
      </c>
      <c r="C41" s="132"/>
      <c r="D41"/>
      <c r="E41" s="221">
        <v>0</v>
      </c>
      <c r="F41" s="221">
        <v>0</v>
      </c>
      <c r="G41" s="221">
        <v>35226000</v>
      </c>
      <c r="H41" s="221">
        <v>34560000</v>
      </c>
      <c r="I41" s="221">
        <v>38765000</v>
      </c>
      <c r="J41" s="221">
        <v>34845000</v>
      </c>
      <c r="K41" s="221">
        <v>37966000</v>
      </c>
      <c r="L41" s="221">
        <v>32628000</v>
      </c>
      <c r="M41" s="221">
        <v>25108000</v>
      </c>
      <c r="N41" s="221">
        <v>40272000</v>
      </c>
      <c r="O41" s="221">
        <v>38741000</v>
      </c>
      <c r="P41" s="221">
        <v>38137000</v>
      </c>
      <c r="Q41" s="313">
        <f t="shared" ref="Q41:Q42" si="16">SUM(E41:P41)</f>
        <v>356248000</v>
      </c>
      <c r="R41"/>
      <c r="S41"/>
      <c r="T41"/>
      <c r="U41"/>
    </row>
    <row r="42" spans="1:21">
      <c r="A42"/>
      <c r="B42" s="398" t="s">
        <v>2321</v>
      </c>
      <c r="C42"/>
      <c r="D42"/>
      <c r="E42" s="221">
        <v>0</v>
      </c>
      <c r="F42" s="221">
        <v>0</v>
      </c>
      <c r="G42" s="221">
        <v>0</v>
      </c>
      <c r="H42" s="221">
        <v>-35226000</v>
      </c>
      <c r="I42" s="221">
        <v>-34560000</v>
      </c>
      <c r="J42" s="221">
        <v>-38765000</v>
      </c>
      <c r="K42" s="221">
        <v>-34845000</v>
      </c>
      <c r="L42" s="221">
        <v>-37966000</v>
      </c>
      <c r="M42" s="221">
        <v>-32628000</v>
      </c>
      <c r="N42" s="221">
        <v>-25108000</v>
      </c>
      <c r="O42" s="221">
        <v>-40272000</v>
      </c>
      <c r="P42" s="221">
        <v>-38741000</v>
      </c>
      <c r="Q42" s="313">
        <f t="shared" si="16"/>
        <v>-318111000</v>
      </c>
      <c r="R42"/>
      <c r="S42"/>
      <c r="T42"/>
      <c r="U42"/>
    </row>
    <row r="43" spans="1:21">
      <c r="A43"/>
      <c r="B43" s="398" t="s">
        <v>2323</v>
      </c>
      <c r="C43"/>
      <c r="D43"/>
      <c r="E43" s="217">
        <f t="shared" ref="E43:Q43" si="17">SUM(E40:E42)</f>
        <v>0</v>
      </c>
      <c r="F43" s="217">
        <f t="shared" si="17"/>
        <v>0</v>
      </c>
      <c r="G43" s="217">
        <f t="shared" si="17"/>
        <v>35226000</v>
      </c>
      <c r="H43" s="217">
        <f t="shared" si="17"/>
        <v>34560000</v>
      </c>
      <c r="I43" s="217">
        <f t="shared" si="17"/>
        <v>38765000</v>
      </c>
      <c r="J43" s="217">
        <f t="shared" si="17"/>
        <v>34845000</v>
      </c>
      <c r="K43" s="217">
        <f t="shared" si="17"/>
        <v>37966000</v>
      </c>
      <c r="L43" s="217">
        <f t="shared" si="17"/>
        <v>32628000</v>
      </c>
      <c r="M43" s="217">
        <f t="shared" si="17"/>
        <v>25108000</v>
      </c>
      <c r="N43" s="217">
        <f t="shared" si="17"/>
        <v>40272000</v>
      </c>
      <c r="O43" s="217">
        <f t="shared" si="17"/>
        <v>38741000</v>
      </c>
      <c r="P43" s="217">
        <f t="shared" si="17"/>
        <v>38137000</v>
      </c>
      <c r="Q43" s="217">
        <f t="shared" si="17"/>
        <v>356248000</v>
      </c>
      <c r="R43"/>
      <c r="S43"/>
      <c r="T43"/>
      <c r="U43"/>
    </row>
    <row r="44" spans="1:21">
      <c r="A44"/>
      <c r="B44" s="297"/>
      <c r="C44" s="297"/>
      <c r="D44" s="297"/>
      <c r="E44" s="399">
        <f>E43-E38</f>
        <v>0</v>
      </c>
      <c r="F44" s="399">
        <f t="shared" ref="F44:Q44" si="18">F43-F38</f>
        <v>0</v>
      </c>
      <c r="G44" s="399">
        <f t="shared" si="18"/>
        <v>0</v>
      </c>
      <c r="H44" s="399">
        <f t="shared" si="18"/>
        <v>0</v>
      </c>
      <c r="I44" s="399">
        <f t="shared" si="18"/>
        <v>0</v>
      </c>
      <c r="J44" s="399">
        <f t="shared" si="18"/>
        <v>0</v>
      </c>
      <c r="K44" s="399">
        <f t="shared" si="18"/>
        <v>0</v>
      </c>
      <c r="L44" s="399">
        <f t="shared" si="18"/>
        <v>0</v>
      </c>
      <c r="M44" s="399">
        <f t="shared" si="18"/>
        <v>0</v>
      </c>
      <c r="N44" s="399">
        <f t="shared" si="18"/>
        <v>0</v>
      </c>
      <c r="O44" s="399">
        <f t="shared" si="18"/>
        <v>0</v>
      </c>
      <c r="P44" s="399">
        <f t="shared" si="18"/>
        <v>0</v>
      </c>
      <c r="Q44" s="399">
        <f t="shared" si="18"/>
        <v>0</v>
      </c>
      <c r="R44"/>
      <c r="S44"/>
      <c r="T44"/>
      <c r="U44"/>
    </row>
    <row r="45" spans="1:21">
      <c r="A45"/>
      <c r="B45"/>
      <c r="C45" s="258"/>
      <c r="D45" s="25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299" t="s">
        <v>2326</v>
      </c>
      <c r="B46" s="296"/>
      <c r="C46" s="332"/>
      <c r="D46" s="332"/>
      <c r="E46" s="316">
        <f t="shared" ref="E46:P46" si="19">E$3</f>
        <v>43466</v>
      </c>
      <c r="F46" s="316">
        <f t="shared" si="19"/>
        <v>43497</v>
      </c>
      <c r="G46" s="316">
        <f t="shared" si="19"/>
        <v>43525</v>
      </c>
      <c r="H46" s="316">
        <f t="shared" si="19"/>
        <v>43556</v>
      </c>
      <c r="I46" s="316">
        <f t="shared" si="19"/>
        <v>43586</v>
      </c>
      <c r="J46" s="316">
        <f t="shared" si="19"/>
        <v>43617</v>
      </c>
      <c r="K46" s="316">
        <f t="shared" si="19"/>
        <v>43647</v>
      </c>
      <c r="L46" s="316">
        <f t="shared" si="19"/>
        <v>43678</v>
      </c>
      <c r="M46" s="316">
        <f t="shared" si="19"/>
        <v>43709</v>
      </c>
      <c r="N46" s="316">
        <f t="shared" si="19"/>
        <v>43739</v>
      </c>
      <c r="O46" s="316">
        <f t="shared" si="19"/>
        <v>43770</v>
      </c>
      <c r="P46" s="316">
        <f t="shared" si="19"/>
        <v>43800</v>
      </c>
      <c r="Q46" s="255" t="s">
        <v>277</v>
      </c>
      <c r="R46" s="296"/>
      <c r="S46" s="298" t="s">
        <v>2327</v>
      </c>
      <c r="T46" s="298" t="s">
        <v>156</v>
      </c>
      <c r="U46"/>
    </row>
    <row r="47" spans="1:21">
      <c r="A47" s="255">
        <v>1</v>
      </c>
      <c r="B47" s="327">
        <f>B4</f>
        <v>0</v>
      </c>
      <c r="C47" s="462">
        <f>C4</f>
        <v>0</v>
      </c>
      <c r="D47" s="462">
        <f>D4</f>
        <v>0</v>
      </c>
      <c r="E47" s="212">
        <v>9630.3799999999992</v>
      </c>
      <c r="F47" s="212">
        <v>9349.34</v>
      </c>
      <c r="G47" s="212">
        <v>9341.16</v>
      </c>
      <c r="H47" s="222">
        <v>9584.9500000000007</v>
      </c>
      <c r="I47" s="222">
        <v>9251.57</v>
      </c>
      <c r="J47" s="222">
        <v>9767.57</v>
      </c>
      <c r="K47" s="222">
        <v>9650.19</v>
      </c>
      <c r="L47" s="222">
        <v>9793.81</v>
      </c>
      <c r="M47" s="222">
        <v>9504.4699999999993</v>
      </c>
      <c r="N47" s="222">
        <v>9875.4500000000007</v>
      </c>
      <c r="O47" s="222">
        <v>9930.6</v>
      </c>
      <c r="P47" s="222">
        <v>9274.18</v>
      </c>
      <c r="Q47" s="213">
        <f>SUM(E47:P47)</f>
        <v>114953.67000000001</v>
      </c>
      <c r="R47" s="296"/>
      <c r="S47" s="317">
        <f>MAX(F47:P47)</f>
        <v>9930.6</v>
      </c>
      <c r="T47" s="318">
        <f t="shared" ref="T47:T57" si="20">INDEX($E$46:$P$46,MATCH(S47,$E47:$P47,0))</f>
        <v>43770</v>
      </c>
      <c r="U47"/>
    </row>
    <row r="48" spans="1:21">
      <c r="A48" s="255">
        <v>2</v>
      </c>
      <c r="B48" s="327">
        <f t="shared" ref="B48:B57" si="21">B5</f>
        <v>0</v>
      </c>
      <c r="C48" s="462">
        <f t="shared" ref="C48:D57" si="22">C5</f>
        <v>0</v>
      </c>
      <c r="D48" s="462">
        <f t="shared" si="22"/>
        <v>0</v>
      </c>
      <c r="E48" s="212">
        <v>9117.4290000000001</v>
      </c>
      <c r="F48" s="212">
        <v>9222.3430000000008</v>
      </c>
      <c r="G48" s="212">
        <v>9219.7119999999995</v>
      </c>
      <c r="H48" s="222">
        <v>9020.482</v>
      </c>
      <c r="I48" s="222">
        <v>8931.2160000000003</v>
      </c>
      <c r="J48" s="222">
        <v>9272.1350000000002</v>
      </c>
      <c r="K48" s="222">
        <v>9206.0159999999996</v>
      </c>
      <c r="L48" s="222">
        <v>9045.6759999999995</v>
      </c>
      <c r="M48" s="222">
        <v>9115.018</v>
      </c>
      <c r="N48" s="222">
        <v>9696.9750000000004</v>
      </c>
      <c r="O48" s="222">
        <v>9538.6710000000003</v>
      </c>
      <c r="P48" s="222">
        <v>9630.8439999999991</v>
      </c>
      <c r="Q48" s="213">
        <f t="shared" ref="Q48:Q57" si="23">SUM(E48:P48)</f>
        <v>111016.51699999999</v>
      </c>
      <c r="R48" s="296"/>
      <c r="S48" s="317">
        <f>MAX(F48:P48)</f>
        <v>9696.9750000000004</v>
      </c>
      <c r="T48" s="318">
        <f t="shared" si="20"/>
        <v>43739</v>
      </c>
      <c r="U48"/>
    </row>
    <row r="49" spans="1:21">
      <c r="A49" s="255">
        <v>3</v>
      </c>
      <c r="B49" s="327">
        <f t="shared" si="21"/>
        <v>0</v>
      </c>
      <c r="C49" s="462">
        <f t="shared" si="22"/>
        <v>0</v>
      </c>
      <c r="D49" s="462">
        <f t="shared" si="22"/>
        <v>0</v>
      </c>
      <c r="E49" s="222">
        <v>3566.866</v>
      </c>
      <c r="F49" s="222">
        <v>3545.2779999999998</v>
      </c>
      <c r="G49" s="222">
        <v>3525.6390000000001</v>
      </c>
      <c r="H49" s="222">
        <v>3710.4050000000002</v>
      </c>
      <c r="I49" s="222">
        <v>4131.1949999999997</v>
      </c>
      <c r="J49" s="222">
        <v>3981.7420000000002</v>
      </c>
      <c r="K49" s="222">
        <v>4442.4799999999996</v>
      </c>
      <c r="L49" s="222">
        <v>4860.8649999999998</v>
      </c>
      <c r="M49" s="222">
        <v>4904.5929999999998</v>
      </c>
      <c r="N49" s="222">
        <v>3069.806</v>
      </c>
      <c r="O49" s="222">
        <v>2477.3589999999999</v>
      </c>
      <c r="P49" s="222">
        <v>2617.4589999999998</v>
      </c>
      <c r="Q49" s="213">
        <f t="shared" si="23"/>
        <v>44833.686999999998</v>
      </c>
      <c r="R49" s="296"/>
      <c r="S49" s="317">
        <f t="shared" ref="S49:S54" si="24">MAX(F49:P49)</f>
        <v>4904.5929999999998</v>
      </c>
      <c r="T49" s="318">
        <f t="shared" si="20"/>
        <v>43709</v>
      </c>
      <c r="U49"/>
    </row>
    <row r="50" spans="1:21">
      <c r="A50" s="255">
        <v>4</v>
      </c>
      <c r="B50" s="327">
        <f t="shared" si="21"/>
        <v>0</v>
      </c>
      <c r="C50" s="462">
        <f t="shared" si="22"/>
        <v>0</v>
      </c>
      <c r="D50" s="462">
        <f t="shared" si="22"/>
        <v>0</v>
      </c>
      <c r="E50" s="222">
        <v>4725.0789999999997</v>
      </c>
      <c r="F50" s="222">
        <v>4749.942</v>
      </c>
      <c r="G50" s="222">
        <v>4706.4560000000001</v>
      </c>
      <c r="H50" s="222">
        <v>4711.8770000000004</v>
      </c>
      <c r="I50" s="222">
        <v>4789.9480000000003</v>
      </c>
      <c r="J50" s="222">
        <v>4777.3739999999998</v>
      </c>
      <c r="K50" s="222">
        <v>4818.62</v>
      </c>
      <c r="L50" s="222">
        <v>4834.7979999999998</v>
      </c>
      <c r="M50" s="222">
        <v>4605.7</v>
      </c>
      <c r="N50" s="222">
        <v>4554.7560000000003</v>
      </c>
      <c r="O50" s="222">
        <v>4638.5479999999998</v>
      </c>
      <c r="P50" s="222">
        <v>4599.1139999999996</v>
      </c>
      <c r="Q50" s="213">
        <f t="shared" si="23"/>
        <v>56512.212000000007</v>
      </c>
      <c r="R50" s="296"/>
      <c r="S50" s="317">
        <f t="shared" si="24"/>
        <v>4834.7979999999998</v>
      </c>
      <c r="T50" s="318">
        <f t="shared" si="20"/>
        <v>43678</v>
      </c>
      <c r="U50"/>
    </row>
    <row r="51" spans="1:21">
      <c r="A51" s="255">
        <v>5</v>
      </c>
      <c r="B51" s="327">
        <f t="shared" si="21"/>
        <v>0</v>
      </c>
      <c r="C51" s="462">
        <f t="shared" si="22"/>
        <v>0</v>
      </c>
      <c r="D51" s="462">
        <f t="shared" si="22"/>
        <v>0</v>
      </c>
      <c r="E51" s="222">
        <v>3594.9209999999998</v>
      </c>
      <c r="F51" s="222">
        <v>3711.8159999999998</v>
      </c>
      <c r="G51" s="222">
        <v>3640.9479999999999</v>
      </c>
      <c r="H51" s="222">
        <v>3492.174</v>
      </c>
      <c r="I51" s="222">
        <v>3354.2640000000001</v>
      </c>
      <c r="J51" s="222">
        <v>3311.0540000000001</v>
      </c>
      <c r="K51" s="222">
        <v>3409.1080000000002</v>
      </c>
      <c r="L51" s="222">
        <v>3598.4090000000001</v>
      </c>
      <c r="M51" s="222">
        <v>4137.0619999999999</v>
      </c>
      <c r="N51" s="222">
        <v>4444.933</v>
      </c>
      <c r="O51" s="222">
        <v>4460.5959999999995</v>
      </c>
      <c r="P51" s="222">
        <v>4552.0110000000004</v>
      </c>
      <c r="Q51" s="213">
        <f t="shared" si="23"/>
        <v>45707.295999999995</v>
      </c>
      <c r="R51" s="296"/>
      <c r="S51" s="317">
        <f t="shared" si="24"/>
        <v>4552.0110000000004</v>
      </c>
      <c r="T51" s="318">
        <f t="shared" si="20"/>
        <v>43800</v>
      </c>
      <c r="U51"/>
    </row>
    <row r="52" spans="1:21">
      <c r="A52" s="255">
        <v>6</v>
      </c>
      <c r="B52" s="327">
        <f t="shared" si="21"/>
        <v>0</v>
      </c>
      <c r="C52" s="462">
        <f t="shared" si="22"/>
        <v>0</v>
      </c>
      <c r="D52" s="462">
        <f t="shared" si="22"/>
        <v>0</v>
      </c>
      <c r="E52" s="222">
        <v>4668</v>
      </c>
      <c r="F52" s="222">
        <v>4888.71</v>
      </c>
      <c r="G52" s="222">
        <v>4778.93</v>
      </c>
      <c r="H52" s="222">
        <v>4468.26</v>
      </c>
      <c r="I52" s="222">
        <v>4342.97</v>
      </c>
      <c r="J52" s="222">
        <v>4375.63</v>
      </c>
      <c r="K52" s="222">
        <v>4349.8599999999997</v>
      </c>
      <c r="L52" s="222">
        <v>4476.74</v>
      </c>
      <c r="M52" s="222">
        <v>4490.3599999999997</v>
      </c>
      <c r="N52" s="222">
        <v>4704.8999999999996</v>
      </c>
      <c r="O52" s="222">
        <v>4677.29</v>
      </c>
      <c r="P52" s="222">
        <v>4871.83</v>
      </c>
      <c r="Q52" s="213">
        <f t="shared" si="23"/>
        <v>55093.48000000001</v>
      </c>
      <c r="R52" s="296"/>
      <c r="S52" s="317">
        <f t="shared" si="24"/>
        <v>4888.71</v>
      </c>
      <c r="T52" s="318">
        <f t="shared" si="20"/>
        <v>43497</v>
      </c>
      <c r="U52"/>
    </row>
    <row r="53" spans="1:21">
      <c r="A53" s="255">
        <v>7</v>
      </c>
      <c r="B53" s="327">
        <f t="shared" si="21"/>
        <v>0</v>
      </c>
      <c r="C53" s="462">
        <f t="shared" si="22"/>
        <v>0</v>
      </c>
      <c r="D53" s="462">
        <f t="shared" si="22"/>
        <v>0</v>
      </c>
      <c r="E53" s="222">
        <f>3000+5183.294</f>
        <v>8183.2939999999999</v>
      </c>
      <c r="F53" s="222">
        <f>3000+5517.607</f>
        <v>8517.607</v>
      </c>
      <c r="G53" s="222">
        <f>3000+5465.311</f>
        <v>8465.3109999999997</v>
      </c>
      <c r="H53" s="222">
        <f>3000+5566.249</f>
        <v>8566.2489999999998</v>
      </c>
      <c r="I53" s="222">
        <f>3000+5529.259</f>
        <v>8529.259</v>
      </c>
      <c r="J53" s="222">
        <f>3000+5316.368</f>
        <v>8316.3680000000004</v>
      </c>
      <c r="K53" s="222">
        <f>3000+5790.911</f>
        <v>8790.9110000000001</v>
      </c>
      <c r="L53" s="222">
        <f>3000+5399.336</f>
        <v>8399.3359999999993</v>
      </c>
      <c r="M53" s="222">
        <f>3000+6065.984</f>
        <v>9065.9840000000004</v>
      </c>
      <c r="N53" s="222">
        <f>3000+5914.351</f>
        <v>8914.3509999999987</v>
      </c>
      <c r="O53" s="222">
        <f>3000+5911.909</f>
        <v>8911.9089999999997</v>
      </c>
      <c r="P53" s="222">
        <f>3000+5794.946</f>
        <v>8794.9459999999999</v>
      </c>
      <c r="Q53" s="213">
        <f t="shared" si="23"/>
        <v>103455.52499999998</v>
      </c>
      <c r="R53" s="296"/>
      <c r="S53" s="317">
        <f t="shared" si="24"/>
        <v>9065.9840000000004</v>
      </c>
      <c r="T53" s="318">
        <f t="shared" si="20"/>
        <v>43709</v>
      </c>
      <c r="U53"/>
    </row>
    <row r="54" spans="1:21">
      <c r="A54" s="255">
        <v>8</v>
      </c>
      <c r="B54" s="327">
        <f t="shared" si="21"/>
        <v>0</v>
      </c>
      <c r="C54" s="462">
        <f t="shared" si="22"/>
        <v>0</v>
      </c>
      <c r="D54" s="462">
        <f t="shared" si="22"/>
        <v>0</v>
      </c>
      <c r="E54" s="222">
        <v>7700.09</v>
      </c>
      <c r="F54" s="222">
        <v>7670.8130000000001</v>
      </c>
      <c r="G54" s="222">
        <v>7436.6319999999996</v>
      </c>
      <c r="H54" s="222">
        <v>6969.12</v>
      </c>
      <c r="I54" s="222">
        <v>6792.2039999999997</v>
      </c>
      <c r="J54" s="222">
        <v>6771.2079999999996</v>
      </c>
      <c r="K54" s="222">
        <v>6895.9520000000002</v>
      </c>
      <c r="L54" s="222">
        <v>6688.0820000000003</v>
      </c>
      <c r="M54" s="222">
        <v>7074.1570000000002</v>
      </c>
      <c r="N54" s="222">
        <v>7668.3559999999998</v>
      </c>
      <c r="O54" s="222">
        <v>7631.866</v>
      </c>
      <c r="P54" s="222">
        <v>7089.4939999999997</v>
      </c>
      <c r="Q54" s="213">
        <f t="shared" si="23"/>
        <v>86387.974000000002</v>
      </c>
      <c r="R54" s="296"/>
      <c r="S54" s="317">
        <f t="shared" si="24"/>
        <v>7670.8130000000001</v>
      </c>
      <c r="T54" s="318">
        <f t="shared" si="20"/>
        <v>43497</v>
      </c>
      <c r="U54"/>
    </row>
    <row r="55" spans="1:21">
      <c r="A55" s="255">
        <v>9</v>
      </c>
      <c r="B55" s="327">
        <f t="shared" si="21"/>
        <v>0</v>
      </c>
      <c r="C55" s="462">
        <f t="shared" si="22"/>
        <v>0</v>
      </c>
      <c r="D55" s="462">
        <f t="shared" si="22"/>
        <v>0</v>
      </c>
      <c r="E55" s="222">
        <v>3166.31</v>
      </c>
      <c r="F55" s="222">
        <v>3170.7080000000001</v>
      </c>
      <c r="G55" s="222">
        <v>3123.857</v>
      </c>
      <c r="H55" s="222">
        <v>1389.902</v>
      </c>
      <c r="I55" s="401"/>
      <c r="J55" s="401"/>
      <c r="K55" s="401"/>
      <c r="L55" s="401"/>
      <c r="M55" s="401"/>
      <c r="N55" s="401"/>
      <c r="O55" s="401"/>
      <c r="P55" s="401"/>
      <c r="Q55" s="213">
        <f t="shared" si="23"/>
        <v>10850.777</v>
      </c>
      <c r="R55" s="296"/>
      <c r="S55" s="317">
        <f>MAX(F55:P55)</f>
        <v>3170.7080000000001</v>
      </c>
      <c r="T55" s="318">
        <f t="shared" si="20"/>
        <v>43497</v>
      </c>
      <c r="U55"/>
    </row>
    <row r="56" spans="1:21">
      <c r="A56" s="255">
        <v>10</v>
      </c>
      <c r="B56" s="327">
        <f t="shared" si="21"/>
        <v>0</v>
      </c>
      <c r="C56" s="462">
        <f t="shared" si="22"/>
        <v>0</v>
      </c>
      <c r="D56" s="462">
        <f t="shared" si="22"/>
        <v>0</v>
      </c>
      <c r="E56" s="222">
        <v>2081.7020000000002</v>
      </c>
      <c r="F56" s="222">
        <v>2156.2620000000002</v>
      </c>
      <c r="G56" s="222">
        <v>2224.9409999999998</v>
      </c>
      <c r="H56" s="222">
        <v>2279.172</v>
      </c>
      <c r="I56" s="222">
        <v>2589.3690000000001</v>
      </c>
      <c r="J56" s="222">
        <v>2700.9479999999999</v>
      </c>
      <c r="K56" s="222">
        <v>2658.2550000000001</v>
      </c>
      <c r="L56" s="222">
        <v>2746.6559999999999</v>
      </c>
      <c r="M56" s="222">
        <v>2553.723</v>
      </c>
      <c r="N56" s="222">
        <v>2121.6979999999999</v>
      </c>
      <c r="O56" s="222">
        <v>2086.5990000000002</v>
      </c>
      <c r="P56" s="222">
        <v>2021.135</v>
      </c>
      <c r="Q56" s="213">
        <f t="shared" si="23"/>
        <v>28220.459999999995</v>
      </c>
      <c r="R56" s="296"/>
      <c r="S56" s="317">
        <f t="shared" ref="S56:S57" si="25">MAX(F56:P56)</f>
        <v>2746.6559999999999</v>
      </c>
      <c r="T56" s="318">
        <f t="shared" si="20"/>
        <v>43678</v>
      </c>
      <c r="U56"/>
    </row>
    <row r="57" spans="1:21">
      <c r="A57" s="255">
        <v>11</v>
      </c>
      <c r="B57" s="327">
        <f t="shared" si="21"/>
        <v>0</v>
      </c>
      <c r="C57" s="462">
        <f t="shared" si="22"/>
        <v>0</v>
      </c>
      <c r="D57" s="462">
        <f t="shared" si="22"/>
        <v>0</v>
      </c>
      <c r="E57" s="222">
        <v>2621.194</v>
      </c>
      <c r="F57" s="222">
        <v>2612.6370000000002</v>
      </c>
      <c r="G57" s="222">
        <v>2593.1260000000002</v>
      </c>
      <c r="H57" s="222">
        <v>2473.3649999999998</v>
      </c>
      <c r="I57" s="222">
        <v>2361.4839999999999</v>
      </c>
      <c r="J57" s="222">
        <v>2342.6889999999999</v>
      </c>
      <c r="K57" s="222">
        <v>2305.1179999999999</v>
      </c>
      <c r="L57" s="222">
        <v>2276.1410000000001</v>
      </c>
      <c r="M57" s="222">
        <v>2350.288</v>
      </c>
      <c r="N57" s="222">
        <v>2568.797</v>
      </c>
      <c r="O57" s="222">
        <v>2562.7550000000001</v>
      </c>
      <c r="P57" s="222">
        <v>2532.4299999999998</v>
      </c>
      <c r="Q57" s="213">
        <f t="shared" si="23"/>
        <v>29600.024000000001</v>
      </c>
      <c r="R57" s="296"/>
      <c r="S57" s="317">
        <f t="shared" si="25"/>
        <v>2612.6370000000002</v>
      </c>
      <c r="T57" s="318">
        <f t="shared" si="20"/>
        <v>43497</v>
      </c>
      <c r="U57"/>
    </row>
    <row r="58" spans="1:21" ht="13.5" thickBot="1">
      <c r="A58" s="255"/>
      <c r="B58" s="297"/>
      <c r="C58" s="327"/>
      <c r="D58" s="327"/>
      <c r="E58" s="319">
        <f t="shared" ref="E58:P58" si="26">SUM(E47:E57)</f>
        <v>59055.265000000007</v>
      </c>
      <c r="F58" s="319">
        <f t="shared" si="26"/>
        <v>59595.455999999998</v>
      </c>
      <c r="G58" s="319">
        <f t="shared" si="26"/>
        <v>59056.712</v>
      </c>
      <c r="H58" s="319">
        <f t="shared" si="26"/>
        <v>56665.955999999998</v>
      </c>
      <c r="I58" s="319">
        <f t="shared" si="26"/>
        <v>55073.478999999992</v>
      </c>
      <c r="J58" s="319">
        <f t="shared" si="26"/>
        <v>55616.717999999993</v>
      </c>
      <c r="K58" s="319">
        <f t="shared" si="26"/>
        <v>56526.509999999995</v>
      </c>
      <c r="L58" s="319">
        <f t="shared" si="26"/>
        <v>56720.512999999999</v>
      </c>
      <c r="M58" s="319">
        <f t="shared" si="26"/>
        <v>57801.355000000003</v>
      </c>
      <c r="N58" s="319">
        <f t="shared" si="26"/>
        <v>57620.021999999997</v>
      </c>
      <c r="O58" s="319">
        <f t="shared" si="26"/>
        <v>56916.192999999999</v>
      </c>
      <c r="P58" s="319">
        <f t="shared" si="26"/>
        <v>55983.442999999992</v>
      </c>
      <c r="Q58" s="215">
        <f>IF(ROUND(SUM(E58:P58),3)&lt;&gt;ROUND(SUM(Q47:Q57),3),#VALUE!,SUM(E58:P58))</f>
        <v>686631.62199999997</v>
      </c>
      <c r="R58" s="296"/>
      <c r="S58" s="296"/>
      <c r="T58" s="296"/>
      <c r="U58"/>
    </row>
    <row r="59" spans="1:21" ht="13.5" thickTop="1">
      <c r="A59" s="255"/>
      <c r="B59" s="297"/>
      <c r="C59" s="327"/>
      <c r="D59" s="327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296"/>
      <c r="S59" s="296"/>
      <c r="T59" s="296"/>
      <c r="U59"/>
    </row>
    <row r="60" spans="1:21">
      <c r="A60" s="255"/>
      <c r="B60" s="297"/>
      <c r="C60" s="327"/>
      <c r="D60" s="327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55" t="str">
        <f>Q$2</f>
        <v>12-mo Ended</v>
      </c>
      <c r="R60" s="296"/>
      <c r="S60" s="296"/>
      <c r="T60" s="296"/>
      <c r="U60"/>
    </row>
    <row r="61" spans="1:21">
      <c r="A61" s="299" t="s">
        <v>2328</v>
      </c>
      <c r="B61" s="296"/>
      <c r="C61" s="332"/>
      <c r="D61" s="332"/>
      <c r="E61" s="316">
        <f t="shared" ref="E61:P61" si="27">E$3</f>
        <v>43466</v>
      </c>
      <c r="F61" s="316">
        <f t="shared" si="27"/>
        <v>43497</v>
      </c>
      <c r="G61" s="316">
        <f t="shared" si="27"/>
        <v>43525</v>
      </c>
      <c r="H61" s="316">
        <f t="shared" si="27"/>
        <v>43556</v>
      </c>
      <c r="I61" s="316">
        <f t="shared" si="27"/>
        <v>43586</v>
      </c>
      <c r="J61" s="316">
        <f t="shared" si="27"/>
        <v>43617</v>
      </c>
      <c r="K61" s="316">
        <f t="shared" si="27"/>
        <v>43647</v>
      </c>
      <c r="L61" s="316">
        <f t="shared" si="27"/>
        <v>43678</v>
      </c>
      <c r="M61" s="316">
        <f t="shared" si="27"/>
        <v>43709</v>
      </c>
      <c r="N61" s="316">
        <f t="shared" si="27"/>
        <v>43739</v>
      </c>
      <c r="O61" s="316">
        <f t="shared" si="27"/>
        <v>43770</v>
      </c>
      <c r="P61" s="316">
        <f t="shared" si="27"/>
        <v>43800</v>
      </c>
      <c r="Q61" s="255" t="s">
        <v>277</v>
      </c>
      <c r="R61" s="296"/>
      <c r="S61" s="296"/>
      <c r="T61" s="296"/>
      <c r="U61"/>
    </row>
    <row r="62" spans="1:21">
      <c r="A62" s="255">
        <v>1</v>
      </c>
      <c r="B62" s="327">
        <f t="shared" ref="B62:D72" si="28">B47</f>
        <v>0</v>
      </c>
      <c r="C62" s="327">
        <f t="shared" si="28"/>
        <v>0</v>
      </c>
      <c r="D62" s="327">
        <f t="shared" si="28"/>
        <v>0</v>
      </c>
      <c r="E62" s="223">
        <f t="shared" ref="E62:P62" si="29">MAX(0,E47-3000)</f>
        <v>6630.3799999999992</v>
      </c>
      <c r="F62" s="223">
        <f t="shared" si="29"/>
        <v>6349.34</v>
      </c>
      <c r="G62" s="223">
        <f t="shared" si="29"/>
        <v>6341.16</v>
      </c>
      <c r="H62" s="223">
        <f t="shared" si="29"/>
        <v>6584.9500000000007</v>
      </c>
      <c r="I62" s="223">
        <f t="shared" si="29"/>
        <v>6251.57</v>
      </c>
      <c r="J62" s="223">
        <f t="shared" si="29"/>
        <v>6767.57</v>
      </c>
      <c r="K62" s="223">
        <f t="shared" si="29"/>
        <v>6650.1900000000005</v>
      </c>
      <c r="L62" s="223">
        <f t="shared" si="29"/>
        <v>6793.8099999999995</v>
      </c>
      <c r="M62" s="223">
        <f t="shared" si="29"/>
        <v>6504.4699999999993</v>
      </c>
      <c r="N62" s="223">
        <f t="shared" si="29"/>
        <v>6875.4500000000007</v>
      </c>
      <c r="O62" s="223">
        <f t="shared" si="29"/>
        <v>6930.6</v>
      </c>
      <c r="P62" s="223">
        <f t="shared" si="29"/>
        <v>6274.18</v>
      </c>
      <c r="Q62" s="213">
        <f t="shared" ref="Q62:Q72" si="30">SUM(E62:P62)</f>
        <v>78953.670000000013</v>
      </c>
      <c r="R62" s="296"/>
      <c r="S62" s="296"/>
      <c r="T62" s="296"/>
      <c r="U62"/>
    </row>
    <row r="63" spans="1:21">
      <c r="A63" s="255">
        <v>2</v>
      </c>
      <c r="B63" s="327">
        <f t="shared" si="28"/>
        <v>0</v>
      </c>
      <c r="C63" s="327">
        <f t="shared" si="28"/>
        <v>0</v>
      </c>
      <c r="D63" s="327">
        <f t="shared" si="28"/>
        <v>0</v>
      </c>
      <c r="E63" s="223">
        <f t="shared" ref="E63:P63" si="31">MAX(0,E48-3000)</f>
        <v>6117.4290000000001</v>
      </c>
      <c r="F63" s="223">
        <f t="shared" si="31"/>
        <v>6222.3430000000008</v>
      </c>
      <c r="G63" s="223">
        <f t="shared" si="31"/>
        <v>6219.7119999999995</v>
      </c>
      <c r="H63" s="223">
        <f t="shared" si="31"/>
        <v>6020.482</v>
      </c>
      <c r="I63" s="223">
        <f t="shared" si="31"/>
        <v>5931.2160000000003</v>
      </c>
      <c r="J63" s="223">
        <f t="shared" si="31"/>
        <v>6272.1350000000002</v>
      </c>
      <c r="K63" s="223">
        <f t="shared" si="31"/>
        <v>6206.0159999999996</v>
      </c>
      <c r="L63" s="223">
        <f t="shared" si="31"/>
        <v>6045.6759999999995</v>
      </c>
      <c r="M63" s="223">
        <f t="shared" si="31"/>
        <v>6115.018</v>
      </c>
      <c r="N63" s="223">
        <f t="shared" si="31"/>
        <v>6696.9750000000004</v>
      </c>
      <c r="O63" s="223">
        <f t="shared" si="31"/>
        <v>6538.6710000000003</v>
      </c>
      <c r="P63" s="223">
        <f t="shared" si="31"/>
        <v>6630.8439999999991</v>
      </c>
      <c r="Q63" s="213">
        <f t="shared" si="30"/>
        <v>75016.516999999993</v>
      </c>
      <c r="R63" s="296"/>
      <c r="S63" s="296"/>
      <c r="T63" s="296"/>
      <c r="U63"/>
    </row>
    <row r="64" spans="1:21">
      <c r="A64" s="255">
        <v>3</v>
      </c>
      <c r="B64" s="327">
        <f t="shared" si="28"/>
        <v>0</v>
      </c>
      <c r="C64" s="327">
        <f t="shared" si="28"/>
        <v>0</v>
      </c>
      <c r="D64" s="327">
        <f t="shared" si="28"/>
        <v>0</v>
      </c>
      <c r="E64" s="223">
        <f t="shared" ref="E64:P64" si="32">MAX(0,E49-3000)</f>
        <v>566.86599999999999</v>
      </c>
      <c r="F64" s="223">
        <f t="shared" si="32"/>
        <v>545.27799999999979</v>
      </c>
      <c r="G64" s="223">
        <f t="shared" si="32"/>
        <v>525.63900000000012</v>
      </c>
      <c r="H64" s="223">
        <f t="shared" si="32"/>
        <v>710.4050000000002</v>
      </c>
      <c r="I64" s="223">
        <f t="shared" si="32"/>
        <v>1131.1949999999997</v>
      </c>
      <c r="J64" s="223">
        <f t="shared" si="32"/>
        <v>981.74200000000019</v>
      </c>
      <c r="K64" s="223">
        <f t="shared" si="32"/>
        <v>1442.4799999999996</v>
      </c>
      <c r="L64" s="223">
        <f t="shared" si="32"/>
        <v>1860.8649999999998</v>
      </c>
      <c r="M64" s="223">
        <f t="shared" si="32"/>
        <v>1904.5929999999998</v>
      </c>
      <c r="N64" s="223">
        <f t="shared" si="32"/>
        <v>69.80600000000004</v>
      </c>
      <c r="O64" s="223">
        <f t="shared" si="32"/>
        <v>0</v>
      </c>
      <c r="P64" s="223">
        <f t="shared" si="32"/>
        <v>0</v>
      </c>
      <c r="Q64" s="213">
        <f t="shared" si="30"/>
        <v>9738.8689999999988</v>
      </c>
      <c r="R64" s="296"/>
      <c r="S64" s="296"/>
      <c r="T64" s="296"/>
      <c r="U64"/>
    </row>
    <row r="65" spans="1:21">
      <c r="A65" s="255">
        <v>4</v>
      </c>
      <c r="B65" s="327">
        <f t="shared" si="28"/>
        <v>0</v>
      </c>
      <c r="C65" s="327">
        <f t="shared" si="28"/>
        <v>0</v>
      </c>
      <c r="D65" s="327">
        <f t="shared" si="28"/>
        <v>0</v>
      </c>
      <c r="E65" s="223">
        <f t="shared" ref="E65:P65" si="33">MAX(0,E50-3000)</f>
        <v>1725.0789999999997</v>
      </c>
      <c r="F65" s="223">
        <f t="shared" si="33"/>
        <v>1749.942</v>
      </c>
      <c r="G65" s="223">
        <f t="shared" si="33"/>
        <v>1706.4560000000001</v>
      </c>
      <c r="H65" s="223">
        <f t="shared" si="33"/>
        <v>1711.8770000000004</v>
      </c>
      <c r="I65" s="223">
        <f t="shared" si="33"/>
        <v>1789.9480000000003</v>
      </c>
      <c r="J65" s="223">
        <f t="shared" si="33"/>
        <v>1777.3739999999998</v>
      </c>
      <c r="K65" s="223">
        <f t="shared" si="33"/>
        <v>1818.62</v>
      </c>
      <c r="L65" s="223">
        <f t="shared" si="33"/>
        <v>1834.7979999999998</v>
      </c>
      <c r="M65" s="223">
        <f t="shared" si="33"/>
        <v>1605.6999999999998</v>
      </c>
      <c r="N65" s="223">
        <f t="shared" si="33"/>
        <v>1554.7560000000003</v>
      </c>
      <c r="O65" s="223">
        <f t="shared" si="33"/>
        <v>1638.5479999999998</v>
      </c>
      <c r="P65" s="223">
        <f t="shared" si="33"/>
        <v>1599.1139999999996</v>
      </c>
      <c r="Q65" s="213">
        <f t="shared" si="30"/>
        <v>20512.212</v>
      </c>
      <c r="R65"/>
      <c r="S65"/>
      <c r="T65"/>
      <c r="U65"/>
    </row>
    <row r="66" spans="1:21">
      <c r="A66" s="255">
        <v>5</v>
      </c>
      <c r="B66" s="327">
        <f t="shared" si="28"/>
        <v>0</v>
      </c>
      <c r="C66" s="327">
        <f t="shared" si="28"/>
        <v>0</v>
      </c>
      <c r="D66" s="327">
        <f t="shared" si="28"/>
        <v>0</v>
      </c>
      <c r="E66" s="223">
        <f t="shared" ref="E66:P66" si="34">MAX(0,E51-3000)</f>
        <v>594.92099999999982</v>
      </c>
      <c r="F66" s="223">
        <f t="shared" si="34"/>
        <v>711.8159999999998</v>
      </c>
      <c r="G66" s="223">
        <f t="shared" si="34"/>
        <v>640.94799999999987</v>
      </c>
      <c r="H66" s="223">
        <f t="shared" si="34"/>
        <v>492.17399999999998</v>
      </c>
      <c r="I66" s="223">
        <f t="shared" si="34"/>
        <v>354.26400000000012</v>
      </c>
      <c r="J66" s="223">
        <f t="shared" si="34"/>
        <v>311.05400000000009</v>
      </c>
      <c r="K66" s="223">
        <f t="shared" si="34"/>
        <v>409.10800000000017</v>
      </c>
      <c r="L66" s="223">
        <f t="shared" si="34"/>
        <v>598.40900000000011</v>
      </c>
      <c r="M66" s="223">
        <f t="shared" si="34"/>
        <v>1137.0619999999999</v>
      </c>
      <c r="N66" s="223">
        <f t="shared" si="34"/>
        <v>1444.933</v>
      </c>
      <c r="O66" s="223">
        <f t="shared" si="34"/>
        <v>1460.5959999999995</v>
      </c>
      <c r="P66" s="223">
        <f t="shared" si="34"/>
        <v>1552.0110000000004</v>
      </c>
      <c r="Q66" s="213">
        <f t="shared" si="30"/>
        <v>9707.2959999999985</v>
      </c>
      <c r="R66"/>
      <c r="S66"/>
      <c r="T66"/>
      <c r="U66"/>
    </row>
    <row r="67" spans="1:21">
      <c r="A67" s="255">
        <v>6</v>
      </c>
      <c r="B67" s="327">
        <f t="shared" si="28"/>
        <v>0</v>
      </c>
      <c r="C67" s="327">
        <f t="shared" si="28"/>
        <v>0</v>
      </c>
      <c r="D67" s="327">
        <f t="shared" si="28"/>
        <v>0</v>
      </c>
      <c r="E67" s="223">
        <f t="shared" ref="E67:P67" si="35">MAX(0,E52-3000)</f>
        <v>1668</v>
      </c>
      <c r="F67" s="223">
        <f t="shared" si="35"/>
        <v>1888.71</v>
      </c>
      <c r="G67" s="223">
        <f t="shared" si="35"/>
        <v>1778.9300000000003</v>
      </c>
      <c r="H67" s="223">
        <f t="shared" si="35"/>
        <v>1468.2600000000002</v>
      </c>
      <c r="I67" s="223">
        <f t="shared" si="35"/>
        <v>1342.9700000000003</v>
      </c>
      <c r="J67" s="223">
        <f t="shared" si="35"/>
        <v>1375.63</v>
      </c>
      <c r="K67" s="223">
        <f t="shared" si="35"/>
        <v>1349.8599999999997</v>
      </c>
      <c r="L67" s="223">
        <f t="shared" si="35"/>
        <v>1476.7399999999998</v>
      </c>
      <c r="M67" s="223">
        <f t="shared" si="35"/>
        <v>1490.3599999999997</v>
      </c>
      <c r="N67" s="223">
        <f t="shared" si="35"/>
        <v>1704.8999999999996</v>
      </c>
      <c r="O67" s="223">
        <f t="shared" si="35"/>
        <v>1677.29</v>
      </c>
      <c r="P67" s="223">
        <f t="shared" si="35"/>
        <v>1871.83</v>
      </c>
      <c r="Q67" s="213">
        <f t="shared" si="30"/>
        <v>19093.479999999996</v>
      </c>
      <c r="R67"/>
      <c r="S67"/>
      <c r="T67"/>
      <c r="U67"/>
    </row>
    <row r="68" spans="1:21">
      <c r="A68" s="255">
        <v>7</v>
      </c>
      <c r="B68" s="327">
        <f t="shared" si="28"/>
        <v>0</v>
      </c>
      <c r="C68" s="327">
        <f t="shared" si="28"/>
        <v>0</v>
      </c>
      <c r="D68" s="327">
        <f t="shared" si="28"/>
        <v>0</v>
      </c>
      <c r="E68" s="223">
        <f t="shared" ref="E68:P68" si="36">MAX(0,E53-3000)</f>
        <v>5183.2939999999999</v>
      </c>
      <c r="F68" s="223">
        <f t="shared" si="36"/>
        <v>5517.607</v>
      </c>
      <c r="G68" s="223">
        <f t="shared" si="36"/>
        <v>5465.3109999999997</v>
      </c>
      <c r="H68" s="223">
        <f t="shared" si="36"/>
        <v>5566.2489999999998</v>
      </c>
      <c r="I68" s="223">
        <f t="shared" si="36"/>
        <v>5529.259</v>
      </c>
      <c r="J68" s="223">
        <f t="shared" si="36"/>
        <v>5316.3680000000004</v>
      </c>
      <c r="K68" s="223">
        <f t="shared" si="36"/>
        <v>5790.9110000000001</v>
      </c>
      <c r="L68" s="223">
        <f t="shared" si="36"/>
        <v>5399.3359999999993</v>
      </c>
      <c r="M68" s="223">
        <f t="shared" si="36"/>
        <v>6065.9840000000004</v>
      </c>
      <c r="N68" s="223">
        <f t="shared" si="36"/>
        <v>5914.3509999999987</v>
      </c>
      <c r="O68" s="223">
        <f t="shared" si="36"/>
        <v>5911.9089999999997</v>
      </c>
      <c r="P68" s="223">
        <f t="shared" si="36"/>
        <v>5794.9459999999999</v>
      </c>
      <c r="Q68" s="213">
        <f t="shared" si="30"/>
        <v>67455.524999999994</v>
      </c>
      <c r="R68"/>
      <c r="S68"/>
      <c r="T68"/>
      <c r="U68"/>
    </row>
    <row r="69" spans="1:21">
      <c r="A69" s="255">
        <v>8</v>
      </c>
      <c r="B69" s="327">
        <f t="shared" si="28"/>
        <v>0</v>
      </c>
      <c r="C69" s="327">
        <f t="shared" si="28"/>
        <v>0</v>
      </c>
      <c r="D69" s="327">
        <f t="shared" si="28"/>
        <v>0</v>
      </c>
      <c r="E69" s="223">
        <f t="shared" ref="E69:P69" si="37">MAX(0,E54-3000)</f>
        <v>4700.09</v>
      </c>
      <c r="F69" s="223">
        <f t="shared" si="37"/>
        <v>4670.8130000000001</v>
      </c>
      <c r="G69" s="223">
        <f t="shared" si="37"/>
        <v>4436.6319999999996</v>
      </c>
      <c r="H69" s="223">
        <f t="shared" si="37"/>
        <v>3969.12</v>
      </c>
      <c r="I69" s="223">
        <f t="shared" si="37"/>
        <v>3792.2039999999997</v>
      </c>
      <c r="J69" s="223">
        <f t="shared" si="37"/>
        <v>3771.2079999999996</v>
      </c>
      <c r="K69" s="223">
        <f t="shared" si="37"/>
        <v>3895.9520000000002</v>
      </c>
      <c r="L69" s="223">
        <f t="shared" si="37"/>
        <v>3688.0820000000003</v>
      </c>
      <c r="M69" s="223">
        <f t="shared" si="37"/>
        <v>4074.1570000000002</v>
      </c>
      <c r="N69" s="223">
        <f t="shared" si="37"/>
        <v>4668.3559999999998</v>
      </c>
      <c r="O69" s="223">
        <f t="shared" si="37"/>
        <v>4631.866</v>
      </c>
      <c r="P69" s="223">
        <f t="shared" si="37"/>
        <v>4089.4939999999997</v>
      </c>
      <c r="Q69" s="213">
        <f t="shared" si="30"/>
        <v>50387.973999999995</v>
      </c>
      <c r="R69"/>
      <c r="S69"/>
      <c r="T69"/>
      <c r="U69"/>
    </row>
    <row r="70" spans="1:21">
      <c r="A70" s="255">
        <v>9</v>
      </c>
      <c r="B70" s="327">
        <f t="shared" si="28"/>
        <v>0</v>
      </c>
      <c r="C70" s="327">
        <f t="shared" si="28"/>
        <v>0</v>
      </c>
      <c r="D70" s="327">
        <f t="shared" si="28"/>
        <v>0</v>
      </c>
      <c r="E70" s="223">
        <f t="shared" ref="E70:P70" si="38">MAX(0,E55-3000)</f>
        <v>166.30999999999995</v>
      </c>
      <c r="F70" s="223">
        <f t="shared" si="38"/>
        <v>170.70800000000008</v>
      </c>
      <c r="G70" s="223">
        <f t="shared" si="38"/>
        <v>123.85699999999997</v>
      </c>
      <c r="H70" s="223">
        <f t="shared" si="38"/>
        <v>0</v>
      </c>
      <c r="I70" s="223">
        <f t="shared" si="38"/>
        <v>0</v>
      </c>
      <c r="J70" s="223">
        <f t="shared" si="38"/>
        <v>0</v>
      </c>
      <c r="K70" s="223">
        <f t="shared" si="38"/>
        <v>0</v>
      </c>
      <c r="L70" s="223">
        <f t="shared" si="38"/>
        <v>0</v>
      </c>
      <c r="M70" s="223">
        <f t="shared" si="38"/>
        <v>0</v>
      </c>
      <c r="N70" s="223">
        <f t="shared" si="38"/>
        <v>0</v>
      </c>
      <c r="O70" s="223">
        <f t="shared" si="38"/>
        <v>0</v>
      </c>
      <c r="P70" s="223">
        <f t="shared" si="38"/>
        <v>0</v>
      </c>
      <c r="Q70" s="213">
        <f t="shared" si="30"/>
        <v>460.875</v>
      </c>
      <c r="R70"/>
      <c r="S70"/>
      <c r="T70"/>
      <c r="U70"/>
    </row>
    <row r="71" spans="1:21">
      <c r="A71" s="255">
        <v>10</v>
      </c>
      <c r="B71" s="327">
        <f t="shared" si="28"/>
        <v>0</v>
      </c>
      <c r="C71" s="327">
        <f t="shared" si="28"/>
        <v>0</v>
      </c>
      <c r="D71" s="327">
        <f t="shared" si="28"/>
        <v>0</v>
      </c>
      <c r="E71" s="223">
        <f t="shared" ref="E71:P71" si="39">MAX(0,E56-3000)</f>
        <v>0</v>
      </c>
      <c r="F71" s="223">
        <f t="shared" si="39"/>
        <v>0</v>
      </c>
      <c r="G71" s="223">
        <f t="shared" si="39"/>
        <v>0</v>
      </c>
      <c r="H71" s="223">
        <f t="shared" si="39"/>
        <v>0</v>
      </c>
      <c r="I71" s="223">
        <f t="shared" si="39"/>
        <v>0</v>
      </c>
      <c r="J71" s="223">
        <f t="shared" si="39"/>
        <v>0</v>
      </c>
      <c r="K71" s="223">
        <f t="shared" si="39"/>
        <v>0</v>
      </c>
      <c r="L71" s="223">
        <f t="shared" si="39"/>
        <v>0</v>
      </c>
      <c r="M71" s="223">
        <f t="shared" si="39"/>
        <v>0</v>
      </c>
      <c r="N71" s="223">
        <f t="shared" si="39"/>
        <v>0</v>
      </c>
      <c r="O71" s="223">
        <f t="shared" si="39"/>
        <v>0</v>
      </c>
      <c r="P71" s="223">
        <f t="shared" si="39"/>
        <v>0</v>
      </c>
      <c r="Q71" s="213">
        <f t="shared" si="30"/>
        <v>0</v>
      </c>
      <c r="R71"/>
      <c r="S71"/>
      <c r="T71"/>
      <c r="U71"/>
    </row>
    <row r="72" spans="1:21">
      <c r="A72" s="255">
        <v>11</v>
      </c>
      <c r="B72" s="327">
        <f t="shared" si="28"/>
        <v>0</v>
      </c>
      <c r="C72" s="327">
        <f t="shared" si="28"/>
        <v>0</v>
      </c>
      <c r="D72" s="327">
        <f t="shared" si="28"/>
        <v>0</v>
      </c>
      <c r="E72" s="223">
        <f t="shared" ref="E72:P72" si="40">MAX(0,E57-3000)</f>
        <v>0</v>
      </c>
      <c r="F72" s="223">
        <f t="shared" si="40"/>
        <v>0</v>
      </c>
      <c r="G72" s="223">
        <f t="shared" si="40"/>
        <v>0</v>
      </c>
      <c r="H72" s="223">
        <f t="shared" si="40"/>
        <v>0</v>
      </c>
      <c r="I72" s="223">
        <f t="shared" si="40"/>
        <v>0</v>
      </c>
      <c r="J72" s="223">
        <f t="shared" si="40"/>
        <v>0</v>
      </c>
      <c r="K72" s="223">
        <f t="shared" si="40"/>
        <v>0</v>
      </c>
      <c r="L72" s="223">
        <f t="shared" si="40"/>
        <v>0</v>
      </c>
      <c r="M72" s="223">
        <f t="shared" si="40"/>
        <v>0</v>
      </c>
      <c r="N72" s="223">
        <f t="shared" si="40"/>
        <v>0</v>
      </c>
      <c r="O72" s="223">
        <f t="shared" si="40"/>
        <v>0</v>
      </c>
      <c r="P72" s="223">
        <f t="shared" si="40"/>
        <v>0</v>
      </c>
      <c r="Q72" s="213">
        <f t="shared" si="30"/>
        <v>0</v>
      </c>
      <c r="R72"/>
      <c r="S72"/>
      <c r="T72"/>
      <c r="U72"/>
    </row>
    <row r="73" spans="1:21" ht="13.5" thickBot="1">
      <c r="A73" s="255"/>
      <c r="B73" s="297"/>
      <c r="C73" s="327"/>
      <c r="D73" s="327"/>
      <c r="E73" s="224">
        <f t="shared" ref="E73:P73" si="41">SUM(E62:E72)</f>
        <v>27352.368999999999</v>
      </c>
      <c r="F73" s="224">
        <f t="shared" si="41"/>
        <v>27826.557000000001</v>
      </c>
      <c r="G73" s="224">
        <f t="shared" si="41"/>
        <v>27238.645</v>
      </c>
      <c r="H73" s="224">
        <f t="shared" si="41"/>
        <v>26523.517</v>
      </c>
      <c r="I73" s="224">
        <f t="shared" si="41"/>
        <v>26122.625999999997</v>
      </c>
      <c r="J73" s="224">
        <f t="shared" si="41"/>
        <v>26573.080999999998</v>
      </c>
      <c r="K73" s="224">
        <f t="shared" si="41"/>
        <v>27563.137000000002</v>
      </c>
      <c r="L73" s="224">
        <f t="shared" si="41"/>
        <v>27697.715999999993</v>
      </c>
      <c r="M73" s="224">
        <f t="shared" si="41"/>
        <v>28897.344000000001</v>
      </c>
      <c r="N73" s="224">
        <f t="shared" si="41"/>
        <v>28929.526999999998</v>
      </c>
      <c r="O73" s="224">
        <f t="shared" si="41"/>
        <v>28789.480000000003</v>
      </c>
      <c r="P73" s="224">
        <f t="shared" si="41"/>
        <v>27812.418999999998</v>
      </c>
      <c r="Q73" s="215">
        <f>IF(ROUND(SUM(E73:P73),3)&lt;&gt;ROUND(SUM(Q62:Q72),3),#VALUE!,SUM(E73:P73))</f>
        <v>331326.41799999995</v>
      </c>
      <c r="R73"/>
      <c r="S73"/>
      <c r="T73"/>
      <c r="U73"/>
    </row>
    <row r="74" spans="1:21" ht="13.5" thickTop="1">
      <c r="A74" s="255"/>
      <c r="B74" s="297"/>
      <c r="C74" s="327"/>
      <c r="D74" s="327"/>
      <c r="E74" s="225">
        <f t="shared" ref="E74:P74" si="42">E58-E73</f>
        <v>31702.896000000008</v>
      </c>
      <c r="F74" s="225">
        <f t="shared" si="42"/>
        <v>31768.898999999998</v>
      </c>
      <c r="G74" s="225">
        <f t="shared" si="42"/>
        <v>31818.066999999999</v>
      </c>
      <c r="H74" s="225">
        <f t="shared" si="42"/>
        <v>30142.438999999998</v>
      </c>
      <c r="I74" s="225">
        <f t="shared" si="42"/>
        <v>28950.852999999996</v>
      </c>
      <c r="J74" s="225">
        <f t="shared" si="42"/>
        <v>29043.636999999995</v>
      </c>
      <c r="K74" s="225">
        <f t="shared" si="42"/>
        <v>28963.372999999992</v>
      </c>
      <c r="L74" s="225">
        <f t="shared" si="42"/>
        <v>29022.797000000006</v>
      </c>
      <c r="M74" s="225">
        <f t="shared" si="42"/>
        <v>28904.011000000002</v>
      </c>
      <c r="N74" s="225">
        <f t="shared" si="42"/>
        <v>28690.494999999999</v>
      </c>
      <c r="O74" s="225">
        <f t="shared" si="42"/>
        <v>28126.712999999996</v>
      </c>
      <c r="P74" s="225">
        <f t="shared" si="42"/>
        <v>28171.023999999994</v>
      </c>
      <c r="Q74" s="216"/>
      <c r="R74"/>
      <c r="S74"/>
      <c r="T74"/>
      <c r="U74"/>
    </row>
    <row r="75" spans="1:21">
      <c r="A75" s="255"/>
      <c r="B75" s="297"/>
      <c r="C75" s="327"/>
      <c r="D75" s="327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55" t="str">
        <f>Q$2</f>
        <v>12-mo Ended</v>
      </c>
      <c r="R75"/>
      <c r="S75"/>
      <c r="T75"/>
      <c r="U75"/>
    </row>
    <row r="76" spans="1:21">
      <c r="A76" s="255"/>
      <c r="B76" s="297"/>
      <c r="C76" s="327"/>
      <c r="D76" s="327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/>
      <c r="S76"/>
      <c r="T76"/>
      <c r="U76"/>
    </row>
    <row r="77" spans="1:21">
      <c r="A77" s="299" t="s">
        <v>2525</v>
      </c>
      <c r="B77" s="296"/>
      <c r="C77" s="332"/>
      <c r="D77" s="332"/>
      <c r="E77" s="316">
        <f t="shared" ref="E77:P77" si="43">E$3</f>
        <v>43466</v>
      </c>
      <c r="F77" s="316">
        <f t="shared" si="43"/>
        <v>43497</v>
      </c>
      <c r="G77" s="316">
        <f t="shared" si="43"/>
        <v>43525</v>
      </c>
      <c r="H77" s="316">
        <f t="shared" si="43"/>
        <v>43556</v>
      </c>
      <c r="I77" s="316">
        <f t="shared" si="43"/>
        <v>43586</v>
      </c>
      <c r="J77" s="316">
        <f t="shared" si="43"/>
        <v>43617</v>
      </c>
      <c r="K77" s="316">
        <f t="shared" si="43"/>
        <v>43647</v>
      </c>
      <c r="L77" s="316">
        <f t="shared" si="43"/>
        <v>43678</v>
      </c>
      <c r="M77" s="316">
        <f t="shared" si="43"/>
        <v>43709</v>
      </c>
      <c r="N77" s="316">
        <f t="shared" si="43"/>
        <v>43739</v>
      </c>
      <c r="O77" s="316">
        <f t="shared" si="43"/>
        <v>43770</v>
      </c>
      <c r="P77" s="316">
        <f t="shared" si="43"/>
        <v>43800</v>
      </c>
      <c r="Q77" s="255" t="s">
        <v>277</v>
      </c>
      <c r="R77"/>
      <c r="S77"/>
      <c r="T77"/>
      <c r="U77"/>
    </row>
    <row r="78" spans="1:21">
      <c r="A78" s="255"/>
      <c r="B78" s="297" t="s">
        <v>2331</v>
      </c>
      <c r="C78" s="327"/>
      <c r="D78" s="327"/>
      <c r="E78" s="226">
        <v>3916533.600000002</v>
      </c>
      <c r="F78" s="226">
        <v>3839371.200000002</v>
      </c>
      <c r="G78" s="226">
        <v>3994435.2000000034</v>
      </c>
      <c r="H78" s="226">
        <v>4133399.1999999955</v>
      </c>
      <c r="I78" s="226">
        <v>3860063.2000000053</v>
      </c>
      <c r="J78" s="226">
        <v>3977175.9999999995</v>
      </c>
      <c r="K78" s="226">
        <v>4113239.1999999997</v>
      </c>
      <c r="L78" s="226">
        <v>4002611.2000000034</v>
      </c>
      <c r="M78" s="226">
        <v>4031260.8</v>
      </c>
      <c r="N78" s="226">
        <v>4339339.200000002</v>
      </c>
      <c r="O78" s="226">
        <v>3799314.4000000027</v>
      </c>
      <c r="P78" s="226">
        <v>3904454.4000000027</v>
      </c>
      <c r="Q78" s="213">
        <f>SUM(E78:P78)</f>
        <v>47911197.600000024</v>
      </c>
      <c r="R78"/>
      <c r="S78"/>
      <c r="T78"/>
      <c r="U78"/>
    </row>
    <row r="79" spans="1:21">
      <c r="A79" s="255"/>
      <c r="B79" s="297" t="s">
        <v>2331</v>
      </c>
      <c r="C79" s="327"/>
      <c r="D79" s="327"/>
      <c r="E79" s="226">
        <v>61755.39999999955</v>
      </c>
      <c r="F79" s="226">
        <v>56449.399999999951</v>
      </c>
      <c r="G79" s="226">
        <v>61766.599999999948</v>
      </c>
      <c r="H79" s="226">
        <v>58350.599999999911</v>
      </c>
      <c r="I79" s="226">
        <v>66936.800000000017</v>
      </c>
      <c r="J79" s="226">
        <v>59802.400000000162</v>
      </c>
      <c r="K79" s="226">
        <v>71832.60000000002</v>
      </c>
      <c r="L79" s="226">
        <v>71544.200000000157</v>
      </c>
      <c r="M79" s="226">
        <v>64766.8</v>
      </c>
      <c r="N79" s="226">
        <v>72018.799999999712</v>
      </c>
      <c r="O79" s="226">
        <v>93371.59999999986</v>
      </c>
      <c r="P79" s="226">
        <v>93932.999999999869</v>
      </c>
      <c r="Q79" s="213">
        <f>SUM(E79:P79)</f>
        <v>832528.19999999914</v>
      </c>
      <c r="R79"/>
      <c r="S79"/>
      <c r="T79"/>
      <c r="U79"/>
    </row>
    <row r="80" spans="1:21">
      <c r="A80" s="255"/>
      <c r="B80" s="297" t="s">
        <v>2332</v>
      </c>
      <c r="C80" s="327"/>
      <c r="D80" s="327"/>
      <c r="E80" s="232">
        <v>375196.80000000045</v>
      </c>
      <c r="F80" s="232">
        <v>341961.60000000021</v>
      </c>
      <c r="G80" s="232">
        <v>371404.7999999997</v>
      </c>
      <c r="H80" s="232">
        <v>380932.80000000016</v>
      </c>
      <c r="I80" s="232">
        <v>498364.8</v>
      </c>
      <c r="J80" s="232">
        <v>356073.59999999928</v>
      </c>
      <c r="K80" s="232">
        <v>358353.60000000003</v>
      </c>
      <c r="L80" s="232">
        <v>385886.40000000061</v>
      </c>
      <c r="M80" s="232">
        <v>352209.60000000033</v>
      </c>
      <c r="N80" s="232">
        <v>374817.60000000015</v>
      </c>
      <c r="O80" s="232">
        <v>356692.79999999993</v>
      </c>
      <c r="P80" s="232">
        <v>669614.39999999991</v>
      </c>
      <c r="Q80" s="213">
        <f>SUM(E80:P80)</f>
        <v>4821508.8000000007</v>
      </c>
      <c r="R80"/>
      <c r="S80"/>
      <c r="T80"/>
      <c r="U80"/>
    </row>
    <row r="81" spans="1:21" ht="13.5" thickBot="1">
      <c r="A81" s="255" t="s">
        <v>417</v>
      </c>
      <c r="B81" s="31"/>
      <c r="C81" s="333"/>
      <c r="D81" s="333"/>
      <c r="E81" s="319">
        <f t="shared" ref="E81:P81" si="44">SUM(E78:E80)</f>
        <v>4353485.8000000017</v>
      </c>
      <c r="F81" s="319">
        <f t="shared" si="44"/>
        <v>4237782.200000002</v>
      </c>
      <c r="G81" s="319">
        <f t="shared" si="44"/>
        <v>4427606.6000000034</v>
      </c>
      <c r="H81" s="319">
        <f t="shared" si="44"/>
        <v>4572682.5999999959</v>
      </c>
      <c r="I81" s="319">
        <f t="shared" si="44"/>
        <v>4425364.8000000054</v>
      </c>
      <c r="J81" s="319">
        <f t="shared" si="44"/>
        <v>4393051.9999999991</v>
      </c>
      <c r="K81" s="319">
        <f t="shared" si="44"/>
        <v>4543425.3999999994</v>
      </c>
      <c r="L81" s="319">
        <f t="shared" si="44"/>
        <v>4460041.8000000045</v>
      </c>
      <c r="M81" s="319">
        <f t="shared" si="44"/>
        <v>4448237.2</v>
      </c>
      <c r="N81" s="319">
        <f t="shared" si="44"/>
        <v>4786175.6000000024</v>
      </c>
      <c r="O81" s="319">
        <f t="shared" si="44"/>
        <v>4249378.8000000026</v>
      </c>
      <c r="P81" s="319">
        <f t="shared" si="44"/>
        <v>4668001.8000000026</v>
      </c>
      <c r="Q81" s="321">
        <f>IF(ROUND(SUM(E81:P81),3)&lt;&gt;ROUND(SUM(Q78:Q80),3),#VALUE!,SUM(E81:P81))</f>
        <v>53565234.600000024</v>
      </c>
      <c r="R81"/>
      <c r="S81"/>
      <c r="T81" s="132">
        <f>Q10</f>
        <v>53565234.599999994</v>
      </c>
      <c r="U81"/>
    </row>
    <row r="82" spans="1:21" ht="13.5" thickTop="1">
      <c r="A82" s="255"/>
      <c r="B82" s="297"/>
      <c r="C82" s="327"/>
      <c r="D82" s="327"/>
      <c r="E82" s="455">
        <f>E10-E81</f>
        <v>0</v>
      </c>
      <c r="F82" s="455">
        <f t="shared" ref="F82:Q82" si="45">F10-F81</f>
        <v>0</v>
      </c>
      <c r="G82" s="455">
        <f t="shared" si="45"/>
        <v>0</v>
      </c>
      <c r="H82" s="455">
        <f t="shared" si="45"/>
        <v>0</v>
      </c>
      <c r="I82" s="455">
        <f t="shared" si="45"/>
        <v>0</v>
      </c>
      <c r="J82" s="455">
        <f t="shared" si="45"/>
        <v>0</v>
      </c>
      <c r="K82" s="455">
        <f t="shared" si="45"/>
        <v>0</v>
      </c>
      <c r="L82" s="455">
        <f t="shared" si="45"/>
        <v>0</v>
      </c>
      <c r="M82" s="455">
        <f t="shared" si="45"/>
        <v>0</v>
      </c>
      <c r="N82" s="455">
        <f t="shared" si="45"/>
        <v>0</v>
      </c>
      <c r="O82" s="455">
        <f t="shared" si="45"/>
        <v>0</v>
      </c>
      <c r="P82" s="455">
        <f t="shared" si="45"/>
        <v>0</v>
      </c>
      <c r="Q82" s="455">
        <f t="shared" si="45"/>
        <v>0</v>
      </c>
      <c r="R82"/>
      <c r="S82"/>
      <c r="T82"/>
      <c r="U82"/>
    </row>
    <row r="83" spans="1:21">
      <c r="A83" s="299" t="s">
        <v>2526</v>
      </c>
      <c r="B83" s="299"/>
      <c r="C83" s="332"/>
      <c r="D83" s="33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/>
      <c r="S83"/>
      <c r="T83"/>
      <c r="U83"/>
    </row>
    <row r="84" spans="1:21">
      <c r="A84" s="255"/>
      <c r="B84" s="297" t="s">
        <v>2331</v>
      </c>
      <c r="C84" s="327">
        <v>9500610000</v>
      </c>
      <c r="D84" s="327">
        <v>9500733110</v>
      </c>
      <c r="E84" s="226">
        <v>7425.2280000000001</v>
      </c>
      <c r="F84" s="226">
        <v>7507.6180000000004</v>
      </c>
      <c r="G84" s="226">
        <v>7697.4639999999999</v>
      </c>
      <c r="H84" s="226">
        <v>7782.6059999999998</v>
      </c>
      <c r="I84" s="226">
        <v>7403.6149999999998</v>
      </c>
      <c r="J84" s="226">
        <v>7441.4620000000004</v>
      </c>
      <c r="K84" s="226">
        <v>7859.7269999999999</v>
      </c>
      <c r="L84" s="226">
        <v>7155.74</v>
      </c>
      <c r="M84" s="226">
        <v>7672.8580000000002</v>
      </c>
      <c r="N84" s="226">
        <v>7917.6</v>
      </c>
      <c r="O84" s="226">
        <v>8139.442</v>
      </c>
      <c r="P84" s="226">
        <v>7303.4390000000003</v>
      </c>
      <c r="Q84" s="213">
        <f>SUM(E84:P84)</f>
        <v>91306.798999999999</v>
      </c>
      <c r="R84"/>
      <c r="S84"/>
      <c r="T84"/>
      <c r="U84"/>
    </row>
    <row r="85" spans="1:21">
      <c r="A85" s="255"/>
      <c r="B85" s="297" t="s">
        <v>2331</v>
      </c>
      <c r="C85" s="327">
        <v>9500610000</v>
      </c>
      <c r="D85" s="327">
        <v>9509358876</v>
      </c>
      <c r="E85" s="226">
        <v>216.923</v>
      </c>
      <c r="F85" s="226">
        <v>219.49199999999999</v>
      </c>
      <c r="G85" s="226">
        <v>241.726</v>
      </c>
      <c r="H85" s="226">
        <v>220.98699999999999</v>
      </c>
      <c r="I85" s="226">
        <v>282.02300000000002</v>
      </c>
      <c r="J85" s="226">
        <v>283.13200000000001</v>
      </c>
      <c r="K85" s="226">
        <v>286.928</v>
      </c>
      <c r="L85" s="226">
        <v>293.46600000000001</v>
      </c>
      <c r="M85" s="226">
        <v>286.928</v>
      </c>
      <c r="N85" s="226">
        <v>284.47199999999998</v>
      </c>
      <c r="O85" s="226">
        <v>317.69799999999998</v>
      </c>
      <c r="P85" s="226">
        <v>283.13200000000001</v>
      </c>
      <c r="Q85" s="213">
        <f>SUM(E85:P85)</f>
        <v>3216.9069999999992</v>
      </c>
      <c r="R85"/>
      <c r="S85"/>
      <c r="T85"/>
      <c r="U85"/>
    </row>
    <row r="86" spans="1:21">
      <c r="A86" s="255"/>
      <c r="B86" s="297" t="s">
        <v>2332</v>
      </c>
      <c r="C86" s="297"/>
      <c r="D86" s="297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213">
        <f>SUM(E86:P86)</f>
        <v>0</v>
      </c>
      <c r="R86"/>
      <c r="S86"/>
      <c r="T86"/>
      <c r="U86"/>
    </row>
    <row r="87" spans="1:21" ht="13.5" thickBot="1">
      <c r="A87" s="255" t="s">
        <v>417</v>
      </c>
      <c r="B87" s="31"/>
      <c r="C87" s="31"/>
      <c r="D87" s="31"/>
      <c r="E87" s="224">
        <f t="shared" ref="E87:Q87" si="46">SUM(E84:E86)</f>
        <v>7642.1509999999998</v>
      </c>
      <c r="F87" s="224">
        <f t="shared" si="46"/>
        <v>7727.1100000000006</v>
      </c>
      <c r="G87" s="224">
        <f t="shared" si="46"/>
        <v>7939.19</v>
      </c>
      <c r="H87" s="224">
        <f t="shared" si="46"/>
        <v>8003.5929999999998</v>
      </c>
      <c r="I87" s="224">
        <f t="shared" si="46"/>
        <v>7685.6379999999999</v>
      </c>
      <c r="J87" s="224">
        <f t="shared" si="46"/>
        <v>7724.5940000000001</v>
      </c>
      <c r="K87" s="224">
        <f t="shared" si="46"/>
        <v>8146.6549999999997</v>
      </c>
      <c r="L87" s="224">
        <f t="shared" si="46"/>
        <v>7449.2060000000001</v>
      </c>
      <c r="M87" s="224">
        <f t="shared" si="46"/>
        <v>7959.7860000000001</v>
      </c>
      <c r="N87" s="224">
        <f t="shared" si="46"/>
        <v>8202.0720000000001</v>
      </c>
      <c r="O87" s="224">
        <f t="shared" si="46"/>
        <v>8457.14</v>
      </c>
      <c r="P87" s="224">
        <f t="shared" si="46"/>
        <v>7586.5709999999999</v>
      </c>
      <c r="Q87" s="321">
        <f t="shared" si="46"/>
        <v>94523.706000000006</v>
      </c>
      <c r="R87"/>
      <c r="S87"/>
      <c r="T87"/>
      <c r="U87"/>
    </row>
    <row r="88" spans="1:21" ht="13.5" thickTop="1">
      <c r="A88" s="255"/>
      <c r="B88" s="297"/>
      <c r="C88" s="297"/>
      <c r="D88" s="350" t="s">
        <v>2463</v>
      </c>
      <c r="E88" s="227">
        <f t="shared" ref="E88:Q88" si="47">E53</f>
        <v>8183.2939999999999</v>
      </c>
      <c r="F88" s="227">
        <f t="shared" si="47"/>
        <v>8517.607</v>
      </c>
      <c r="G88" s="227">
        <f t="shared" si="47"/>
        <v>8465.3109999999997</v>
      </c>
      <c r="H88" s="227">
        <f t="shared" si="47"/>
        <v>8566.2489999999998</v>
      </c>
      <c r="I88" s="227">
        <f t="shared" si="47"/>
        <v>8529.259</v>
      </c>
      <c r="J88" s="227">
        <f t="shared" si="47"/>
        <v>8316.3680000000004</v>
      </c>
      <c r="K88" s="227">
        <f t="shared" si="47"/>
        <v>8790.9110000000001</v>
      </c>
      <c r="L88" s="227">
        <f t="shared" si="47"/>
        <v>8399.3359999999993</v>
      </c>
      <c r="M88" s="227">
        <f t="shared" si="47"/>
        <v>9065.9840000000004</v>
      </c>
      <c r="N88" s="227">
        <f t="shared" si="47"/>
        <v>8914.3509999999987</v>
      </c>
      <c r="O88" s="227">
        <f t="shared" si="47"/>
        <v>8911.9089999999997</v>
      </c>
      <c r="P88" s="227">
        <f t="shared" si="47"/>
        <v>8794.9459999999999</v>
      </c>
      <c r="Q88" s="227">
        <f t="shared" si="47"/>
        <v>103455.52499999998</v>
      </c>
      <c r="R88"/>
      <c r="S88"/>
      <c r="T88"/>
      <c r="U88"/>
    </row>
    <row r="89" spans="1:21">
      <c r="A89" s="255"/>
      <c r="B89" s="297"/>
      <c r="C89" s="297"/>
      <c r="D89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296"/>
      <c r="R89"/>
      <c r="S89"/>
      <c r="T89"/>
      <c r="U89"/>
    </row>
    <row r="90" spans="1:21">
      <c r="A90" s="255"/>
      <c r="B90" s="297" t="s">
        <v>2464</v>
      </c>
      <c r="C90" s="297"/>
      <c r="D90" s="297">
        <v>-0.2</v>
      </c>
      <c r="E90" s="228">
        <f t="shared" ref="E90:P90" si="48">(E58-E53+E84+E85)*$D$90</f>
        <v>-11702.824400000003</v>
      </c>
      <c r="F90" s="228">
        <f t="shared" si="48"/>
        <v>-11760.991800000002</v>
      </c>
      <c r="G90" s="228">
        <f t="shared" si="48"/>
        <v>-11706.118200000001</v>
      </c>
      <c r="H90" s="228">
        <f t="shared" si="48"/>
        <v>-11220.66</v>
      </c>
      <c r="I90" s="228">
        <f t="shared" si="48"/>
        <v>-10845.971599999999</v>
      </c>
      <c r="J90" s="228">
        <f t="shared" si="48"/>
        <v>-11004.988799999999</v>
      </c>
      <c r="K90" s="228">
        <f t="shared" si="48"/>
        <v>-11176.450799999999</v>
      </c>
      <c r="L90" s="228">
        <f t="shared" si="48"/>
        <v>-11154.0766</v>
      </c>
      <c r="M90" s="228">
        <f t="shared" si="48"/>
        <v>-11339.0314</v>
      </c>
      <c r="N90" s="228">
        <f t="shared" si="48"/>
        <v>-11381.548600000002</v>
      </c>
      <c r="O90" s="228">
        <f t="shared" si="48"/>
        <v>-11292.284800000001</v>
      </c>
      <c r="P90" s="228">
        <f t="shared" si="48"/>
        <v>-10955.013599999998</v>
      </c>
      <c r="Q90" s="228">
        <f>SUM(E90:P90)</f>
        <v>-135539.96060000002</v>
      </c>
      <c r="R90"/>
      <c r="S90"/>
      <c r="T90"/>
      <c r="U90"/>
    </row>
    <row r="91" spans="1:21">
      <c r="A91" s="255"/>
      <c r="B91" s="297"/>
      <c r="C91" s="297"/>
      <c r="D91" s="297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/>
      <c r="S91"/>
      <c r="T91"/>
      <c r="U91"/>
    </row>
    <row r="92" spans="1:21">
      <c r="A92" s="255"/>
      <c r="B92" s="29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40" t="s">
        <v>2419</v>
      </c>
      <c r="B93" s="31"/>
      <c r="C93" s="31"/>
      <c r="D93" s="31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09"/>
      <c r="R93"/>
      <c r="S93"/>
      <c r="T93"/>
      <c r="U93"/>
    </row>
    <row r="94" spans="1:21">
      <c r="A94" s="219"/>
      <c r="B94" s="31" t="s">
        <v>2465</v>
      </c>
      <c r="C94" s="333">
        <f>C26</f>
        <v>0</v>
      </c>
      <c r="D94" s="333">
        <f>D26</f>
        <v>0</v>
      </c>
      <c r="E94" s="229">
        <v>95870</v>
      </c>
      <c r="F94" s="229">
        <v>73780</v>
      </c>
      <c r="G94" s="229">
        <v>78150</v>
      </c>
      <c r="H94" s="229">
        <v>62970</v>
      </c>
      <c r="I94" s="229">
        <v>61540</v>
      </c>
      <c r="J94" s="229">
        <v>53900</v>
      </c>
      <c r="K94" s="229">
        <v>83520</v>
      </c>
      <c r="L94" s="229">
        <v>80500</v>
      </c>
      <c r="M94" s="229">
        <v>86480</v>
      </c>
      <c r="N94" s="229">
        <v>91940</v>
      </c>
      <c r="O94" s="229">
        <v>60180</v>
      </c>
      <c r="P94" s="229">
        <v>73590</v>
      </c>
      <c r="Q94" s="313">
        <f>SUM(E94:P94)</f>
        <v>902420</v>
      </c>
      <c r="R94"/>
      <c r="S94"/>
      <c r="T94"/>
      <c r="U94"/>
    </row>
    <row r="95" spans="1:21">
      <c r="A95" s="219"/>
      <c r="B95" s="31" t="s">
        <v>2466</v>
      </c>
      <c r="C95" s="31"/>
      <c r="D95" s="31"/>
      <c r="E95" s="230">
        <f t="shared" ref="E95:P95" si="49">IF(E94&gt;55000, 52000,E94-3000)</f>
        <v>52000</v>
      </c>
      <c r="F95" s="230">
        <f t="shared" si="49"/>
        <v>52000</v>
      </c>
      <c r="G95" s="230">
        <f t="shared" si="49"/>
        <v>52000</v>
      </c>
      <c r="H95" s="230">
        <f t="shared" si="49"/>
        <v>52000</v>
      </c>
      <c r="I95" s="230">
        <f t="shared" si="49"/>
        <v>52000</v>
      </c>
      <c r="J95" s="230">
        <f t="shared" si="49"/>
        <v>50900</v>
      </c>
      <c r="K95" s="230">
        <f t="shared" si="49"/>
        <v>52000</v>
      </c>
      <c r="L95" s="230">
        <f t="shared" si="49"/>
        <v>52000</v>
      </c>
      <c r="M95" s="230">
        <f t="shared" si="49"/>
        <v>52000</v>
      </c>
      <c r="N95" s="230">
        <f t="shared" si="49"/>
        <v>52000</v>
      </c>
      <c r="O95" s="230">
        <f t="shared" si="49"/>
        <v>52000</v>
      </c>
      <c r="P95" s="230">
        <f t="shared" si="49"/>
        <v>52000</v>
      </c>
      <c r="Q95" s="231">
        <f>SUM(E95:P95)</f>
        <v>622900</v>
      </c>
      <c r="R95"/>
      <c r="S95"/>
      <c r="T95"/>
      <c r="U95"/>
    </row>
    <row r="96" spans="1:21">
      <c r="A96" s="219"/>
      <c r="B96" s="31" t="s">
        <v>2467</v>
      </c>
      <c r="C96" s="31"/>
      <c r="D96" s="31"/>
      <c r="E96" s="230">
        <f t="shared" ref="E96:P96" si="50">MAX(0,E94-55000)</f>
        <v>40870</v>
      </c>
      <c r="F96" s="230">
        <f t="shared" si="50"/>
        <v>18780</v>
      </c>
      <c r="G96" s="230">
        <f t="shared" si="50"/>
        <v>23150</v>
      </c>
      <c r="H96" s="230">
        <f t="shared" si="50"/>
        <v>7970</v>
      </c>
      <c r="I96" s="230">
        <f t="shared" si="50"/>
        <v>6540</v>
      </c>
      <c r="J96" s="230">
        <f t="shared" si="50"/>
        <v>0</v>
      </c>
      <c r="K96" s="230">
        <f t="shared" si="50"/>
        <v>28520</v>
      </c>
      <c r="L96" s="230">
        <f t="shared" si="50"/>
        <v>25500</v>
      </c>
      <c r="M96" s="230">
        <f t="shared" si="50"/>
        <v>31480</v>
      </c>
      <c r="N96" s="230">
        <f t="shared" si="50"/>
        <v>36940</v>
      </c>
      <c r="O96" s="230">
        <f t="shared" si="50"/>
        <v>5180</v>
      </c>
      <c r="P96" s="230">
        <f t="shared" si="50"/>
        <v>18590</v>
      </c>
      <c r="Q96" s="231">
        <f>SUM(E96:P96)</f>
        <v>243520</v>
      </c>
      <c r="R96"/>
      <c r="S96"/>
      <c r="T96"/>
      <c r="U96"/>
    </row>
    <row r="97" spans="1:21">
      <c r="A97"/>
      <c r="B97" s="324" t="s">
        <v>2468</v>
      </c>
      <c r="C97"/>
      <c r="D97"/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f>SUM(E97:P97)</f>
        <v>12</v>
      </c>
      <c r="R97"/>
      <c r="S97"/>
      <c r="T97"/>
      <c r="U97"/>
    </row>
    <row r="98" spans="1:21">
      <c r="A98"/>
      <c r="B98" s="324" t="s">
        <v>2469</v>
      </c>
      <c r="C98"/>
      <c r="D98"/>
      <c r="E98" s="132">
        <f t="shared" ref="E98:P98" si="51">E28</f>
        <v>35210010</v>
      </c>
      <c r="F98" s="132">
        <f t="shared" si="51"/>
        <v>30823170</v>
      </c>
      <c r="G98" s="132">
        <f t="shared" si="51"/>
        <v>35740380</v>
      </c>
      <c r="H98" s="132">
        <f t="shared" si="51"/>
        <v>31016760</v>
      </c>
      <c r="I98" s="132">
        <f t="shared" si="51"/>
        <v>32290770</v>
      </c>
      <c r="J98" s="132">
        <f t="shared" si="51"/>
        <v>29648650</v>
      </c>
      <c r="K98" s="132">
        <f t="shared" si="51"/>
        <v>32657540</v>
      </c>
      <c r="L98" s="132">
        <f t="shared" si="51"/>
        <v>39269540</v>
      </c>
      <c r="M98" s="132">
        <f t="shared" si="51"/>
        <v>31549600</v>
      </c>
      <c r="N98" s="132">
        <f t="shared" si="51"/>
        <v>29938810</v>
      </c>
      <c r="O98" s="132">
        <f t="shared" si="51"/>
        <v>29702540</v>
      </c>
      <c r="P98" s="132">
        <f t="shared" si="51"/>
        <v>31900980</v>
      </c>
      <c r="Q98" s="2">
        <f t="shared" ref="Q98:Q99" si="52">SUM(E98:P98)</f>
        <v>389748750</v>
      </c>
      <c r="R98"/>
      <c r="S98"/>
      <c r="T98"/>
      <c r="U98"/>
    </row>
    <row r="99" spans="1:21">
      <c r="A99"/>
      <c r="B99" s="324" t="s">
        <v>2470</v>
      </c>
      <c r="C99"/>
      <c r="D99"/>
      <c r="E99" s="132">
        <f t="shared" ref="E99:P99" si="53">E27</f>
        <v>0</v>
      </c>
      <c r="F99" s="132">
        <f t="shared" si="53"/>
        <v>0</v>
      </c>
      <c r="G99" s="132">
        <f t="shared" si="53"/>
        <v>0</v>
      </c>
      <c r="H99" s="132">
        <f t="shared" si="53"/>
        <v>0</v>
      </c>
      <c r="I99" s="132">
        <f t="shared" si="53"/>
        <v>0</v>
      </c>
      <c r="J99" s="132">
        <f t="shared" si="53"/>
        <v>0</v>
      </c>
      <c r="K99" s="132">
        <f t="shared" si="53"/>
        <v>0</v>
      </c>
      <c r="L99" s="132">
        <f t="shared" si="53"/>
        <v>0</v>
      </c>
      <c r="M99" s="132">
        <f t="shared" si="53"/>
        <v>0</v>
      </c>
      <c r="N99" s="132">
        <f t="shared" si="53"/>
        <v>0</v>
      </c>
      <c r="O99" s="132">
        <f t="shared" si="53"/>
        <v>0</v>
      </c>
      <c r="P99" s="132">
        <f t="shared" si="53"/>
        <v>0</v>
      </c>
      <c r="Q99" s="2">
        <f t="shared" si="52"/>
        <v>0</v>
      </c>
      <c r="R99"/>
      <c r="S99"/>
      <c r="T99"/>
      <c r="U99"/>
    </row>
    <row r="100" spans="1:21">
      <c r="A100"/>
      <c r="B100" s="324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5">
      <c r="A101" s="325" t="s">
        <v>2471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">
      <c r="A102"/>
      <c r="B102" s="325" t="s">
        <v>2468</v>
      </c>
      <c r="C102"/>
      <c r="D102"/>
      <c r="E102">
        <v>11</v>
      </c>
      <c r="F102">
        <v>11</v>
      </c>
      <c r="G102">
        <v>11</v>
      </c>
      <c r="H102">
        <v>11</v>
      </c>
      <c r="I102">
        <v>10</v>
      </c>
      <c r="J102">
        <v>10</v>
      </c>
      <c r="K102">
        <v>10</v>
      </c>
      <c r="L102">
        <v>10</v>
      </c>
      <c r="M102">
        <v>10</v>
      </c>
      <c r="N102">
        <v>10</v>
      </c>
      <c r="O102">
        <v>10</v>
      </c>
      <c r="P102">
        <v>10</v>
      </c>
      <c r="Q102">
        <f>SUM(E102:P102)</f>
        <v>124</v>
      </c>
      <c r="R102"/>
      <c r="S102"/>
      <c r="T102"/>
      <c r="U102"/>
    </row>
    <row r="103" spans="1:21" ht="15">
      <c r="A103"/>
      <c r="B103" s="325" t="s">
        <v>2472</v>
      </c>
      <c r="C103"/>
      <c r="D103" s="1">
        <v>500000</v>
      </c>
      <c r="E103" s="1">
        <f>E102*$D$103</f>
        <v>5500000</v>
      </c>
      <c r="F103" s="1">
        <f t="shared" ref="F103:P103" si="54">F102*$D$103</f>
        <v>5500000</v>
      </c>
      <c r="G103" s="1">
        <f t="shared" si="54"/>
        <v>5500000</v>
      </c>
      <c r="H103" s="1">
        <f t="shared" si="54"/>
        <v>5500000</v>
      </c>
      <c r="I103" s="1">
        <f t="shared" si="54"/>
        <v>5000000</v>
      </c>
      <c r="J103" s="1">
        <f t="shared" si="54"/>
        <v>5000000</v>
      </c>
      <c r="K103" s="1">
        <f t="shared" si="54"/>
        <v>5000000</v>
      </c>
      <c r="L103" s="1">
        <f t="shared" si="54"/>
        <v>5000000</v>
      </c>
      <c r="M103" s="1">
        <f t="shared" si="54"/>
        <v>5000000</v>
      </c>
      <c r="N103" s="1">
        <f t="shared" si="54"/>
        <v>5000000</v>
      </c>
      <c r="O103" s="1">
        <f t="shared" si="54"/>
        <v>5000000</v>
      </c>
      <c r="P103" s="1">
        <f t="shared" si="54"/>
        <v>5000000</v>
      </c>
      <c r="Q103" s="2">
        <f>SUM(E103:P103)</f>
        <v>62000000</v>
      </c>
      <c r="R103"/>
      <c r="S103"/>
      <c r="T103"/>
      <c r="U103"/>
    </row>
    <row r="104" spans="1:21" ht="15">
      <c r="A104"/>
      <c r="B104" s="325" t="s">
        <v>2473</v>
      </c>
      <c r="C104"/>
      <c r="D104" t="s">
        <v>2474</v>
      </c>
      <c r="E104" s="1">
        <f t="shared" ref="E104:P104" si="55">E15-E103</f>
        <v>22239144.160000004</v>
      </c>
      <c r="F104" s="1">
        <f t="shared" si="55"/>
        <v>20614251.850000001</v>
      </c>
      <c r="G104" s="1">
        <f t="shared" si="55"/>
        <v>22133923.990000002</v>
      </c>
      <c r="H104" s="1">
        <f t="shared" si="55"/>
        <v>20302164.089999996</v>
      </c>
      <c r="I104" s="1">
        <f t="shared" si="55"/>
        <v>20029523.640000001</v>
      </c>
      <c r="J104" s="1">
        <f t="shared" si="55"/>
        <v>19676992.609999999</v>
      </c>
      <c r="K104" s="1">
        <f t="shared" si="55"/>
        <v>20470885.170000002</v>
      </c>
      <c r="L104" s="1">
        <f t="shared" si="55"/>
        <v>20961908.239999998</v>
      </c>
      <c r="M104" s="1">
        <f t="shared" si="55"/>
        <v>19286387.700000003</v>
      </c>
      <c r="N104" s="1">
        <f t="shared" si="55"/>
        <v>21943892.889999997</v>
      </c>
      <c r="O104" s="1">
        <f t="shared" si="55"/>
        <v>19885078.810000002</v>
      </c>
      <c r="P104" s="1">
        <f t="shared" si="55"/>
        <v>20497042.370000005</v>
      </c>
      <c r="Q104" s="2">
        <f>SUM(E104:P104)</f>
        <v>248041195.51999998</v>
      </c>
      <c r="R104"/>
      <c r="S104"/>
      <c r="T104"/>
      <c r="U104"/>
    </row>
    <row r="105" spans="1:21" ht="15">
      <c r="A105"/>
      <c r="B105" s="325" t="s">
        <v>2475</v>
      </c>
      <c r="C105"/>
      <c r="D105"/>
      <c r="E105" s="326">
        <f>SUM(E102:E104)</f>
        <v>27739155.160000004</v>
      </c>
      <c r="F105" s="326">
        <f t="shared" ref="F105:Q105" si="56">SUM(F102:F104)</f>
        <v>26114262.850000001</v>
      </c>
      <c r="G105" s="326">
        <f t="shared" si="56"/>
        <v>27633934.990000002</v>
      </c>
      <c r="H105" s="326">
        <f t="shared" si="56"/>
        <v>25802175.089999996</v>
      </c>
      <c r="I105" s="326">
        <f t="shared" si="56"/>
        <v>25029533.640000001</v>
      </c>
      <c r="J105" s="326">
        <f t="shared" si="56"/>
        <v>24677002.609999999</v>
      </c>
      <c r="K105" s="326">
        <f t="shared" si="56"/>
        <v>25470895.170000002</v>
      </c>
      <c r="L105" s="326">
        <f t="shared" si="56"/>
        <v>25961918.239999998</v>
      </c>
      <c r="M105" s="326">
        <f t="shared" si="56"/>
        <v>24286397.700000003</v>
      </c>
      <c r="N105" s="326">
        <f t="shared" si="56"/>
        <v>26943902.889999997</v>
      </c>
      <c r="O105" s="326">
        <f t="shared" si="56"/>
        <v>24885088.810000002</v>
      </c>
      <c r="P105" s="326">
        <f t="shared" si="56"/>
        <v>25497052.370000005</v>
      </c>
      <c r="Q105" s="326">
        <f t="shared" si="56"/>
        <v>310041319.51999998</v>
      </c>
      <c r="R105"/>
      <c r="S105"/>
      <c r="T105"/>
      <c r="U105"/>
    </row>
    <row r="106" spans="1:21">
      <c r="A106"/>
      <c r="B106" s="299" t="s">
        <v>2476</v>
      </c>
      <c r="C106"/>
      <c r="D106" s="297"/>
      <c r="E106" s="1">
        <f t="shared" ref="E106:P106" si="57">E58-E53+E84+E85</f>
        <v>58514.12200000001</v>
      </c>
      <c r="F106" s="1">
        <f t="shared" si="57"/>
        <v>58804.959000000003</v>
      </c>
      <c r="G106" s="1">
        <f t="shared" si="57"/>
        <v>58530.591</v>
      </c>
      <c r="H106" s="1">
        <f t="shared" si="57"/>
        <v>56103.299999999996</v>
      </c>
      <c r="I106" s="1">
        <f t="shared" si="57"/>
        <v>54229.857999999993</v>
      </c>
      <c r="J106" s="1">
        <f t="shared" si="57"/>
        <v>55024.943999999989</v>
      </c>
      <c r="K106" s="1">
        <f t="shared" si="57"/>
        <v>55882.253999999994</v>
      </c>
      <c r="L106" s="1">
        <f t="shared" si="57"/>
        <v>55770.382999999994</v>
      </c>
      <c r="M106" s="1">
        <f t="shared" si="57"/>
        <v>56695.156999999999</v>
      </c>
      <c r="N106" s="1">
        <f t="shared" si="57"/>
        <v>56907.743000000002</v>
      </c>
      <c r="O106" s="1">
        <f t="shared" si="57"/>
        <v>56461.423999999999</v>
      </c>
      <c r="P106" s="1">
        <f t="shared" si="57"/>
        <v>54775.067999999985</v>
      </c>
      <c r="Q106" s="1">
        <f>SUM(E106:P106)</f>
        <v>677699.80299999996</v>
      </c>
      <c r="R106"/>
      <c r="S106"/>
      <c r="T106"/>
      <c r="U106"/>
    </row>
    <row r="107" spans="1:21" ht="15">
      <c r="A107"/>
      <c r="B107" s="325" t="s">
        <v>2477</v>
      </c>
      <c r="C107"/>
      <c r="D107"/>
      <c r="E107" s="1">
        <f>E73</f>
        <v>27352.368999999999</v>
      </c>
      <c r="F107" s="1">
        <f t="shared" ref="F107:P107" si="58">F73</f>
        <v>27826.557000000001</v>
      </c>
      <c r="G107" s="1">
        <f t="shared" si="58"/>
        <v>27238.645</v>
      </c>
      <c r="H107" s="1">
        <f t="shared" si="58"/>
        <v>26523.517</v>
      </c>
      <c r="I107" s="1">
        <f t="shared" si="58"/>
        <v>26122.625999999997</v>
      </c>
      <c r="J107" s="1">
        <f t="shared" si="58"/>
        <v>26573.080999999998</v>
      </c>
      <c r="K107" s="1">
        <f t="shared" si="58"/>
        <v>27563.137000000002</v>
      </c>
      <c r="L107" s="1">
        <f t="shared" si="58"/>
        <v>27697.715999999993</v>
      </c>
      <c r="M107" s="1">
        <f t="shared" si="58"/>
        <v>28897.344000000001</v>
      </c>
      <c r="N107" s="1">
        <f t="shared" si="58"/>
        <v>28929.526999999998</v>
      </c>
      <c r="O107" s="1">
        <f t="shared" si="58"/>
        <v>28789.480000000003</v>
      </c>
      <c r="P107" s="1">
        <f t="shared" si="58"/>
        <v>27812.418999999998</v>
      </c>
      <c r="Q107" s="1">
        <f>SUM(E107:P107)</f>
        <v>331326.41799999995</v>
      </c>
      <c r="R107"/>
      <c r="S107"/>
      <c r="T107"/>
      <c r="U107"/>
    </row>
    <row r="108" spans="1:2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2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2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2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</sheetData>
  <conditionalFormatting sqref="T16">
    <cfRule type="expression" dxfId="2" priority="1" stopIfTrue="1">
      <formula>ABS(#REF!-#REF!)&gt;0.5</formula>
    </cfRule>
  </conditionalFormatting>
  <printOptions horizontalCentered="1"/>
  <pageMargins left="0.25" right="0.25" top="0.47" bottom="0.21" header="0.4" footer="0.18"/>
  <pageSetup scale="62" fitToHeight="2" orientation="landscape" r:id="rId1"/>
  <headerFooter alignWithMargins="0"/>
  <rowBreaks count="1" manualBreakCount="1">
    <brk id="74" max="19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  <pageSetUpPr fitToPage="1"/>
  </sheetPr>
  <dimension ref="A1:S157"/>
  <sheetViews>
    <sheetView topLeftCell="I112" workbookViewId="0">
      <selection activeCell="C157" sqref="C157"/>
    </sheetView>
  </sheetViews>
  <sheetFormatPr defaultRowHeight="12.75"/>
  <cols>
    <col min="1" max="1" width="15.83203125" customWidth="1"/>
    <col min="2" max="2" width="21.1640625" customWidth="1"/>
    <col min="3" max="14" width="13.83203125" customWidth="1"/>
    <col min="15" max="15" width="18.5" bestFit="1" customWidth="1"/>
  </cols>
  <sheetData>
    <row r="1" spans="1:19">
      <c r="A1" s="61" t="s">
        <v>2504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A2" s="77" t="s">
        <v>2517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>
      <c r="A3" s="241" t="s">
        <v>2519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>
      <c r="A4" s="77" t="s">
        <v>2518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3.5" thickBot="1">
      <c r="A5" s="242"/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77"/>
      <c r="Q5" s="77"/>
      <c r="R5" s="77"/>
      <c r="S5" s="77"/>
    </row>
    <row r="6" spans="1:19" ht="13.5" thickBot="1">
      <c r="A6" s="475" t="s">
        <v>2490</v>
      </c>
      <c r="B6" s="476"/>
      <c r="C6" s="334" t="s">
        <v>2505</v>
      </c>
      <c r="D6" s="334" t="s">
        <v>2506</v>
      </c>
      <c r="E6" s="334" t="s">
        <v>2507</v>
      </c>
      <c r="F6" s="334" t="s">
        <v>2508</v>
      </c>
      <c r="G6" s="334" t="s">
        <v>2509</v>
      </c>
      <c r="H6" s="334" t="s">
        <v>2510</v>
      </c>
      <c r="I6" s="334" t="s">
        <v>2511</v>
      </c>
      <c r="J6" s="334" t="s">
        <v>2512</v>
      </c>
      <c r="K6" s="334" t="s">
        <v>2513</v>
      </c>
      <c r="L6" s="334" t="s">
        <v>2514</v>
      </c>
      <c r="M6" s="334" t="s">
        <v>2515</v>
      </c>
      <c r="N6" s="334" t="s">
        <v>2516</v>
      </c>
      <c r="O6" s="335" t="s">
        <v>277</v>
      </c>
      <c r="P6" s="77"/>
      <c r="Q6" s="77"/>
      <c r="R6" s="77"/>
      <c r="S6" s="77"/>
    </row>
    <row r="7" spans="1:19" ht="13.5" thickBot="1">
      <c r="A7" s="334" t="s">
        <v>407</v>
      </c>
      <c r="B7" s="334" t="s">
        <v>62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77"/>
      <c r="Q7" s="77"/>
      <c r="R7" s="77"/>
      <c r="S7" s="77"/>
    </row>
    <row r="8" spans="1:19" ht="13.5" thickBot="1">
      <c r="A8" s="470" t="s">
        <v>2388</v>
      </c>
      <c r="B8" s="366" t="s">
        <v>222</v>
      </c>
      <c r="C8" s="341">
        <v>267831058.32499999</v>
      </c>
      <c r="D8" s="341">
        <v>247914360.96000001</v>
      </c>
      <c r="E8" s="341">
        <v>271494930.01800001</v>
      </c>
      <c r="F8" s="341">
        <v>188862176.84900001</v>
      </c>
      <c r="G8" s="341">
        <v>158827590.26300001</v>
      </c>
      <c r="H8" s="341">
        <v>150388867.13699999</v>
      </c>
      <c r="I8" s="341">
        <v>166749566.123</v>
      </c>
      <c r="J8" s="341">
        <v>182572062.31799999</v>
      </c>
      <c r="K8" s="341">
        <v>175243609.949</v>
      </c>
      <c r="L8" s="341">
        <v>166759990.45300001</v>
      </c>
      <c r="M8" s="341">
        <v>196805001.458</v>
      </c>
      <c r="N8" s="341">
        <v>258255706.588</v>
      </c>
      <c r="O8" s="342">
        <v>2431704920.441</v>
      </c>
      <c r="P8" s="77"/>
      <c r="Q8" s="77" t="str">
        <f t="shared" ref="Q8:Q39" si="0">IF(ISBLANK(A8),Q7,TRIM(A8))</f>
        <v>0001</v>
      </c>
      <c r="R8" s="77" t="str">
        <f t="shared" ref="R8:R39" si="1">IF(ISBLANK(B8),"",IF(CODE(LEFT(B8,1))&gt;57,"",LEFT(B8,2)))</f>
        <v>01</v>
      </c>
      <c r="S8" s="77" t="str">
        <f>Q8&amp;R8</f>
        <v>000101</v>
      </c>
    </row>
    <row r="9" spans="1:19" ht="13.5" thickBot="1">
      <c r="A9" s="471"/>
      <c r="B9" s="366" t="s">
        <v>236</v>
      </c>
      <c r="C9" s="341">
        <v>10241</v>
      </c>
      <c r="D9" s="341">
        <v>7974</v>
      </c>
      <c r="E9" s="341">
        <v>7434</v>
      </c>
      <c r="F9" s="341">
        <v>4390</v>
      </c>
      <c r="G9" s="341">
        <v>4847.2</v>
      </c>
      <c r="H9" s="341">
        <v>1921</v>
      </c>
      <c r="I9" s="341">
        <v>2084.61</v>
      </c>
      <c r="J9" s="341">
        <v>1372.39</v>
      </c>
      <c r="K9" s="341">
        <v>1555</v>
      </c>
      <c r="L9" s="341">
        <v>838</v>
      </c>
      <c r="M9" s="341">
        <v>4182.28</v>
      </c>
      <c r="N9" s="341">
        <v>11300.892</v>
      </c>
      <c r="O9" s="342">
        <v>58140.372000000003</v>
      </c>
      <c r="P9" s="77"/>
      <c r="Q9" s="77" t="str">
        <f t="shared" si="0"/>
        <v>0001</v>
      </c>
      <c r="R9" s="77" t="str">
        <f t="shared" si="1"/>
        <v>80</v>
      </c>
      <c r="S9" s="77" t="str">
        <f t="shared" ref="S9:S72" si="2">Q9&amp;R9</f>
        <v>000180</v>
      </c>
    </row>
    <row r="10" spans="1:19" ht="13.5" thickBot="1">
      <c r="A10" s="472"/>
      <c r="B10" s="367" t="s">
        <v>277</v>
      </c>
      <c r="C10" s="343">
        <v>267841299.32499999</v>
      </c>
      <c r="D10" s="343">
        <v>247922334.96000001</v>
      </c>
      <c r="E10" s="343">
        <v>271502364.01800001</v>
      </c>
      <c r="F10" s="343">
        <v>188866566.84900001</v>
      </c>
      <c r="G10" s="343">
        <v>158832437.463</v>
      </c>
      <c r="H10" s="343">
        <v>150390788.13699999</v>
      </c>
      <c r="I10" s="343">
        <v>166751650.73300001</v>
      </c>
      <c r="J10" s="343">
        <v>182573434.708</v>
      </c>
      <c r="K10" s="343">
        <v>175245164.949</v>
      </c>
      <c r="L10" s="343">
        <v>166760828.45300001</v>
      </c>
      <c r="M10" s="343">
        <v>196809183.73800001</v>
      </c>
      <c r="N10" s="343">
        <v>258267007.47999999</v>
      </c>
      <c r="O10" s="343">
        <v>2431763060.8130002</v>
      </c>
      <c r="P10" s="77"/>
      <c r="Q10" s="77" t="str">
        <f t="shared" si="0"/>
        <v>0001</v>
      </c>
      <c r="R10" s="77" t="str">
        <f t="shared" si="1"/>
        <v/>
      </c>
      <c r="S10" s="77" t="str">
        <f t="shared" si="2"/>
        <v>0001</v>
      </c>
    </row>
    <row r="11" spans="1:19" ht="13.5" thickBot="1">
      <c r="A11" s="470" t="s">
        <v>2446</v>
      </c>
      <c r="B11" s="366" t="s">
        <v>222</v>
      </c>
      <c r="C11" s="341">
        <v>580053.67599999998</v>
      </c>
      <c r="D11" s="341">
        <v>541307.33499999996</v>
      </c>
      <c r="E11" s="341">
        <v>592340.36199999996</v>
      </c>
      <c r="F11" s="341">
        <v>390822.39</v>
      </c>
      <c r="G11" s="341">
        <v>304576.77899999998</v>
      </c>
      <c r="H11" s="341">
        <v>250103.22</v>
      </c>
      <c r="I11" s="341">
        <v>259800.595</v>
      </c>
      <c r="J11" s="341">
        <v>268162.89399999997</v>
      </c>
      <c r="K11" s="341">
        <v>258864.79300000001</v>
      </c>
      <c r="L11" s="341">
        <v>229542.24400000001</v>
      </c>
      <c r="M11" s="341">
        <v>332385.223</v>
      </c>
      <c r="N11" s="341">
        <v>494004.50699999998</v>
      </c>
      <c r="O11" s="342">
        <v>4501964.0180000002</v>
      </c>
      <c r="P11" s="77"/>
      <c r="Q11" s="77" t="str">
        <f t="shared" si="0"/>
        <v>0002</v>
      </c>
      <c r="R11" s="77" t="str">
        <f t="shared" si="1"/>
        <v>01</v>
      </c>
      <c r="S11" s="77" t="str">
        <f t="shared" si="2"/>
        <v>000201</v>
      </c>
    </row>
    <row r="12" spans="1:19" ht="13.5" thickBot="1">
      <c r="A12" s="472"/>
      <c r="B12" s="367" t="s">
        <v>277</v>
      </c>
      <c r="C12" s="343">
        <v>580053.67599999998</v>
      </c>
      <c r="D12" s="343">
        <v>541307.33499999996</v>
      </c>
      <c r="E12" s="343">
        <v>592340.36199999996</v>
      </c>
      <c r="F12" s="343">
        <v>390822.39</v>
      </c>
      <c r="G12" s="343">
        <v>304576.77899999998</v>
      </c>
      <c r="H12" s="343">
        <v>250103.22</v>
      </c>
      <c r="I12" s="343">
        <v>259800.595</v>
      </c>
      <c r="J12" s="343">
        <v>268162.89399999997</v>
      </c>
      <c r="K12" s="343">
        <v>258864.79300000001</v>
      </c>
      <c r="L12" s="343">
        <v>229542.24400000001</v>
      </c>
      <c r="M12" s="343">
        <v>332385.223</v>
      </c>
      <c r="N12" s="343">
        <v>494004.50699999998</v>
      </c>
      <c r="O12" s="343">
        <v>4501964.0180000002</v>
      </c>
      <c r="P12" s="77"/>
      <c r="Q12" s="77" t="str">
        <f t="shared" si="0"/>
        <v>0002</v>
      </c>
      <c r="R12" s="77" t="str">
        <f t="shared" si="1"/>
        <v/>
      </c>
      <c r="S12" s="77" t="str">
        <f t="shared" si="2"/>
        <v>0002</v>
      </c>
    </row>
    <row r="13" spans="1:19" ht="13.5" thickBot="1">
      <c r="A13" s="470" t="s">
        <v>2389</v>
      </c>
      <c r="B13" s="366" t="s">
        <v>226</v>
      </c>
      <c r="C13" s="341">
        <v>52204865.358000003</v>
      </c>
      <c r="D13" s="341">
        <v>50384882.325000003</v>
      </c>
      <c r="E13" s="341">
        <v>53431836.902999997</v>
      </c>
      <c r="F13" s="341">
        <v>44142454.785999998</v>
      </c>
      <c r="G13" s="341">
        <v>40868139.688000001</v>
      </c>
      <c r="H13" s="341">
        <v>41132675.622000001</v>
      </c>
      <c r="I13" s="341">
        <v>44115492.042000003</v>
      </c>
      <c r="J13" s="341">
        <v>46706146.339000002</v>
      </c>
      <c r="K13" s="341">
        <v>46466542.964000002</v>
      </c>
      <c r="L13" s="341">
        <v>41705342.523000002</v>
      </c>
      <c r="M13" s="341">
        <v>43896552.982000001</v>
      </c>
      <c r="N13" s="341">
        <v>52663422.807999998</v>
      </c>
      <c r="O13" s="342">
        <v>557718354.34000003</v>
      </c>
      <c r="P13" s="77"/>
      <c r="Q13" s="77" t="str">
        <f t="shared" si="0"/>
        <v>0011</v>
      </c>
      <c r="R13" s="77" t="str">
        <f t="shared" si="1"/>
        <v>21</v>
      </c>
      <c r="S13" s="77" t="str">
        <f t="shared" si="2"/>
        <v>001121</v>
      </c>
    </row>
    <row r="14" spans="1:19" ht="13.5" thickBot="1">
      <c r="A14" s="471"/>
      <c r="B14" s="366" t="s">
        <v>228</v>
      </c>
      <c r="C14" s="341">
        <v>630129.78300000005</v>
      </c>
      <c r="D14" s="341">
        <v>619867.755</v>
      </c>
      <c r="E14" s="341">
        <v>654713.59400000004</v>
      </c>
      <c r="F14" s="341">
        <v>493718.00599999999</v>
      </c>
      <c r="G14" s="341">
        <v>428191.85800000001</v>
      </c>
      <c r="H14" s="341">
        <v>416767.65299999999</v>
      </c>
      <c r="I14" s="341">
        <v>414400.90899999999</v>
      </c>
      <c r="J14" s="341">
        <v>438267.18199999997</v>
      </c>
      <c r="K14" s="341">
        <v>428792.67700000003</v>
      </c>
      <c r="L14" s="341">
        <v>440346.75099999999</v>
      </c>
      <c r="M14" s="341">
        <v>552804.66899999999</v>
      </c>
      <c r="N14" s="341">
        <v>581068.89300000004</v>
      </c>
      <c r="O14" s="342">
        <v>6099069.7300000004</v>
      </c>
      <c r="P14" s="77"/>
      <c r="Q14" s="77" t="str">
        <f t="shared" si="0"/>
        <v>0011</v>
      </c>
      <c r="R14" s="77" t="str">
        <f t="shared" si="1"/>
        <v>31</v>
      </c>
      <c r="S14" s="77" t="str">
        <f t="shared" si="2"/>
        <v>001131</v>
      </c>
    </row>
    <row r="15" spans="1:19" ht="13.5" thickBot="1">
      <c r="A15" s="471"/>
      <c r="B15" s="366" t="s">
        <v>236</v>
      </c>
      <c r="C15" s="341">
        <v>248037.18</v>
      </c>
      <c r="D15" s="341">
        <v>242031.935</v>
      </c>
      <c r="E15" s="341">
        <v>270949.245</v>
      </c>
      <c r="F15" s="341">
        <v>201354.30799999999</v>
      </c>
      <c r="G15" s="341">
        <v>165692.31599999999</v>
      </c>
      <c r="H15" s="341">
        <v>107638.939</v>
      </c>
      <c r="I15" s="341">
        <v>142236.49799999999</v>
      </c>
      <c r="J15" s="341">
        <v>148897.84099999999</v>
      </c>
      <c r="K15" s="341">
        <v>185251.204</v>
      </c>
      <c r="L15" s="341">
        <v>144993.64000000001</v>
      </c>
      <c r="M15" s="341">
        <v>173955.48</v>
      </c>
      <c r="N15" s="341">
        <v>229706.62299999999</v>
      </c>
      <c r="O15" s="342">
        <v>2260745.2089999998</v>
      </c>
      <c r="P15" s="77"/>
      <c r="Q15" s="77" t="str">
        <f t="shared" si="0"/>
        <v>0011</v>
      </c>
      <c r="R15" s="77" t="str">
        <f t="shared" si="1"/>
        <v>80</v>
      </c>
      <c r="S15" s="77" t="str">
        <f t="shared" si="2"/>
        <v>001180</v>
      </c>
    </row>
    <row r="16" spans="1:19" ht="13.5" thickBot="1">
      <c r="A16" s="472"/>
      <c r="B16" s="367" t="s">
        <v>277</v>
      </c>
      <c r="C16" s="343">
        <v>53083032.321000002</v>
      </c>
      <c r="D16" s="343">
        <v>51246782.015000001</v>
      </c>
      <c r="E16" s="343">
        <v>54357499.741999999</v>
      </c>
      <c r="F16" s="343">
        <v>44837527.100000001</v>
      </c>
      <c r="G16" s="343">
        <v>41462023.862000003</v>
      </c>
      <c r="H16" s="343">
        <v>41657082.214000002</v>
      </c>
      <c r="I16" s="343">
        <v>44672129.449000001</v>
      </c>
      <c r="J16" s="343">
        <v>47293311.362000003</v>
      </c>
      <c r="K16" s="343">
        <v>47080586.844999999</v>
      </c>
      <c r="L16" s="343">
        <v>42290682.913999997</v>
      </c>
      <c r="M16" s="343">
        <v>44623313.130999997</v>
      </c>
      <c r="N16" s="343">
        <v>53474198.324000001</v>
      </c>
      <c r="O16" s="343">
        <v>566078169.27900004</v>
      </c>
      <c r="P16" s="77"/>
      <c r="Q16" s="77" t="str">
        <f t="shared" si="0"/>
        <v>0011</v>
      </c>
      <c r="R16" s="77" t="str">
        <f t="shared" si="1"/>
        <v/>
      </c>
      <c r="S16" s="77" t="str">
        <f t="shared" si="2"/>
        <v>0011</v>
      </c>
    </row>
    <row r="17" spans="1:19" ht="13.5" thickBot="1">
      <c r="A17" s="470" t="s">
        <v>2390</v>
      </c>
      <c r="B17" s="366" t="s">
        <v>222</v>
      </c>
      <c r="C17" s="341">
        <v>6837294.8020000001</v>
      </c>
      <c r="D17" s="341">
        <v>6592706.4720000001</v>
      </c>
      <c r="E17" s="341">
        <v>7219460.682</v>
      </c>
      <c r="F17" s="341">
        <v>5132241.7479999997</v>
      </c>
      <c r="G17" s="341">
        <v>4021853.8829999999</v>
      </c>
      <c r="H17" s="341">
        <v>3596510.247</v>
      </c>
      <c r="I17" s="341">
        <v>3730905.6179999998</v>
      </c>
      <c r="J17" s="341">
        <v>3971285.0460000001</v>
      </c>
      <c r="K17" s="341">
        <v>4020595.1940000001</v>
      </c>
      <c r="L17" s="341">
        <v>4234166.5070000002</v>
      </c>
      <c r="M17" s="341">
        <v>4985396.8720000004</v>
      </c>
      <c r="N17" s="341">
        <v>6674914.3899999997</v>
      </c>
      <c r="O17" s="342">
        <v>61017331.461000003</v>
      </c>
      <c r="P17" s="77"/>
      <c r="Q17" s="77" t="str">
        <f t="shared" si="0"/>
        <v>0012</v>
      </c>
      <c r="R17" s="77" t="str">
        <f t="shared" si="1"/>
        <v>01</v>
      </c>
      <c r="S17" s="77" t="str">
        <f t="shared" si="2"/>
        <v>001201</v>
      </c>
    </row>
    <row r="18" spans="1:19" ht="13.5" thickBot="1">
      <c r="A18" s="471"/>
      <c r="B18" s="366" t="s">
        <v>236</v>
      </c>
      <c r="C18" s="341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1.796</v>
      </c>
      <c r="O18" s="342">
        <v>1.796</v>
      </c>
      <c r="P18" s="77"/>
      <c r="Q18" s="77" t="str">
        <f t="shared" si="0"/>
        <v>0012</v>
      </c>
      <c r="R18" s="77" t="str">
        <f t="shared" si="1"/>
        <v>80</v>
      </c>
      <c r="S18" s="77" t="str">
        <f t="shared" si="2"/>
        <v>001280</v>
      </c>
    </row>
    <row r="19" spans="1:19" ht="13.5" thickBot="1">
      <c r="A19" s="472"/>
      <c r="B19" s="367" t="s">
        <v>277</v>
      </c>
      <c r="C19" s="343">
        <v>6837294.8020000001</v>
      </c>
      <c r="D19" s="343">
        <v>6592706.4720000001</v>
      </c>
      <c r="E19" s="343">
        <v>7219460.682</v>
      </c>
      <c r="F19" s="343">
        <v>5132241.7479999997</v>
      </c>
      <c r="G19" s="343">
        <v>4021853.8829999999</v>
      </c>
      <c r="H19" s="343">
        <v>3596510.247</v>
      </c>
      <c r="I19" s="343">
        <v>3730905.6179999998</v>
      </c>
      <c r="J19" s="343">
        <v>3971285.0460000001</v>
      </c>
      <c r="K19" s="343">
        <v>4020595.1940000001</v>
      </c>
      <c r="L19" s="343">
        <v>4234166.5070000002</v>
      </c>
      <c r="M19" s="343">
        <v>4985396.8720000004</v>
      </c>
      <c r="N19" s="343">
        <v>6674916.1859999998</v>
      </c>
      <c r="O19" s="343">
        <v>61017333.256999999</v>
      </c>
      <c r="P19" s="77"/>
      <c r="Q19" s="77" t="str">
        <f t="shared" si="0"/>
        <v>0012</v>
      </c>
      <c r="R19" s="77" t="str">
        <f t="shared" si="1"/>
        <v/>
      </c>
      <c r="S19" s="77" t="str">
        <f t="shared" si="2"/>
        <v>0012</v>
      </c>
    </row>
    <row r="20" spans="1:19" ht="13.5" thickBot="1">
      <c r="A20" s="470" t="s">
        <v>2391</v>
      </c>
      <c r="B20" s="366" t="s">
        <v>226</v>
      </c>
      <c r="C20" s="341">
        <v>108206322.255</v>
      </c>
      <c r="D20" s="341">
        <v>101322286.81</v>
      </c>
      <c r="E20" s="341">
        <v>107325850.98800001</v>
      </c>
      <c r="F20" s="341">
        <v>97647302.464000002</v>
      </c>
      <c r="G20" s="341">
        <v>97258473.681999996</v>
      </c>
      <c r="H20" s="341">
        <v>100257248.013</v>
      </c>
      <c r="I20" s="341">
        <v>106003833.45</v>
      </c>
      <c r="J20" s="341">
        <v>107640536.272</v>
      </c>
      <c r="K20" s="341">
        <v>106658023.89399999</v>
      </c>
      <c r="L20" s="341">
        <v>102795541.833</v>
      </c>
      <c r="M20" s="341">
        <v>97575746.261999995</v>
      </c>
      <c r="N20" s="341">
        <v>110304313.78399999</v>
      </c>
      <c r="O20" s="342">
        <v>1242995479.707</v>
      </c>
      <c r="P20" s="77"/>
      <c r="Q20" s="77" t="str">
        <f t="shared" si="0"/>
        <v>0021</v>
      </c>
      <c r="R20" s="77" t="str">
        <f t="shared" si="1"/>
        <v>21</v>
      </c>
      <c r="S20" s="77" t="str">
        <f t="shared" si="2"/>
        <v>002121</v>
      </c>
    </row>
    <row r="21" spans="1:19" ht="13.5" thickBot="1">
      <c r="A21" s="471"/>
      <c r="B21" s="366" t="s">
        <v>228</v>
      </c>
      <c r="C21" s="341">
        <v>7981337.5700000003</v>
      </c>
      <c r="D21" s="341">
        <v>7874651.0599999996</v>
      </c>
      <c r="E21" s="341">
        <v>8111712.5199999996</v>
      </c>
      <c r="F21" s="341">
        <v>7609568.0499999998</v>
      </c>
      <c r="G21" s="341">
        <v>7154606.0800000001</v>
      </c>
      <c r="H21" s="341">
        <v>7383762.0999999996</v>
      </c>
      <c r="I21" s="341">
        <v>7498179.8399999999</v>
      </c>
      <c r="J21" s="341">
        <v>7294199.3099999996</v>
      </c>
      <c r="K21" s="341">
        <v>7643562.75</v>
      </c>
      <c r="L21" s="341">
        <v>7186315.04</v>
      </c>
      <c r="M21" s="341">
        <v>7105603.7599999998</v>
      </c>
      <c r="N21" s="341">
        <v>8280648.0700000003</v>
      </c>
      <c r="O21" s="342">
        <v>91124146.150000006</v>
      </c>
      <c r="P21" s="77"/>
      <c r="Q21" s="77" t="str">
        <f t="shared" si="0"/>
        <v>0021</v>
      </c>
      <c r="R21" s="77" t="str">
        <f t="shared" si="1"/>
        <v>31</v>
      </c>
      <c r="S21" s="77" t="str">
        <f t="shared" si="2"/>
        <v>002131</v>
      </c>
    </row>
    <row r="22" spans="1:19" ht="13.5" thickBot="1">
      <c r="A22" s="471"/>
      <c r="B22" s="366" t="s">
        <v>236</v>
      </c>
      <c r="C22" s="341">
        <v>835499.36</v>
      </c>
      <c r="D22" s="341">
        <v>796923.36</v>
      </c>
      <c r="E22" s="341">
        <v>767344.48</v>
      </c>
      <c r="F22" s="341">
        <v>756565.44</v>
      </c>
      <c r="G22" s="341">
        <v>695646.84</v>
      </c>
      <c r="H22" s="341">
        <v>707264.8</v>
      </c>
      <c r="I22" s="341">
        <v>685503.44</v>
      </c>
      <c r="J22" s="341">
        <v>658855.48</v>
      </c>
      <c r="K22" s="341">
        <v>690208.64</v>
      </c>
      <c r="L22" s="341">
        <v>688151.84</v>
      </c>
      <c r="M22" s="341">
        <v>675808.04</v>
      </c>
      <c r="N22" s="341">
        <v>809878.16</v>
      </c>
      <c r="O22" s="342">
        <v>8767649.8800000008</v>
      </c>
      <c r="P22" s="77"/>
      <c r="Q22" s="77" t="str">
        <f t="shared" si="0"/>
        <v>0021</v>
      </c>
      <c r="R22" s="77" t="str">
        <f t="shared" si="1"/>
        <v>80</v>
      </c>
      <c r="S22" s="77" t="str">
        <f t="shared" si="2"/>
        <v>002180</v>
      </c>
    </row>
    <row r="23" spans="1:19" ht="13.5" thickBot="1">
      <c r="A23" s="472"/>
      <c r="B23" s="367" t="s">
        <v>277</v>
      </c>
      <c r="C23" s="343">
        <v>117023159.185</v>
      </c>
      <c r="D23" s="343">
        <v>109993861.23</v>
      </c>
      <c r="E23" s="343">
        <v>116204907.98800001</v>
      </c>
      <c r="F23" s="343">
        <v>106013435.954</v>
      </c>
      <c r="G23" s="343">
        <v>105108726.602</v>
      </c>
      <c r="H23" s="343">
        <v>108348274.913</v>
      </c>
      <c r="I23" s="343">
        <v>114187516.73</v>
      </c>
      <c r="J23" s="343">
        <v>115593591.06200001</v>
      </c>
      <c r="K23" s="343">
        <v>114991795.28399999</v>
      </c>
      <c r="L23" s="343">
        <v>110670008.713</v>
      </c>
      <c r="M23" s="343">
        <v>105357158.06200001</v>
      </c>
      <c r="N23" s="343">
        <v>119394840.014</v>
      </c>
      <c r="O23" s="343">
        <v>1342887275.737</v>
      </c>
      <c r="P23" s="77"/>
      <c r="Q23" s="77" t="str">
        <f t="shared" si="0"/>
        <v>0021</v>
      </c>
      <c r="R23" s="77" t="str">
        <f t="shared" si="1"/>
        <v/>
      </c>
      <c r="S23" s="77" t="str">
        <f t="shared" si="2"/>
        <v>0021</v>
      </c>
    </row>
    <row r="24" spans="1:19" ht="13.5" thickBot="1">
      <c r="A24" s="470" t="s">
        <v>2392</v>
      </c>
      <c r="B24" s="366" t="s">
        <v>222</v>
      </c>
      <c r="C24" s="341">
        <v>3558257.44</v>
      </c>
      <c r="D24" s="341">
        <v>3261933.92</v>
      </c>
      <c r="E24" s="341">
        <v>3652455.84</v>
      </c>
      <c r="F24" s="341">
        <v>2658606.7200000002</v>
      </c>
      <c r="G24" s="341">
        <v>2247395.2000000002</v>
      </c>
      <c r="H24" s="341">
        <v>2170828.6</v>
      </c>
      <c r="I24" s="341">
        <v>2293234.84</v>
      </c>
      <c r="J24" s="341">
        <v>2528387.52</v>
      </c>
      <c r="K24" s="341">
        <v>2314246.96</v>
      </c>
      <c r="L24" s="341">
        <v>2542421.88</v>
      </c>
      <c r="M24" s="341">
        <v>2624069.36</v>
      </c>
      <c r="N24" s="341">
        <v>3289862.24</v>
      </c>
      <c r="O24" s="342">
        <v>33141700.52</v>
      </c>
      <c r="P24" s="77"/>
      <c r="Q24" s="77" t="str">
        <f t="shared" si="0"/>
        <v>0022</v>
      </c>
      <c r="R24" s="77" t="str">
        <f t="shared" si="1"/>
        <v>01</v>
      </c>
      <c r="S24" s="77" t="str">
        <f t="shared" si="2"/>
        <v>002201</v>
      </c>
    </row>
    <row r="25" spans="1:19" ht="13.5" thickBot="1">
      <c r="A25" s="472"/>
      <c r="B25" s="367" t="s">
        <v>277</v>
      </c>
      <c r="C25" s="343">
        <v>3558257.44</v>
      </c>
      <c r="D25" s="343">
        <v>3261933.92</v>
      </c>
      <c r="E25" s="343">
        <v>3652455.84</v>
      </c>
      <c r="F25" s="343">
        <v>2658606.7200000002</v>
      </c>
      <c r="G25" s="343">
        <v>2247395.2000000002</v>
      </c>
      <c r="H25" s="343">
        <v>2170828.6</v>
      </c>
      <c r="I25" s="343">
        <v>2293234.84</v>
      </c>
      <c r="J25" s="343">
        <v>2528387.52</v>
      </c>
      <c r="K25" s="343">
        <v>2314246.96</v>
      </c>
      <c r="L25" s="343">
        <v>2542421.88</v>
      </c>
      <c r="M25" s="343">
        <v>2624069.36</v>
      </c>
      <c r="N25" s="343">
        <v>3289862.24</v>
      </c>
      <c r="O25" s="343">
        <v>33141700.52</v>
      </c>
      <c r="P25" s="77"/>
      <c r="Q25" s="77" t="str">
        <f t="shared" si="0"/>
        <v>0022</v>
      </c>
      <c r="R25" s="77" t="str">
        <f t="shared" si="1"/>
        <v/>
      </c>
      <c r="S25" s="77" t="str">
        <f t="shared" si="2"/>
        <v>0022</v>
      </c>
    </row>
    <row r="26" spans="1:19" ht="13.5" thickBot="1">
      <c r="A26" s="470" t="s">
        <v>2393</v>
      </c>
      <c r="B26" s="366" t="s">
        <v>226</v>
      </c>
      <c r="C26" s="341">
        <v>24020751.037999999</v>
      </c>
      <c r="D26" s="341">
        <v>24857286.920000002</v>
      </c>
      <c r="E26" s="341">
        <v>23524157.280000001</v>
      </c>
      <c r="F26" s="341">
        <v>24419144.699999999</v>
      </c>
      <c r="G26" s="341">
        <v>22764703.699999999</v>
      </c>
      <c r="H26" s="341">
        <v>23671534.800000001</v>
      </c>
      <c r="I26" s="341">
        <v>23611564.399999999</v>
      </c>
      <c r="J26" s="341">
        <v>25729881.289999999</v>
      </c>
      <c r="K26" s="341">
        <v>27598005.541000001</v>
      </c>
      <c r="L26" s="341">
        <v>24629401.594000001</v>
      </c>
      <c r="M26" s="341">
        <v>24066562.170000002</v>
      </c>
      <c r="N26" s="341">
        <v>23570371.969999999</v>
      </c>
      <c r="O26" s="342">
        <v>292463365.403</v>
      </c>
      <c r="P26" s="77"/>
      <c r="Q26" s="77" t="str">
        <f t="shared" si="0"/>
        <v>0025</v>
      </c>
      <c r="R26" s="77" t="str">
        <f t="shared" si="1"/>
        <v>21</v>
      </c>
      <c r="S26" s="77" t="str">
        <f t="shared" si="2"/>
        <v>002521</v>
      </c>
    </row>
    <row r="27" spans="1:19" ht="13.5" thickBot="1">
      <c r="A27" s="471"/>
      <c r="B27" s="366" t="s">
        <v>228</v>
      </c>
      <c r="C27" s="341">
        <v>68454789.899000004</v>
      </c>
      <c r="D27" s="341">
        <v>66477624.700000003</v>
      </c>
      <c r="E27" s="341">
        <v>61732431.200000003</v>
      </c>
      <c r="F27" s="341">
        <v>65695881.600000001</v>
      </c>
      <c r="G27" s="341">
        <v>59025408.200000003</v>
      </c>
      <c r="H27" s="341">
        <v>68614688.599999994</v>
      </c>
      <c r="I27" s="341">
        <v>67027377.600000001</v>
      </c>
      <c r="J27" s="341">
        <v>70469820.400000006</v>
      </c>
      <c r="K27" s="341">
        <v>70771011.799999997</v>
      </c>
      <c r="L27" s="341">
        <v>67236846.799999997</v>
      </c>
      <c r="M27" s="341">
        <v>69824348.599999994</v>
      </c>
      <c r="N27" s="341">
        <v>59409359.200000003</v>
      </c>
      <c r="O27" s="342">
        <v>794739588.59899998</v>
      </c>
      <c r="P27" s="77"/>
      <c r="Q27" s="77" t="str">
        <f t="shared" si="0"/>
        <v>0025</v>
      </c>
      <c r="R27" s="77" t="str">
        <f t="shared" si="1"/>
        <v>31</v>
      </c>
      <c r="S27" s="77" t="str">
        <f t="shared" si="2"/>
        <v>002531</v>
      </c>
    </row>
    <row r="28" spans="1:19" ht="13.5" thickBot="1">
      <c r="A28" s="472"/>
      <c r="B28" s="367" t="s">
        <v>277</v>
      </c>
      <c r="C28" s="343">
        <v>92475540.937000006</v>
      </c>
      <c r="D28" s="343">
        <v>91334911.620000005</v>
      </c>
      <c r="E28" s="343">
        <v>85256588.480000004</v>
      </c>
      <c r="F28" s="343">
        <v>90115026.299999997</v>
      </c>
      <c r="G28" s="343">
        <v>81790111.900000006</v>
      </c>
      <c r="H28" s="343">
        <v>92286223.400000006</v>
      </c>
      <c r="I28" s="343">
        <v>90638942</v>
      </c>
      <c r="J28" s="343">
        <v>96199701.689999998</v>
      </c>
      <c r="K28" s="343">
        <v>98369017.341000006</v>
      </c>
      <c r="L28" s="343">
        <v>91866248.393999994</v>
      </c>
      <c r="M28" s="343">
        <v>93890910.769999996</v>
      </c>
      <c r="N28" s="343">
        <v>82979731.170000002</v>
      </c>
      <c r="O28" s="343">
        <v>1087202954.0020001</v>
      </c>
      <c r="P28" s="77"/>
      <c r="Q28" s="77" t="str">
        <f t="shared" si="0"/>
        <v>0025</v>
      </c>
      <c r="R28" s="77" t="str">
        <f t="shared" si="1"/>
        <v/>
      </c>
      <c r="S28" s="77" t="str">
        <f t="shared" si="2"/>
        <v>0025</v>
      </c>
    </row>
    <row r="29" spans="1:19" ht="13.5" thickBot="1">
      <c r="A29" s="470" t="s">
        <v>2394</v>
      </c>
      <c r="B29" s="366" t="s">
        <v>222</v>
      </c>
      <c r="C29" s="341">
        <v>1013.9829999999999</v>
      </c>
      <c r="D29" s="341">
        <v>1096.5619999999999</v>
      </c>
      <c r="E29" s="341">
        <v>2560.5610000000001</v>
      </c>
      <c r="F29" s="341">
        <v>3028.422</v>
      </c>
      <c r="G29" s="341">
        <v>1184.45</v>
      </c>
      <c r="H29" s="341">
        <v>1124.43</v>
      </c>
      <c r="I29" s="341">
        <v>294.70800000000003</v>
      </c>
      <c r="J29" s="341">
        <v>232.00299999999999</v>
      </c>
      <c r="K29" s="341">
        <v>216.65899999999999</v>
      </c>
      <c r="L29" s="341">
        <v>226.97499999999999</v>
      </c>
      <c r="M29" s="341">
        <v>220.399</v>
      </c>
      <c r="N29" s="341">
        <v>269.63900000000001</v>
      </c>
      <c r="O29" s="342">
        <v>11468.790999999999</v>
      </c>
      <c r="P29" s="77"/>
      <c r="Q29" s="77" t="str">
        <f t="shared" si="0"/>
        <v>0030</v>
      </c>
      <c r="R29" s="77" t="str">
        <f t="shared" si="1"/>
        <v>01</v>
      </c>
      <c r="S29" s="77" t="str">
        <f t="shared" si="2"/>
        <v>003001</v>
      </c>
    </row>
    <row r="30" spans="1:19" ht="13.5" thickBot="1">
      <c r="A30" s="471"/>
      <c r="B30" s="366" t="s">
        <v>230</v>
      </c>
      <c r="C30" s="341">
        <v>5880</v>
      </c>
      <c r="D30" s="341">
        <v>5520</v>
      </c>
      <c r="E30" s="341">
        <v>5453.36</v>
      </c>
      <c r="F30" s="341">
        <v>152040</v>
      </c>
      <c r="G30" s="341">
        <v>3630580</v>
      </c>
      <c r="H30" s="341">
        <v>5610160</v>
      </c>
      <c r="I30" s="341">
        <v>6277180</v>
      </c>
      <c r="J30" s="341">
        <v>5034743.28</v>
      </c>
      <c r="K30" s="341">
        <v>6449836.7199999997</v>
      </c>
      <c r="L30" s="341">
        <v>2328707.12</v>
      </c>
      <c r="M30" s="341">
        <v>146204.92000000001</v>
      </c>
      <c r="N30" s="341">
        <v>-6419.32</v>
      </c>
      <c r="O30" s="342">
        <v>29639886.079999998</v>
      </c>
      <c r="P30" s="77"/>
      <c r="Q30" s="77" t="str">
        <f t="shared" si="0"/>
        <v>0030</v>
      </c>
      <c r="R30" s="77" t="str">
        <f t="shared" si="1"/>
        <v>39</v>
      </c>
      <c r="S30" s="77" t="str">
        <f t="shared" si="2"/>
        <v>003039</v>
      </c>
    </row>
    <row r="31" spans="1:19" ht="13.5" thickBot="1">
      <c r="A31" s="472"/>
      <c r="B31" s="367" t="s">
        <v>277</v>
      </c>
      <c r="C31" s="343">
        <v>6893.9830000000002</v>
      </c>
      <c r="D31" s="343">
        <v>6616.5619999999999</v>
      </c>
      <c r="E31" s="343">
        <v>8013.9210000000003</v>
      </c>
      <c r="F31" s="343">
        <v>155068.42199999999</v>
      </c>
      <c r="G31" s="343">
        <v>3631764.45</v>
      </c>
      <c r="H31" s="343">
        <v>5611284.4299999997</v>
      </c>
      <c r="I31" s="343">
        <v>6277474.7079999996</v>
      </c>
      <c r="J31" s="343">
        <v>5034975.2829999998</v>
      </c>
      <c r="K31" s="343">
        <v>6450053.3789999997</v>
      </c>
      <c r="L31" s="343">
        <v>2328934.0950000002</v>
      </c>
      <c r="M31" s="343">
        <v>146425.31899999999</v>
      </c>
      <c r="N31" s="343">
        <v>-6149.6809999999996</v>
      </c>
      <c r="O31" s="343">
        <v>29651354.870999999</v>
      </c>
      <c r="P31" s="77"/>
      <c r="Q31" s="77" t="str">
        <f t="shared" si="0"/>
        <v>0030</v>
      </c>
      <c r="R31" s="77" t="str">
        <f t="shared" si="1"/>
        <v/>
      </c>
      <c r="S31" s="77" t="str">
        <f t="shared" si="2"/>
        <v>0030</v>
      </c>
    </row>
    <row r="32" spans="1:19" ht="13.5" thickBot="1">
      <c r="A32" s="470" t="s">
        <v>2395</v>
      </c>
      <c r="B32" s="366" t="s">
        <v>226</v>
      </c>
      <c r="C32" s="341">
        <v>2953632.9939999999</v>
      </c>
      <c r="D32" s="341">
        <v>2875759.6189999999</v>
      </c>
      <c r="E32" s="341">
        <v>3112379.6209999998</v>
      </c>
      <c r="F32" s="341">
        <v>3191652.57</v>
      </c>
      <c r="G32" s="341">
        <v>4891706.193</v>
      </c>
      <c r="H32" s="341">
        <v>7986811.2790000001</v>
      </c>
      <c r="I32" s="341">
        <v>10320700.021</v>
      </c>
      <c r="J32" s="341">
        <v>12918596.482000001</v>
      </c>
      <c r="K32" s="341">
        <v>11830863.125</v>
      </c>
      <c r="L32" s="341">
        <v>5540009.1440000003</v>
      </c>
      <c r="M32" s="341">
        <v>2758053.6209999998</v>
      </c>
      <c r="N32" s="341">
        <v>3088380.8969999999</v>
      </c>
      <c r="O32" s="342">
        <v>71468545.566</v>
      </c>
      <c r="P32" s="77"/>
      <c r="Q32" s="77" t="str">
        <f t="shared" si="0"/>
        <v>0031</v>
      </c>
      <c r="R32" s="77" t="str">
        <f t="shared" si="1"/>
        <v>21</v>
      </c>
      <c r="S32" s="77" t="str">
        <f t="shared" si="2"/>
        <v>003121</v>
      </c>
    </row>
    <row r="33" spans="1:19" ht="13.5" thickBot="1">
      <c r="A33" s="471"/>
      <c r="B33" s="366" t="s">
        <v>228</v>
      </c>
      <c r="C33" s="341">
        <v>620885.37100000004</v>
      </c>
      <c r="D33" s="341">
        <v>635896.66799999995</v>
      </c>
      <c r="E33" s="341">
        <v>572185.65099999995</v>
      </c>
      <c r="F33" s="341">
        <v>626611.58900000004</v>
      </c>
      <c r="G33" s="341">
        <v>755453.647</v>
      </c>
      <c r="H33" s="341">
        <v>1080592.7120000001</v>
      </c>
      <c r="I33" s="341">
        <v>1398919.807</v>
      </c>
      <c r="J33" s="341">
        <v>1900890.9609999999</v>
      </c>
      <c r="K33" s="341">
        <v>1891243.936</v>
      </c>
      <c r="L33" s="341">
        <v>997553.81200000003</v>
      </c>
      <c r="M33" s="341">
        <v>625036.24199999997</v>
      </c>
      <c r="N33" s="341">
        <v>672209.50300000003</v>
      </c>
      <c r="O33" s="342">
        <v>11777479.899</v>
      </c>
      <c r="P33" s="77"/>
      <c r="Q33" s="77" t="str">
        <f t="shared" si="0"/>
        <v>0031</v>
      </c>
      <c r="R33" s="77" t="str">
        <f t="shared" si="1"/>
        <v>31</v>
      </c>
      <c r="S33" s="77" t="str">
        <f t="shared" si="2"/>
        <v>003131</v>
      </c>
    </row>
    <row r="34" spans="1:19" ht="13.5" thickBot="1">
      <c r="A34" s="471"/>
      <c r="B34" s="366" t="s">
        <v>230</v>
      </c>
      <c r="C34" s="341">
        <v>425154.239</v>
      </c>
      <c r="D34" s="341">
        <v>306752.70500000002</v>
      </c>
      <c r="E34" s="341">
        <v>323534.77399999998</v>
      </c>
      <c r="F34" s="341">
        <v>311698.99200000003</v>
      </c>
      <c r="G34" s="341">
        <v>1951312.142</v>
      </c>
      <c r="H34" s="341">
        <v>2860711.7250000001</v>
      </c>
      <c r="I34" s="341">
        <v>3587103.0830000001</v>
      </c>
      <c r="J34" s="341">
        <v>3554700.6749999998</v>
      </c>
      <c r="K34" s="341">
        <v>2746777.1860000002</v>
      </c>
      <c r="L34" s="341">
        <v>942280.63500000001</v>
      </c>
      <c r="M34" s="341">
        <v>343154.56199999998</v>
      </c>
      <c r="N34" s="341">
        <v>182933.81599999999</v>
      </c>
      <c r="O34" s="342">
        <v>17536114.534000002</v>
      </c>
      <c r="P34" s="77"/>
      <c r="Q34" s="77" t="str">
        <f t="shared" si="0"/>
        <v>0031</v>
      </c>
      <c r="R34" s="77" t="str">
        <f t="shared" si="1"/>
        <v>39</v>
      </c>
      <c r="S34" s="77" t="str">
        <f t="shared" si="2"/>
        <v>003139</v>
      </c>
    </row>
    <row r="35" spans="1:19" ht="13.5" thickBot="1">
      <c r="A35" s="471"/>
      <c r="B35" s="366" t="s">
        <v>236</v>
      </c>
      <c r="C35" s="341">
        <v>48839</v>
      </c>
      <c r="D35" s="341">
        <v>52328</v>
      </c>
      <c r="E35" s="341">
        <v>46903</v>
      </c>
      <c r="F35" s="341">
        <v>9780</v>
      </c>
      <c r="G35" s="341">
        <v>6286</v>
      </c>
      <c r="H35" s="341">
        <v>26094</v>
      </c>
      <c r="I35" s="341">
        <v>52269</v>
      </c>
      <c r="J35" s="341">
        <v>59799</v>
      </c>
      <c r="K35" s="341">
        <v>56645</v>
      </c>
      <c r="L35" s="341">
        <v>48592</v>
      </c>
      <c r="M35" s="341">
        <v>50062</v>
      </c>
      <c r="N35" s="341">
        <v>56513</v>
      </c>
      <c r="O35" s="342">
        <v>514110</v>
      </c>
      <c r="P35" s="77"/>
      <c r="Q35" s="77" t="str">
        <f t="shared" si="0"/>
        <v>0031</v>
      </c>
      <c r="R35" s="77" t="str">
        <f t="shared" si="1"/>
        <v>80</v>
      </c>
      <c r="S35" s="77" t="str">
        <f t="shared" si="2"/>
        <v>003180</v>
      </c>
    </row>
    <row r="36" spans="1:19" ht="13.5" thickBot="1">
      <c r="A36" s="472"/>
      <c r="B36" s="367" t="s">
        <v>277</v>
      </c>
      <c r="C36" s="343">
        <v>4048511.6039999998</v>
      </c>
      <c r="D36" s="343">
        <v>3870736.9920000001</v>
      </c>
      <c r="E36" s="343">
        <v>4055003.0460000001</v>
      </c>
      <c r="F36" s="343">
        <v>4139743.1510000001</v>
      </c>
      <c r="G36" s="343">
        <v>7604757.9819999998</v>
      </c>
      <c r="H36" s="343">
        <v>11954209.716</v>
      </c>
      <c r="I36" s="343">
        <v>15358991.911</v>
      </c>
      <c r="J36" s="343">
        <v>18433987.118000001</v>
      </c>
      <c r="K36" s="343">
        <v>16525529.247</v>
      </c>
      <c r="L36" s="343">
        <v>7528435.591</v>
      </c>
      <c r="M36" s="343">
        <v>3776306.4249999998</v>
      </c>
      <c r="N36" s="343">
        <v>4000037.216</v>
      </c>
      <c r="O36" s="343">
        <v>101296249.999</v>
      </c>
      <c r="P36" s="77"/>
      <c r="Q36" s="77" t="str">
        <f t="shared" si="0"/>
        <v>0031</v>
      </c>
      <c r="R36" s="77" t="str">
        <f t="shared" si="1"/>
        <v/>
      </c>
      <c r="S36" s="77" t="str">
        <f t="shared" si="2"/>
        <v>0031</v>
      </c>
    </row>
    <row r="37" spans="1:19" ht="13.5" thickBot="1">
      <c r="A37" s="470" t="s">
        <v>2396</v>
      </c>
      <c r="B37" s="366" t="s">
        <v>222</v>
      </c>
      <c r="C37" s="341">
        <v>290698.995</v>
      </c>
      <c r="D37" s="341">
        <v>280110.27399999998</v>
      </c>
      <c r="E37" s="341">
        <v>313757.59000000003</v>
      </c>
      <c r="F37" s="341">
        <v>272032.46799999999</v>
      </c>
      <c r="G37" s="341">
        <v>396713.19699999999</v>
      </c>
      <c r="H37" s="341">
        <v>617688.31999999995</v>
      </c>
      <c r="I37" s="341">
        <v>1193904.8659999999</v>
      </c>
      <c r="J37" s="341">
        <v>1176420.132</v>
      </c>
      <c r="K37" s="341">
        <v>929732.571</v>
      </c>
      <c r="L37" s="341">
        <v>315006.75400000002</v>
      </c>
      <c r="M37" s="341">
        <v>232009.31599999999</v>
      </c>
      <c r="N37" s="341">
        <v>284152.10600000003</v>
      </c>
      <c r="O37" s="342">
        <v>6302226.5889999997</v>
      </c>
      <c r="P37" s="77"/>
      <c r="Q37" s="77" t="str">
        <f t="shared" si="0"/>
        <v>0032</v>
      </c>
      <c r="R37" s="77" t="str">
        <f t="shared" si="1"/>
        <v>01</v>
      </c>
      <c r="S37" s="77" t="str">
        <f t="shared" si="2"/>
        <v>003201</v>
      </c>
    </row>
    <row r="38" spans="1:19" ht="13.5" thickBot="1">
      <c r="A38" s="471"/>
      <c r="B38" s="366" t="s">
        <v>230</v>
      </c>
      <c r="C38" s="341">
        <v>21708.002</v>
      </c>
      <c r="D38" s="341">
        <v>19444.366999999998</v>
      </c>
      <c r="E38" s="341">
        <v>22572.43</v>
      </c>
      <c r="F38" s="341">
        <v>48839.538999999997</v>
      </c>
      <c r="G38" s="341">
        <v>288790.63199999998</v>
      </c>
      <c r="H38" s="341">
        <v>357430</v>
      </c>
      <c r="I38" s="341">
        <v>497595.37699999998</v>
      </c>
      <c r="J38" s="341">
        <v>461009.99</v>
      </c>
      <c r="K38" s="341">
        <v>377007.772</v>
      </c>
      <c r="L38" s="341">
        <v>151499.64300000001</v>
      </c>
      <c r="M38" s="341">
        <v>41954.044000000002</v>
      </c>
      <c r="N38" s="341">
        <v>22295.787</v>
      </c>
      <c r="O38" s="342">
        <v>2310147.5830000001</v>
      </c>
      <c r="P38" s="77"/>
      <c r="Q38" s="77" t="str">
        <f t="shared" si="0"/>
        <v>0032</v>
      </c>
      <c r="R38" s="77" t="str">
        <f t="shared" si="1"/>
        <v>39</v>
      </c>
      <c r="S38" s="77" t="str">
        <f t="shared" si="2"/>
        <v>003239</v>
      </c>
    </row>
    <row r="39" spans="1:19" ht="13.5" thickBot="1">
      <c r="A39" s="472"/>
      <c r="B39" s="367" t="s">
        <v>277</v>
      </c>
      <c r="C39" s="343">
        <v>312406.99699999997</v>
      </c>
      <c r="D39" s="343">
        <v>299554.641</v>
      </c>
      <c r="E39" s="343">
        <v>336330.02</v>
      </c>
      <c r="F39" s="343">
        <v>320872.00699999998</v>
      </c>
      <c r="G39" s="343">
        <v>685503.82900000003</v>
      </c>
      <c r="H39" s="343">
        <v>975118.32</v>
      </c>
      <c r="I39" s="343">
        <v>1691500.243</v>
      </c>
      <c r="J39" s="343">
        <v>1637430.122</v>
      </c>
      <c r="K39" s="343">
        <v>1306740.3430000001</v>
      </c>
      <c r="L39" s="343">
        <v>466506.397</v>
      </c>
      <c r="M39" s="343">
        <v>273963.36</v>
      </c>
      <c r="N39" s="343">
        <v>306447.89299999998</v>
      </c>
      <c r="O39" s="343">
        <v>8612374.1720000003</v>
      </c>
      <c r="P39" s="77"/>
      <c r="Q39" s="77" t="str">
        <f t="shared" si="0"/>
        <v>0032</v>
      </c>
      <c r="R39" s="77" t="str">
        <f t="shared" si="1"/>
        <v/>
      </c>
      <c r="S39" s="77" t="str">
        <f t="shared" si="2"/>
        <v>0032</v>
      </c>
    </row>
    <row r="40" spans="1:19" ht="13.5" thickBot="1">
      <c r="A40" s="470" t="s">
        <v>2397</v>
      </c>
      <c r="B40" s="366" t="s">
        <v>232</v>
      </c>
      <c r="C40" s="341">
        <v>1331.001</v>
      </c>
      <c r="D40" s="341">
        <v>5799.8010000000004</v>
      </c>
      <c r="E40" s="341">
        <v>3442.5439999999999</v>
      </c>
      <c r="F40" s="341">
        <v>3687.57</v>
      </c>
      <c r="G40" s="341">
        <v>1172</v>
      </c>
      <c r="H40" s="341">
        <v>5539.7330000000002</v>
      </c>
      <c r="I40" s="341">
        <v>1223.933</v>
      </c>
      <c r="J40" s="341">
        <v>1172</v>
      </c>
      <c r="K40" s="341">
        <v>1198.2</v>
      </c>
      <c r="L40" s="341">
        <v>1193.5989999999999</v>
      </c>
      <c r="M40" s="341">
        <v>1134.1969999999999</v>
      </c>
      <c r="N40" s="341">
        <v>1319.8969999999999</v>
      </c>
      <c r="O40" s="342">
        <v>28214.474999999999</v>
      </c>
      <c r="P40" s="77"/>
      <c r="Q40" s="77" t="str">
        <f t="shared" ref="Q40:Q71" si="3">IF(ISBLANK(A40),Q39,TRIM(A40))</f>
        <v>0041</v>
      </c>
      <c r="R40" s="77" t="str">
        <f t="shared" ref="R40:R71" si="4">IF(ISBLANK(B40),"",IF(CODE(LEFT(B40,1))&gt;57,"",LEFT(B40,2)))</f>
        <v>51</v>
      </c>
      <c r="S40" s="77" t="str">
        <f t="shared" si="2"/>
        <v>004151</v>
      </c>
    </row>
    <row r="41" spans="1:19" ht="13.5" thickBot="1">
      <c r="A41" s="472"/>
      <c r="B41" s="367" t="s">
        <v>277</v>
      </c>
      <c r="C41" s="343">
        <v>1331.001</v>
      </c>
      <c r="D41" s="343">
        <v>5799.8010000000004</v>
      </c>
      <c r="E41" s="343">
        <v>3442.5439999999999</v>
      </c>
      <c r="F41" s="343">
        <v>3687.57</v>
      </c>
      <c r="G41" s="343">
        <v>1172</v>
      </c>
      <c r="H41" s="343">
        <v>5539.7330000000002</v>
      </c>
      <c r="I41" s="343">
        <v>1223.933</v>
      </c>
      <c r="J41" s="343">
        <v>1172</v>
      </c>
      <c r="K41" s="343">
        <v>1198.2</v>
      </c>
      <c r="L41" s="343">
        <v>1193.5989999999999</v>
      </c>
      <c r="M41" s="343">
        <v>1134.1969999999999</v>
      </c>
      <c r="N41" s="343">
        <v>1319.8969999999999</v>
      </c>
      <c r="O41" s="343">
        <v>28214.474999999999</v>
      </c>
      <c r="P41" s="77"/>
      <c r="Q41" s="77" t="str">
        <f t="shared" si="3"/>
        <v>0041</v>
      </c>
      <c r="R41" s="77" t="str">
        <f t="shared" si="4"/>
        <v/>
      </c>
      <c r="S41" s="77" t="str">
        <f t="shared" si="2"/>
        <v>0041</v>
      </c>
    </row>
    <row r="42" spans="1:19" ht="13.5" thickBot="1">
      <c r="A42" s="470" t="s">
        <v>2398</v>
      </c>
      <c r="B42" s="366" t="s">
        <v>232</v>
      </c>
      <c r="C42" s="341">
        <v>794948.48834000004</v>
      </c>
      <c r="D42" s="341">
        <v>731550.37</v>
      </c>
      <c r="E42" s="341">
        <v>730225.50800000003</v>
      </c>
      <c r="F42" s="341">
        <v>768961.7</v>
      </c>
      <c r="G42" s="341">
        <v>761924.46299999999</v>
      </c>
      <c r="H42" s="341">
        <v>751079.321</v>
      </c>
      <c r="I42" s="341">
        <v>773990.36800000002</v>
      </c>
      <c r="J42" s="341">
        <v>750514.12899999996</v>
      </c>
      <c r="K42" s="341">
        <v>767841.35600000003</v>
      </c>
      <c r="L42" s="341">
        <v>768639.147</v>
      </c>
      <c r="M42" s="341">
        <v>719670.973</v>
      </c>
      <c r="N42" s="341">
        <v>792313.73033000005</v>
      </c>
      <c r="O42" s="342">
        <v>9111659.5536700003</v>
      </c>
      <c r="P42" s="77"/>
      <c r="Q42" s="77" t="str">
        <f t="shared" si="3"/>
        <v>0042</v>
      </c>
      <c r="R42" s="77" t="str">
        <f t="shared" si="4"/>
        <v>51</v>
      </c>
      <c r="S42" s="77" t="str">
        <f t="shared" si="2"/>
        <v>004251</v>
      </c>
    </row>
    <row r="43" spans="1:19" ht="13.5" thickBot="1">
      <c r="A43" s="472"/>
      <c r="B43" s="367" t="s">
        <v>277</v>
      </c>
      <c r="C43" s="343">
        <v>794948.48834000004</v>
      </c>
      <c r="D43" s="343">
        <v>731550.37</v>
      </c>
      <c r="E43" s="343">
        <v>730225.50800000003</v>
      </c>
      <c r="F43" s="343">
        <v>768961.7</v>
      </c>
      <c r="G43" s="343">
        <v>761924.46299999999</v>
      </c>
      <c r="H43" s="343">
        <v>751079.321</v>
      </c>
      <c r="I43" s="343">
        <v>773990.36800000002</v>
      </c>
      <c r="J43" s="343">
        <v>750514.12899999996</v>
      </c>
      <c r="K43" s="343">
        <v>767841.35600000003</v>
      </c>
      <c r="L43" s="343">
        <v>768639.147</v>
      </c>
      <c r="M43" s="343">
        <v>719670.973</v>
      </c>
      <c r="N43" s="343">
        <v>792313.73033000005</v>
      </c>
      <c r="O43" s="343">
        <v>9111659.5536700003</v>
      </c>
      <c r="P43" s="77"/>
      <c r="Q43" s="77" t="str">
        <f t="shared" si="3"/>
        <v>0042</v>
      </c>
      <c r="R43" s="77" t="str">
        <f t="shared" si="4"/>
        <v/>
      </c>
      <c r="S43" s="77" t="str">
        <f t="shared" si="2"/>
        <v>0042</v>
      </c>
    </row>
    <row r="44" spans="1:19" ht="13.5" thickBot="1">
      <c r="A44" s="470" t="s">
        <v>2399</v>
      </c>
      <c r="B44" s="366" t="s">
        <v>232</v>
      </c>
      <c r="C44" s="341">
        <v>16437.332999999999</v>
      </c>
      <c r="D44" s="341">
        <v>16274.564</v>
      </c>
      <c r="E44" s="341">
        <v>16254.268</v>
      </c>
      <c r="F44" s="341">
        <v>16474.791000000001</v>
      </c>
      <c r="G44" s="341">
        <v>16211.932000000001</v>
      </c>
      <c r="H44" s="341">
        <v>17031.564999999999</v>
      </c>
      <c r="I44" s="341">
        <v>16479.297999999999</v>
      </c>
      <c r="J44" s="341">
        <v>16393.999</v>
      </c>
      <c r="K44" s="341">
        <v>17425.798999999999</v>
      </c>
      <c r="L44" s="341">
        <v>16144.83</v>
      </c>
      <c r="M44" s="341">
        <v>15360.35</v>
      </c>
      <c r="N44" s="341">
        <v>-57376.377119999997</v>
      </c>
      <c r="O44" s="342">
        <v>123112.35188</v>
      </c>
      <c r="P44" s="77"/>
      <c r="Q44" s="77" t="str">
        <f t="shared" si="3"/>
        <v>0044</v>
      </c>
      <c r="R44" s="77" t="str">
        <f t="shared" si="4"/>
        <v>51</v>
      </c>
      <c r="S44" s="77" t="str">
        <f t="shared" si="2"/>
        <v>004451</v>
      </c>
    </row>
    <row r="45" spans="1:19" ht="13.5" thickBot="1">
      <c r="A45" s="472"/>
      <c r="B45" s="367" t="s">
        <v>277</v>
      </c>
      <c r="C45" s="343">
        <v>16437.332999999999</v>
      </c>
      <c r="D45" s="343">
        <v>16274.564</v>
      </c>
      <c r="E45" s="343">
        <v>16254.268</v>
      </c>
      <c r="F45" s="343">
        <v>16474.791000000001</v>
      </c>
      <c r="G45" s="343">
        <v>16211.932000000001</v>
      </c>
      <c r="H45" s="343">
        <v>17031.564999999999</v>
      </c>
      <c r="I45" s="343">
        <v>16479.297999999999</v>
      </c>
      <c r="J45" s="343">
        <v>16393.999</v>
      </c>
      <c r="K45" s="343">
        <v>17425.798999999999</v>
      </c>
      <c r="L45" s="343">
        <v>16144.83</v>
      </c>
      <c r="M45" s="343">
        <v>15360.35</v>
      </c>
      <c r="N45" s="343">
        <v>-57376.377119999997</v>
      </c>
      <c r="O45" s="343">
        <v>123112.35188</v>
      </c>
      <c r="P45" s="77"/>
      <c r="Q45" s="77" t="str">
        <f t="shared" si="3"/>
        <v>0044</v>
      </c>
      <c r="R45" s="77" t="str">
        <f t="shared" si="4"/>
        <v/>
      </c>
      <c r="S45" s="77" t="str">
        <f t="shared" si="2"/>
        <v>0044</v>
      </c>
    </row>
    <row r="46" spans="1:19" ht="13.5" thickBot="1">
      <c r="A46" s="470" t="s">
        <v>2400</v>
      </c>
      <c r="B46" s="366" t="s">
        <v>232</v>
      </c>
      <c r="C46" s="341">
        <v>36190.500999999997</v>
      </c>
      <c r="D46" s="341">
        <v>35813.033000000003</v>
      </c>
      <c r="E46" s="341">
        <v>33924.413</v>
      </c>
      <c r="F46" s="341">
        <v>33857.317000000003</v>
      </c>
      <c r="G46" s="341">
        <v>34884.633000000002</v>
      </c>
      <c r="H46" s="341">
        <v>37147.800999999999</v>
      </c>
      <c r="I46" s="341">
        <v>33986.000999999997</v>
      </c>
      <c r="J46" s="341">
        <v>34799.300000000003</v>
      </c>
      <c r="K46" s="341">
        <v>38298.567000000003</v>
      </c>
      <c r="L46" s="341">
        <v>33875.633999999998</v>
      </c>
      <c r="M46" s="341">
        <v>33764.055</v>
      </c>
      <c r="N46" s="341">
        <v>38381.917000000001</v>
      </c>
      <c r="O46" s="342">
        <v>424923.17200000002</v>
      </c>
      <c r="P46" s="77"/>
      <c r="Q46" s="77" t="str">
        <f t="shared" si="3"/>
        <v>0045</v>
      </c>
      <c r="R46" s="77" t="str">
        <f t="shared" si="4"/>
        <v>51</v>
      </c>
      <c r="S46" s="77" t="str">
        <f t="shared" si="2"/>
        <v>004551</v>
      </c>
    </row>
    <row r="47" spans="1:19" ht="13.5" thickBot="1">
      <c r="A47" s="472"/>
      <c r="B47" s="367" t="s">
        <v>277</v>
      </c>
      <c r="C47" s="343">
        <v>36190.500999999997</v>
      </c>
      <c r="D47" s="343">
        <v>35813.033000000003</v>
      </c>
      <c r="E47" s="343">
        <v>33924.413</v>
      </c>
      <c r="F47" s="343">
        <v>33857.317000000003</v>
      </c>
      <c r="G47" s="343">
        <v>34884.633000000002</v>
      </c>
      <c r="H47" s="343">
        <v>37147.800999999999</v>
      </c>
      <c r="I47" s="343">
        <v>33986.000999999997</v>
      </c>
      <c r="J47" s="343">
        <v>34799.300000000003</v>
      </c>
      <c r="K47" s="343">
        <v>38298.567000000003</v>
      </c>
      <c r="L47" s="343">
        <v>33875.633999999998</v>
      </c>
      <c r="M47" s="343">
        <v>33764.055</v>
      </c>
      <c r="N47" s="343">
        <v>38381.917000000001</v>
      </c>
      <c r="O47" s="343">
        <v>424923.17200000002</v>
      </c>
      <c r="P47" s="77"/>
      <c r="Q47" s="77" t="str">
        <f t="shared" si="3"/>
        <v>0045</v>
      </c>
      <c r="R47" s="77" t="str">
        <f t="shared" si="4"/>
        <v/>
      </c>
      <c r="S47" s="77" t="str">
        <f t="shared" si="2"/>
        <v>0045</v>
      </c>
    </row>
    <row r="48" spans="1:19" ht="13.5" thickBot="1">
      <c r="A48" s="470" t="s">
        <v>2401</v>
      </c>
      <c r="B48" s="366" t="s">
        <v>232</v>
      </c>
      <c r="C48" s="341">
        <v>94723.862999999998</v>
      </c>
      <c r="D48" s="341">
        <v>87020.865999999995</v>
      </c>
      <c r="E48" s="341">
        <v>82039.502999999997</v>
      </c>
      <c r="F48" s="341">
        <v>94277.933000000005</v>
      </c>
      <c r="G48" s="341">
        <v>69727.032000000007</v>
      </c>
      <c r="H48" s="341">
        <v>87191.264999999999</v>
      </c>
      <c r="I48" s="341">
        <v>88913.097999999998</v>
      </c>
      <c r="J48" s="341">
        <v>84810.832999999999</v>
      </c>
      <c r="K48" s="341">
        <v>90197.163</v>
      </c>
      <c r="L48" s="341">
        <v>87190.630999999994</v>
      </c>
      <c r="M48" s="341">
        <v>83214.792000000001</v>
      </c>
      <c r="N48" s="341">
        <v>92626.005000000005</v>
      </c>
      <c r="O48" s="342">
        <v>1041932.9840000001</v>
      </c>
      <c r="P48" s="77"/>
      <c r="Q48" s="77" t="str">
        <f t="shared" si="3"/>
        <v>0046</v>
      </c>
      <c r="R48" s="77" t="str">
        <f t="shared" si="4"/>
        <v>51</v>
      </c>
      <c r="S48" s="77" t="str">
        <f t="shared" si="2"/>
        <v>004651</v>
      </c>
    </row>
    <row r="49" spans="1:19" ht="13.5" thickBot="1">
      <c r="A49" s="472"/>
      <c r="B49" s="367" t="s">
        <v>277</v>
      </c>
      <c r="C49" s="343">
        <v>94723.862999999998</v>
      </c>
      <c r="D49" s="343">
        <v>87020.865999999995</v>
      </c>
      <c r="E49" s="343">
        <v>82039.502999999997</v>
      </c>
      <c r="F49" s="343">
        <v>94277.933000000005</v>
      </c>
      <c r="G49" s="343">
        <v>69727.032000000007</v>
      </c>
      <c r="H49" s="343">
        <v>87191.264999999999</v>
      </c>
      <c r="I49" s="343">
        <v>88913.097999999998</v>
      </c>
      <c r="J49" s="343">
        <v>84810.832999999999</v>
      </c>
      <c r="K49" s="343">
        <v>90197.163</v>
      </c>
      <c r="L49" s="343">
        <v>87190.630999999994</v>
      </c>
      <c r="M49" s="343">
        <v>83214.792000000001</v>
      </c>
      <c r="N49" s="343">
        <v>92626.005000000005</v>
      </c>
      <c r="O49" s="343">
        <v>1041932.9840000001</v>
      </c>
      <c r="P49" s="77"/>
      <c r="Q49" s="77" t="str">
        <f t="shared" si="3"/>
        <v>0046</v>
      </c>
      <c r="R49" s="77" t="str">
        <f t="shared" si="4"/>
        <v/>
      </c>
      <c r="S49" s="77" t="str">
        <f t="shared" si="2"/>
        <v>0046</v>
      </c>
    </row>
    <row r="50" spans="1:19" ht="13.5" thickBot="1">
      <c r="A50" s="470" t="s">
        <v>2402</v>
      </c>
      <c r="B50" s="366" t="s">
        <v>226</v>
      </c>
      <c r="C50" s="341">
        <v>405113.03100000002</v>
      </c>
      <c r="D50" s="341">
        <v>370025.35600000003</v>
      </c>
      <c r="E50" s="341">
        <v>371174.63</v>
      </c>
      <c r="F50" s="341">
        <v>361586.69491999998</v>
      </c>
      <c r="G50" s="341">
        <v>375703.80900000001</v>
      </c>
      <c r="H50" s="341">
        <v>378093.55099000002</v>
      </c>
      <c r="I50" s="341">
        <v>374142.71100000001</v>
      </c>
      <c r="J50" s="341">
        <v>373752.78700000001</v>
      </c>
      <c r="K50" s="341">
        <v>386816.49800000002</v>
      </c>
      <c r="L50" s="341">
        <v>365159.56400000001</v>
      </c>
      <c r="M50" s="341">
        <v>358467.75121999998</v>
      </c>
      <c r="N50" s="341">
        <v>400022.98700000002</v>
      </c>
      <c r="O50" s="342">
        <v>4520059.3701299997</v>
      </c>
      <c r="P50" s="77"/>
      <c r="Q50" s="77" t="str">
        <f t="shared" si="3"/>
        <v>0047</v>
      </c>
      <c r="R50" s="77" t="str">
        <f t="shared" si="4"/>
        <v>21</v>
      </c>
      <c r="S50" s="77" t="str">
        <f t="shared" si="2"/>
        <v>004721</v>
      </c>
    </row>
    <row r="51" spans="1:19" ht="13.5" thickBot="1">
      <c r="A51" s="471"/>
      <c r="B51" s="366" t="s">
        <v>228</v>
      </c>
      <c r="C51" s="341">
        <v>10804.034</v>
      </c>
      <c r="D51" s="341">
        <v>10052.369000000001</v>
      </c>
      <c r="E51" s="341">
        <v>9835.3050000000003</v>
      </c>
      <c r="F51" s="341">
        <v>10309.659</v>
      </c>
      <c r="G51" s="341">
        <v>10273.967000000001</v>
      </c>
      <c r="H51" s="341">
        <v>10325.567999999999</v>
      </c>
      <c r="I51" s="341">
        <v>10275.135</v>
      </c>
      <c r="J51" s="341">
        <v>10268.700000000001</v>
      </c>
      <c r="K51" s="341">
        <v>10633.735000000001</v>
      </c>
      <c r="L51" s="341">
        <v>9910.8639999999996</v>
      </c>
      <c r="M51" s="341">
        <v>10042.659</v>
      </c>
      <c r="N51" s="341">
        <v>10498.025</v>
      </c>
      <c r="O51" s="342">
        <v>123230.02</v>
      </c>
      <c r="P51" s="77"/>
      <c r="Q51" s="77" t="str">
        <f t="shared" si="3"/>
        <v>0047</v>
      </c>
      <c r="R51" s="77" t="str">
        <f t="shared" si="4"/>
        <v>31</v>
      </c>
      <c r="S51" s="77" t="str">
        <f t="shared" si="2"/>
        <v>004731</v>
      </c>
    </row>
    <row r="52" spans="1:19" ht="13.5" thickBot="1">
      <c r="A52" s="471"/>
      <c r="B52" s="366" t="s">
        <v>230</v>
      </c>
      <c r="C52" s="341">
        <v>397.13299999999998</v>
      </c>
      <c r="D52" s="341">
        <v>366.36799999999999</v>
      </c>
      <c r="E52" s="341">
        <v>382.774</v>
      </c>
      <c r="F52" s="341">
        <v>378.834</v>
      </c>
      <c r="G52" s="341">
        <v>377.70100000000002</v>
      </c>
      <c r="H52" s="341">
        <v>393.101</v>
      </c>
      <c r="I52" s="341">
        <v>381.66699999999997</v>
      </c>
      <c r="J52" s="341">
        <v>381.834</v>
      </c>
      <c r="K52" s="341">
        <v>367.6</v>
      </c>
      <c r="L52" s="341">
        <v>400.20100000000002</v>
      </c>
      <c r="M52" s="341">
        <v>372.55900000000003</v>
      </c>
      <c r="N52" s="341">
        <v>411.4</v>
      </c>
      <c r="O52" s="342">
        <v>4611.1719999999996</v>
      </c>
      <c r="P52" s="77"/>
      <c r="Q52" s="77" t="str">
        <f t="shared" si="3"/>
        <v>0047</v>
      </c>
      <c r="R52" s="77" t="str">
        <f t="shared" si="4"/>
        <v>39</v>
      </c>
      <c r="S52" s="77" t="str">
        <f t="shared" si="2"/>
        <v>004739</v>
      </c>
    </row>
    <row r="53" spans="1:19" ht="13.5" thickBot="1">
      <c r="A53" s="471"/>
      <c r="B53" s="366" t="s">
        <v>236</v>
      </c>
      <c r="C53" s="341">
        <v>7525.7330000000002</v>
      </c>
      <c r="D53" s="341">
        <v>6744.6639999999998</v>
      </c>
      <c r="E53" s="341">
        <v>6847.2730000000001</v>
      </c>
      <c r="F53" s="341">
        <v>7095.0879999999997</v>
      </c>
      <c r="G53" s="341">
        <v>6934.165</v>
      </c>
      <c r="H53" s="341">
        <v>6838.268</v>
      </c>
      <c r="I53" s="341">
        <v>7193.2349999999997</v>
      </c>
      <c r="J53" s="341">
        <v>6796.5</v>
      </c>
      <c r="K53" s="341">
        <v>7484.1009999999997</v>
      </c>
      <c r="L53" s="341">
        <v>6926.9669999999996</v>
      </c>
      <c r="M53" s="341">
        <v>6822.8389999999999</v>
      </c>
      <c r="N53" s="341">
        <v>7726.5519999999997</v>
      </c>
      <c r="O53" s="342">
        <v>84935.384999999995</v>
      </c>
      <c r="P53" s="77"/>
      <c r="Q53" s="77" t="str">
        <f t="shared" si="3"/>
        <v>0047</v>
      </c>
      <c r="R53" s="77" t="str">
        <f t="shared" si="4"/>
        <v>80</v>
      </c>
      <c r="S53" s="77" t="str">
        <f t="shared" si="2"/>
        <v>004780</v>
      </c>
    </row>
    <row r="54" spans="1:19" ht="13.5" thickBot="1">
      <c r="A54" s="472"/>
      <c r="B54" s="367" t="s">
        <v>277</v>
      </c>
      <c r="C54" s="343">
        <v>423839.93099999998</v>
      </c>
      <c r="D54" s="343">
        <v>387188.75699999998</v>
      </c>
      <c r="E54" s="343">
        <v>388239.98200000002</v>
      </c>
      <c r="F54" s="343">
        <v>379370.27591999999</v>
      </c>
      <c r="G54" s="343">
        <v>393289.64199999999</v>
      </c>
      <c r="H54" s="343">
        <v>395650.48798999999</v>
      </c>
      <c r="I54" s="343">
        <v>391992.74800000002</v>
      </c>
      <c r="J54" s="343">
        <v>391199.821</v>
      </c>
      <c r="K54" s="343">
        <v>405301.93400000001</v>
      </c>
      <c r="L54" s="343">
        <v>382397.59600000002</v>
      </c>
      <c r="M54" s="343">
        <v>375705.80822000001</v>
      </c>
      <c r="N54" s="343">
        <v>418658.96399999998</v>
      </c>
      <c r="O54" s="343">
        <v>4732835.9471300002</v>
      </c>
      <c r="P54" s="77"/>
      <c r="Q54" s="77" t="str">
        <f t="shared" si="3"/>
        <v>0047</v>
      </c>
      <c r="R54" s="77" t="str">
        <f t="shared" si="4"/>
        <v/>
      </c>
      <c r="S54" s="77" t="str">
        <f t="shared" si="2"/>
        <v>0047</v>
      </c>
    </row>
    <row r="55" spans="1:19" ht="13.5" thickBot="1">
      <c r="A55" s="470" t="s">
        <v>2403</v>
      </c>
      <c r="B55" s="366" t="s">
        <v>222</v>
      </c>
      <c r="C55" s="341">
        <v>220488.139</v>
      </c>
      <c r="D55" s="341">
        <v>201816.51229000001</v>
      </c>
      <c r="E55" s="341">
        <v>203059.66800000001</v>
      </c>
      <c r="F55" s="341">
        <v>207714.04199999999</v>
      </c>
      <c r="G55" s="341">
        <v>204249.27900000001</v>
      </c>
      <c r="H55" s="341">
        <v>209211.76500000001</v>
      </c>
      <c r="I55" s="341">
        <v>211036.16200000001</v>
      </c>
      <c r="J55" s="341">
        <v>206514.853</v>
      </c>
      <c r="K55" s="341">
        <v>214491.13800000001</v>
      </c>
      <c r="L55" s="341">
        <v>200743.13399999999</v>
      </c>
      <c r="M55" s="341">
        <v>199287.88800000001</v>
      </c>
      <c r="N55" s="341">
        <v>219179.42600000001</v>
      </c>
      <c r="O55" s="342">
        <v>2497792.0062899999</v>
      </c>
      <c r="P55" s="77"/>
      <c r="Q55" s="77" t="str">
        <f t="shared" si="3"/>
        <v>0048</v>
      </c>
      <c r="R55" s="77" t="str">
        <f t="shared" si="4"/>
        <v>01</v>
      </c>
      <c r="S55" s="77" t="str">
        <f t="shared" si="2"/>
        <v>004801</v>
      </c>
    </row>
    <row r="56" spans="1:19" ht="13.5" thickBot="1">
      <c r="A56" s="471"/>
      <c r="B56" s="366" t="s">
        <v>230</v>
      </c>
      <c r="C56" s="341">
        <v>42.9</v>
      </c>
      <c r="D56" s="341">
        <v>37.700000000000003</v>
      </c>
      <c r="E56" s="341">
        <v>37.646000000000001</v>
      </c>
      <c r="F56" s="341">
        <v>41.6</v>
      </c>
      <c r="G56" s="341">
        <v>37.700000000000003</v>
      </c>
      <c r="H56" s="341">
        <v>39</v>
      </c>
      <c r="I56" s="341">
        <v>41.6</v>
      </c>
      <c r="J56" s="341">
        <v>37.700000000000003</v>
      </c>
      <c r="K56" s="341">
        <v>40.299999999999997</v>
      </c>
      <c r="L56" s="341">
        <v>40.299999999999997</v>
      </c>
      <c r="M56" s="341">
        <v>37.753999999999998</v>
      </c>
      <c r="N56" s="341">
        <v>40.299999999999997</v>
      </c>
      <c r="O56" s="342">
        <v>474.5</v>
      </c>
      <c r="P56" s="77"/>
      <c r="Q56" s="77" t="str">
        <f t="shared" si="3"/>
        <v>0048</v>
      </c>
      <c r="R56" s="77" t="str">
        <f t="shared" si="4"/>
        <v>39</v>
      </c>
      <c r="S56" s="77" t="str">
        <f t="shared" si="2"/>
        <v>004839</v>
      </c>
    </row>
    <row r="57" spans="1:19" ht="13.5" thickBot="1">
      <c r="A57" s="471"/>
      <c r="B57" s="366" t="s">
        <v>236</v>
      </c>
      <c r="C57" s="341">
        <v>88</v>
      </c>
      <c r="D57" s="341">
        <v>77.334000000000003</v>
      </c>
      <c r="E57" s="341">
        <v>77.334000000000003</v>
      </c>
      <c r="F57" s="341">
        <v>82.555999999999997</v>
      </c>
      <c r="G57" s="341">
        <v>80</v>
      </c>
      <c r="H57" s="341">
        <v>80</v>
      </c>
      <c r="I57" s="341">
        <v>82.665999999999997</v>
      </c>
      <c r="J57" s="341">
        <v>80</v>
      </c>
      <c r="K57" s="341">
        <v>80</v>
      </c>
      <c r="L57" s="341">
        <v>85.334000000000003</v>
      </c>
      <c r="M57" s="341">
        <v>77.334000000000003</v>
      </c>
      <c r="N57" s="341">
        <v>88.111999999999995</v>
      </c>
      <c r="O57" s="342">
        <v>978.67</v>
      </c>
      <c r="P57" s="77"/>
      <c r="Q57" s="77" t="str">
        <f t="shared" si="3"/>
        <v>0048</v>
      </c>
      <c r="R57" s="77" t="str">
        <f t="shared" si="4"/>
        <v>80</v>
      </c>
      <c r="S57" s="77" t="str">
        <f t="shared" si="2"/>
        <v>004880</v>
      </c>
    </row>
    <row r="58" spans="1:19" ht="13.5" thickBot="1">
      <c r="A58" s="472"/>
      <c r="B58" s="367" t="s">
        <v>277</v>
      </c>
      <c r="C58" s="343">
        <v>220619.03899999999</v>
      </c>
      <c r="D58" s="343">
        <v>201931.54629</v>
      </c>
      <c r="E58" s="343">
        <v>203174.64799999999</v>
      </c>
      <c r="F58" s="343">
        <v>207838.198</v>
      </c>
      <c r="G58" s="343">
        <v>204366.97899999999</v>
      </c>
      <c r="H58" s="343">
        <v>209330.76500000001</v>
      </c>
      <c r="I58" s="343">
        <v>211160.42800000001</v>
      </c>
      <c r="J58" s="343">
        <v>206632.55300000001</v>
      </c>
      <c r="K58" s="343">
        <v>214611.43799999999</v>
      </c>
      <c r="L58" s="343">
        <v>200868.76800000001</v>
      </c>
      <c r="M58" s="343">
        <v>199402.976</v>
      </c>
      <c r="N58" s="343">
        <v>219307.83799999999</v>
      </c>
      <c r="O58" s="343">
        <v>2499245.1762899999</v>
      </c>
      <c r="P58" s="77"/>
      <c r="Q58" s="77" t="str">
        <f t="shared" si="3"/>
        <v>0048</v>
      </c>
      <c r="R58" s="77" t="str">
        <f t="shared" si="4"/>
        <v/>
      </c>
      <c r="S58" s="77" t="str">
        <f t="shared" si="2"/>
        <v>0048</v>
      </c>
    </row>
    <row r="59" spans="1:19" ht="13.5" thickBot="1">
      <c r="A59" s="470" t="s">
        <v>2404</v>
      </c>
      <c r="B59" s="366" t="s">
        <v>222</v>
      </c>
      <c r="C59" s="341">
        <v>0</v>
      </c>
      <c r="D59" s="341">
        <v>0</v>
      </c>
      <c r="E59" s="341">
        <v>0</v>
      </c>
      <c r="F59" s="341">
        <v>0</v>
      </c>
      <c r="G59" s="341">
        <v>0</v>
      </c>
      <c r="H59" s="341">
        <v>0</v>
      </c>
      <c r="I59" s="341">
        <v>0</v>
      </c>
      <c r="J59" s="341">
        <v>0</v>
      </c>
      <c r="K59" s="341">
        <v>0</v>
      </c>
      <c r="L59" s="341">
        <v>0</v>
      </c>
      <c r="M59" s="341">
        <v>0</v>
      </c>
      <c r="N59" s="341">
        <v>0</v>
      </c>
      <c r="O59" s="342">
        <v>0</v>
      </c>
      <c r="P59" s="77"/>
      <c r="Q59" s="77" t="str">
        <f t="shared" si="3"/>
        <v>0058</v>
      </c>
      <c r="R59" s="77" t="str">
        <f t="shared" si="4"/>
        <v>01</v>
      </c>
      <c r="S59" s="77" t="str">
        <f t="shared" si="2"/>
        <v>005801</v>
      </c>
    </row>
    <row r="60" spans="1:19" ht="13.5" thickBot="1">
      <c r="A60" s="471"/>
      <c r="B60" s="366" t="s">
        <v>226</v>
      </c>
      <c r="C60" s="341">
        <v>0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N60" s="341">
        <v>0</v>
      </c>
      <c r="O60" s="342">
        <v>0</v>
      </c>
      <c r="P60" s="77"/>
      <c r="Q60" s="77" t="str">
        <f t="shared" si="3"/>
        <v>0058</v>
      </c>
      <c r="R60" s="77" t="str">
        <f t="shared" si="4"/>
        <v>21</v>
      </c>
      <c r="S60" s="77" t="str">
        <f t="shared" si="2"/>
        <v>005821</v>
      </c>
    </row>
    <row r="61" spans="1:19" ht="13.5" thickBot="1">
      <c r="A61" s="471"/>
      <c r="B61" s="366" t="s">
        <v>228</v>
      </c>
      <c r="C61" s="341">
        <v>0</v>
      </c>
      <c r="D61" s="341">
        <v>0</v>
      </c>
      <c r="E61" s="341">
        <v>0</v>
      </c>
      <c r="F61" s="341">
        <v>0</v>
      </c>
      <c r="G61" s="341">
        <v>0</v>
      </c>
      <c r="H61" s="341">
        <v>0</v>
      </c>
      <c r="I61" s="341">
        <v>0</v>
      </c>
      <c r="J61" s="341">
        <v>0</v>
      </c>
      <c r="K61" s="341">
        <v>0</v>
      </c>
      <c r="L61" s="341">
        <v>0</v>
      </c>
      <c r="M61" s="341">
        <v>0</v>
      </c>
      <c r="N61" s="341">
        <v>0</v>
      </c>
      <c r="O61" s="342">
        <v>0</v>
      </c>
      <c r="P61" s="77"/>
      <c r="Q61" s="77" t="str">
        <f t="shared" si="3"/>
        <v>0058</v>
      </c>
      <c r="R61" s="77" t="str">
        <f t="shared" si="4"/>
        <v>31</v>
      </c>
      <c r="S61" s="77" t="str">
        <f t="shared" si="2"/>
        <v>005831</v>
      </c>
    </row>
    <row r="62" spans="1:19" ht="13.5" thickBot="1">
      <c r="A62" s="471"/>
      <c r="B62" s="366" t="s">
        <v>230</v>
      </c>
      <c r="C62" s="341">
        <v>0</v>
      </c>
      <c r="D62" s="341">
        <v>0</v>
      </c>
      <c r="E62" s="341">
        <v>0</v>
      </c>
      <c r="F62" s="341">
        <v>0</v>
      </c>
      <c r="G62" s="341">
        <v>0</v>
      </c>
      <c r="H62" s="341">
        <v>0</v>
      </c>
      <c r="I62" s="341">
        <v>0</v>
      </c>
      <c r="J62" s="341">
        <v>0</v>
      </c>
      <c r="K62" s="341">
        <v>0</v>
      </c>
      <c r="L62" s="341">
        <v>0</v>
      </c>
      <c r="M62" s="341">
        <v>0</v>
      </c>
      <c r="N62" s="341">
        <v>0</v>
      </c>
      <c r="O62" s="342">
        <v>0</v>
      </c>
      <c r="P62" s="77"/>
      <c r="Q62" s="77" t="str">
        <f t="shared" si="3"/>
        <v>0058</v>
      </c>
      <c r="R62" s="77" t="str">
        <f t="shared" si="4"/>
        <v>39</v>
      </c>
      <c r="S62" s="77" t="str">
        <f t="shared" si="2"/>
        <v>005839</v>
      </c>
    </row>
    <row r="63" spans="1:19" ht="13.5" thickBot="1">
      <c r="A63" s="471"/>
      <c r="B63" s="366" t="s">
        <v>232</v>
      </c>
      <c r="C63" s="341">
        <v>0</v>
      </c>
      <c r="D63" s="341">
        <v>0</v>
      </c>
      <c r="E63" s="341">
        <v>0</v>
      </c>
      <c r="F63" s="341">
        <v>0</v>
      </c>
      <c r="G63" s="341">
        <v>0</v>
      </c>
      <c r="H63" s="341">
        <v>0</v>
      </c>
      <c r="I63" s="341">
        <v>0</v>
      </c>
      <c r="J63" s="341">
        <v>0</v>
      </c>
      <c r="K63" s="341">
        <v>0</v>
      </c>
      <c r="L63" s="341">
        <v>0</v>
      </c>
      <c r="M63" s="341">
        <v>0</v>
      </c>
      <c r="N63" s="341">
        <v>0</v>
      </c>
      <c r="O63" s="342">
        <v>0</v>
      </c>
      <c r="P63" s="77"/>
      <c r="Q63" s="77" t="str">
        <f t="shared" si="3"/>
        <v>0058</v>
      </c>
      <c r="R63" s="77" t="str">
        <f t="shared" si="4"/>
        <v>51</v>
      </c>
      <c r="S63" s="77" t="str">
        <f t="shared" si="2"/>
        <v>005851</v>
      </c>
    </row>
    <row r="64" spans="1:19" ht="13.5" thickBot="1">
      <c r="A64" s="471"/>
      <c r="B64" s="366" t="s">
        <v>236</v>
      </c>
      <c r="C64" s="341">
        <v>0</v>
      </c>
      <c r="D64" s="341">
        <v>0</v>
      </c>
      <c r="E64" s="341">
        <v>0</v>
      </c>
      <c r="F64" s="341">
        <v>0</v>
      </c>
      <c r="G64" s="341">
        <v>0</v>
      </c>
      <c r="H64" s="341">
        <v>0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  <c r="N64" s="341">
        <v>0</v>
      </c>
      <c r="O64" s="342">
        <v>0</v>
      </c>
      <c r="P64" s="77"/>
      <c r="Q64" s="77" t="str">
        <f t="shared" si="3"/>
        <v>0058</v>
      </c>
      <c r="R64" s="77" t="str">
        <f t="shared" si="4"/>
        <v>80</v>
      </c>
      <c r="S64" s="77" t="str">
        <f t="shared" si="2"/>
        <v>005880</v>
      </c>
    </row>
    <row r="65" spans="1:19" ht="13.5" thickBot="1">
      <c r="A65" s="471"/>
      <c r="B65" s="366" t="s">
        <v>240</v>
      </c>
      <c r="C65" s="341">
        <v>0</v>
      </c>
      <c r="D65" s="341">
        <v>0</v>
      </c>
      <c r="E65" s="341">
        <v>0</v>
      </c>
      <c r="F65" s="341">
        <v>0</v>
      </c>
      <c r="G65" s="341">
        <v>0</v>
      </c>
      <c r="H65" s="341">
        <v>0</v>
      </c>
      <c r="I65" s="341">
        <v>0</v>
      </c>
      <c r="J65" s="341">
        <v>0</v>
      </c>
      <c r="K65" s="341">
        <v>0</v>
      </c>
      <c r="L65" s="341">
        <v>0</v>
      </c>
      <c r="M65" s="341">
        <v>0</v>
      </c>
      <c r="N65" s="341">
        <v>0</v>
      </c>
      <c r="O65" s="342">
        <v>0</v>
      </c>
      <c r="P65" s="77"/>
      <c r="Q65" s="77" t="str">
        <f t="shared" si="3"/>
        <v>0058</v>
      </c>
      <c r="R65" s="77" t="str">
        <f t="shared" si="4"/>
        <v>85</v>
      </c>
      <c r="S65" s="77" t="str">
        <f t="shared" si="2"/>
        <v>005885</v>
      </c>
    </row>
    <row r="66" spans="1:19" ht="13.5" thickBot="1">
      <c r="A66" s="472"/>
      <c r="B66" s="367" t="s">
        <v>277</v>
      </c>
      <c r="C66" s="343">
        <v>0</v>
      </c>
      <c r="D66" s="343">
        <v>0</v>
      </c>
      <c r="E66" s="343">
        <v>0</v>
      </c>
      <c r="F66" s="343">
        <v>0</v>
      </c>
      <c r="G66" s="343">
        <v>0</v>
      </c>
      <c r="H66" s="343">
        <v>0</v>
      </c>
      <c r="I66" s="343">
        <v>0</v>
      </c>
      <c r="J66" s="343">
        <v>0</v>
      </c>
      <c r="K66" s="343">
        <v>0</v>
      </c>
      <c r="L66" s="343">
        <v>0</v>
      </c>
      <c r="M66" s="343">
        <v>0</v>
      </c>
      <c r="N66" s="343">
        <v>0</v>
      </c>
      <c r="O66" s="343">
        <v>0</v>
      </c>
      <c r="P66" s="77"/>
      <c r="Q66" s="77" t="str">
        <f t="shared" si="3"/>
        <v>0058</v>
      </c>
      <c r="R66" s="77" t="str">
        <f t="shared" si="4"/>
        <v/>
      </c>
      <c r="S66" s="77" t="str">
        <f t="shared" si="2"/>
        <v>0058</v>
      </c>
    </row>
    <row r="67" spans="1:19" ht="13.5" thickBot="1">
      <c r="A67" s="470" t="s">
        <v>2405</v>
      </c>
      <c r="B67" s="366" t="s">
        <v>222</v>
      </c>
      <c r="C67" s="341">
        <v>0</v>
      </c>
      <c r="D67" s="341">
        <v>0</v>
      </c>
      <c r="E67" s="341">
        <v>0</v>
      </c>
      <c r="F67" s="341">
        <v>0</v>
      </c>
      <c r="G67" s="341">
        <v>0</v>
      </c>
      <c r="H67" s="341">
        <v>0</v>
      </c>
      <c r="I67" s="341">
        <v>0</v>
      </c>
      <c r="J67" s="341">
        <v>0</v>
      </c>
      <c r="K67" s="341">
        <v>0</v>
      </c>
      <c r="L67" s="341">
        <v>0</v>
      </c>
      <c r="M67" s="341">
        <v>0</v>
      </c>
      <c r="N67" s="341">
        <v>0</v>
      </c>
      <c r="O67" s="342">
        <v>0</v>
      </c>
      <c r="P67" s="77"/>
      <c r="Q67" s="77" t="str">
        <f t="shared" si="3"/>
        <v>0058A</v>
      </c>
      <c r="R67" s="77" t="str">
        <f t="shared" si="4"/>
        <v>01</v>
      </c>
      <c r="S67" s="77" t="str">
        <f t="shared" si="2"/>
        <v>0058A01</v>
      </c>
    </row>
    <row r="68" spans="1:19" ht="13.5" thickBot="1">
      <c r="A68" s="471"/>
      <c r="B68" s="366" t="s">
        <v>226</v>
      </c>
      <c r="C68" s="341">
        <v>0</v>
      </c>
      <c r="D68" s="341">
        <v>0</v>
      </c>
      <c r="E68" s="341">
        <v>0</v>
      </c>
      <c r="F68" s="341">
        <v>0</v>
      </c>
      <c r="G68" s="341">
        <v>0</v>
      </c>
      <c r="H68" s="341">
        <v>0</v>
      </c>
      <c r="I68" s="341">
        <v>0</v>
      </c>
      <c r="J68" s="341">
        <v>0</v>
      </c>
      <c r="K68" s="341">
        <v>0</v>
      </c>
      <c r="L68" s="341">
        <v>0</v>
      </c>
      <c r="M68" s="341">
        <v>0</v>
      </c>
      <c r="N68" s="341">
        <v>0</v>
      </c>
      <c r="O68" s="342">
        <v>0</v>
      </c>
      <c r="P68" s="77"/>
      <c r="Q68" s="77" t="str">
        <f t="shared" si="3"/>
        <v>0058A</v>
      </c>
      <c r="R68" s="77" t="str">
        <f t="shared" si="4"/>
        <v>21</v>
      </c>
      <c r="S68" s="77" t="str">
        <f t="shared" si="2"/>
        <v>0058A21</v>
      </c>
    </row>
    <row r="69" spans="1:19" ht="13.5" thickBot="1">
      <c r="A69" s="471"/>
      <c r="B69" s="366" t="s">
        <v>230</v>
      </c>
      <c r="C69" s="341">
        <v>0</v>
      </c>
      <c r="D69" s="341">
        <v>0</v>
      </c>
      <c r="E69" s="341">
        <v>0</v>
      </c>
      <c r="F69" s="341">
        <v>0</v>
      </c>
      <c r="G69" s="341">
        <v>0</v>
      </c>
      <c r="H69" s="341">
        <v>0</v>
      </c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2">
        <v>0</v>
      </c>
      <c r="P69" s="77"/>
      <c r="Q69" s="77" t="str">
        <f t="shared" si="3"/>
        <v>0058A</v>
      </c>
      <c r="R69" s="77" t="str">
        <f t="shared" si="4"/>
        <v>39</v>
      </c>
      <c r="S69" s="77" t="str">
        <f t="shared" si="2"/>
        <v>0058A39</v>
      </c>
    </row>
    <row r="70" spans="1:19" ht="13.5" thickBot="1">
      <c r="A70" s="471"/>
      <c r="B70" s="366" t="s">
        <v>232</v>
      </c>
      <c r="C70" s="341">
        <v>0</v>
      </c>
      <c r="D70" s="341">
        <v>0</v>
      </c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0</v>
      </c>
      <c r="L70" s="341">
        <v>0</v>
      </c>
      <c r="M70" s="341">
        <v>0</v>
      </c>
      <c r="N70" s="341">
        <v>0</v>
      </c>
      <c r="O70" s="342">
        <v>0</v>
      </c>
      <c r="P70" s="77"/>
      <c r="Q70" s="77" t="str">
        <f t="shared" si="3"/>
        <v>0058A</v>
      </c>
      <c r="R70" s="77" t="str">
        <f t="shared" si="4"/>
        <v>51</v>
      </c>
      <c r="S70" s="77" t="str">
        <f t="shared" si="2"/>
        <v>0058A51</v>
      </c>
    </row>
    <row r="71" spans="1:19" ht="13.5" thickBot="1">
      <c r="A71" s="472"/>
      <c r="B71" s="367" t="s">
        <v>277</v>
      </c>
      <c r="C71" s="343">
        <v>0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>
        <v>0</v>
      </c>
      <c r="J71" s="343">
        <v>0</v>
      </c>
      <c r="K71" s="343">
        <v>0</v>
      </c>
      <c r="L71" s="343">
        <v>0</v>
      </c>
      <c r="M71" s="343">
        <v>0</v>
      </c>
      <c r="N71" s="343">
        <v>0</v>
      </c>
      <c r="O71" s="343">
        <v>0</v>
      </c>
      <c r="P71" s="77"/>
      <c r="Q71" s="77" t="str">
        <f t="shared" si="3"/>
        <v>0058A</v>
      </c>
      <c r="R71" s="77" t="str">
        <f t="shared" si="4"/>
        <v/>
      </c>
      <c r="S71" s="77" t="str">
        <f t="shared" si="2"/>
        <v>0058A</v>
      </c>
    </row>
    <row r="72" spans="1:19" ht="13.5" thickBot="1">
      <c r="A72" s="470" t="s">
        <v>2406</v>
      </c>
      <c r="B72" s="366" t="s">
        <v>222</v>
      </c>
      <c r="C72" s="341">
        <v>0</v>
      </c>
      <c r="D72" s="341">
        <v>0</v>
      </c>
      <c r="E72" s="341">
        <v>0</v>
      </c>
      <c r="F72" s="341">
        <v>0</v>
      </c>
      <c r="G72" s="341">
        <v>0</v>
      </c>
      <c r="H72" s="341">
        <v>0</v>
      </c>
      <c r="I72" s="341">
        <v>0</v>
      </c>
      <c r="J72" s="341">
        <v>0</v>
      </c>
      <c r="K72" s="341">
        <v>0</v>
      </c>
      <c r="L72" s="341">
        <v>0</v>
      </c>
      <c r="M72" s="341">
        <v>0</v>
      </c>
      <c r="N72" s="341">
        <v>0</v>
      </c>
      <c r="O72" s="342">
        <v>0</v>
      </c>
      <c r="P72" s="77"/>
      <c r="Q72" s="77" t="str">
        <f t="shared" ref="Q72:Q77" si="5">IF(ISBLANK(A72),Q71,TRIM(A72))</f>
        <v>0095</v>
      </c>
      <c r="R72" s="77" t="str">
        <f t="shared" ref="R72:R81" si="6">IF(ISBLANK(B72),"",IF(CODE(LEFT(B72,1))&gt;57,"",LEFT(B72,2)))</f>
        <v>01</v>
      </c>
      <c r="S72" s="77" t="str">
        <f t="shared" si="2"/>
        <v>009501</v>
      </c>
    </row>
    <row r="73" spans="1:19" ht="13.5" thickBot="1">
      <c r="A73" s="471"/>
      <c r="B73" s="366" t="s">
        <v>226</v>
      </c>
      <c r="C73" s="341">
        <v>0</v>
      </c>
      <c r="D73" s="341">
        <v>0</v>
      </c>
      <c r="E73" s="341">
        <v>0</v>
      </c>
      <c r="F73" s="341">
        <v>0</v>
      </c>
      <c r="G73" s="341">
        <v>0</v>
      </c>
      <c r="H73" s="341">
        <v>0</v>
      </c>
      <c r="I73" s="341">
        <v>0</v>
      </c>
      <c r="J73" s="341">
        <v>0</v>
      </c>
      <c r="K73" s="341">
        <v>0</v>
      </c>
      <c r="L73" s="341">
        <v>0</v>
      </c>
      <c r="M73" s="341">
        <v>0</v>
      </c>
      <c r="N73" s="341">
        <v>0</v>
      </c>
      <c r="O73" s="342">
        <v>0</v>
      </c>
      <c r="P73" s="77"/>
      <c r="Q73" s="77" t="str">
        <f t="shared" si="5"/>
        <v>0095</v>
      </c>
      <c r="R73" s="77" t="str">
        <f t="shared" si="6"/>
        <v>21</v>
      </c>
      <c r="S73" s="77" t="str">
        <f t="shared" ref="S73:S80" si="7">Q73&amp;R73</f>
        <v>009521</v>
      </c>
    </row>
    <row r="74" spans="1:19" ht="13.5" thickBot="1">
      <c r="A74" s="471"/>
      <c r="B74" s="366" t="s">
        <v>228</v>
      </c>
      <c r="C74" s="341">
        <v>0</v>
      </c>
      <c r="D74" s="341">
        <v>0</v>
      </c>
      <c r="E74" s="341">
        <v>0</v>
      </c>
      <c r="F74" s="341">
        <v>0</v>
      </c>
      <c r="G74" s="341">
        <v>0</v>
      </c>
      <c r="H74" s="341">
        <v>0</v>
      </c>
      <c r="I74" s="341">
        <v>0</v>
      </c>
      <c r="J74" s="341">
        <v>0</v>
      </c>
      <c r="K74" s="341">
        <v>0</v>
      </c>
      <c r="L74" s="341">
        <v>0</v>
      </c>
      <c r="M74" s="341">
        <v>0</v>
      </c>
      <c r="N74" s="341">
        <v>0</v>
      </c>
      <c r="O74" s="342">
        <v>0</v>
      </c>
      <c r="P74" s="77"/>
      <c r="Q74" s="77" t="str">
        <f t="shared" si="5"/>
        <v>0095</v>
      </c>
      <c r="R74" s="77" t="str">
        <f t="shared" si="6"/>
        <v>31</v>
      </c>
      <c r="S74" s="77" t="str">
        <f t="shared" si="7"/>
        <v>009531</v>
      </c>
    </row>
    <row r="75" spans="1:19" ht="13.5" thickBot="1">
      <c r="A75" s="472"/>
      <c r="B75" s="367" t="s">
        <v>277</v>
      </c>
      <c r="C75" s="343">
        <v>0</v>
      </c>
      <c r="D75" s="343">
        <v>0</v>
      </c>
      <c r="E75" s="343">
        <v>0</v>
      </c>
      <c r="F75" s="343">
        <v>0</v>
      </c>
      <c r="G75" s="343">
        <v>0</v>
      </c>
      <c r="H75" s="343">
        <v>0</v>
      </c>
      <c r="I75" s="343">
        <v>0</v>
      </c>
      <c r="J75" s="343">
        <v>0</v>
      </c>
      <c r="K75" s="343">
        <v>0</v>
      </c>
      <c r="L75" s="343">
        <v>0</v>
      </c>
      <c r="M75" s="343">
        <v>0</v>
      </c>
      <c r="N75" s="343">
        <v>0</v>
      </c>
      <c r="O75" s="343">
        <v>0</v>
      </c>
      <c r="P75" s="77"/>
      <c r="Q75" s="77" t="str">
        <f t="shared" si="5"/>
        <v>0095</v>
      </c>
      <c r="R75" s="77" t="str">
        <f t="shared" si="6"/>
        <v/>
      </c>
      <c r="S75" s="77" t="str">
        <f t="shared" si="7"/>
        <v>0095</v>
      </c>
    </row>
    <row r="76" spans="1:19" ht="13.5" thickBot="1">
      <c r="A76" s="470" t="s">
        <v>2407</v>
      </c>
      <c r="B76" s="366" t="s">
        <v>238</v>
      </c>
      <c r="C76" s="341">
        <v>0</v>
      </c>
      <c r="D76" s="341">
        <v>0</v>
      </c>
      <c r="E76" s="341">
        <v>0</v>
      </c>
      <c r="F76" s="341">
        <v>0</v>
      </c>
      <c r="G76" s="341">
        <v>0</v>
      </c>
      <c r="H76" s="341">
        <v>0</v>
      </c>
      <c r="I76" s="341">
        <v>0</v>
      </c>
      <c r="J76" s="341">
        <v>0</v>
      </c>
      <c r="K76" s="341">
        <v>0</v>
      </c>
      <c r="L76" s="341">
        <v>0</v>
      </c>
      <c r="M76" s="341">
        <v>0</v>
      </c>
      <c r="N76" s="341">
        <v>0</v>
      </c>
      <c r="O76" s="342">
        <v>0</v>
      </c>
      <c r="P76" s="77"/>
      <c r="Q76" s="77" t="str">
        <f t="shared" si="5"/>
        <v>0099</v>
      </c>
      <c r="R76" s="77" t="str">
        <f t="shared" si="6"/>
        <v>83</v>
      </c>
      <c r="S76" s="77" t="str">
        <f t="shared" si="7"/>
        <v>009983</v>
      </c>
    </row>
    <row r="77" spans="1:19" ht="13.5" thickBot="1">
      <c r="A77" s="471"/>
      <c r="B77" s="366" t="s">
        <v>240</v>
      </c>
      <c r="C77" s="341">
        <v>0</v>
      </c>
      <c r="D77" s="341">
        <v>0</v>
      </c>
      <c r="E77" s="341">
        <v>0</v>
      </c>
      <c r="F77" s="341">
        <v>0</v>
      </c>
      <c r="G77" s="341">
        <v>0</v>
      </c>
      <c r="H77" s="341">
        <v>0</v>
      </c>
      <c r="I77" s="341">
        <v>0</v>
      </c>
      <c r="J77" s="341">
        <v>0</v>
      </c>
      <c r="K77" s="341">
        <v>0</v>
      </c>
      <c r="L77" s="341">
        <v>0</v>
      </c>
      <c r="M77" s="341">
        <v>0</v>
      </c>
      <c r="N77" s="341">
        <v>0</v>
      </c>
      <c r="O77" s="342">
        <v>0</v>
      </c>
      <c r="P77" s="77"/>
      <c r="Q77" s="77" t="str">
        <f t="shared" si="5"/>
        <v>0099</v>
      </c>
      <c r="R77" s="77" t="str">
        <f t="shared" si="6"/>
        <v>85</v>
      </c>
      <c r="S77" s="77" t="str">
        <f t="shared" ref="S77" si="8">Q77&amp;R77</f>
        <v>009985</v>
      </c>
    </row>
    <row r="78" spans="1:19" ht="13.5" thickBot="1">
      <c r="A78" s="472"/>
      <c r="B78" s="367" t="s">
        <v>277</v>
      </c>
      <c r="C78" s="343">
        <v>0</v>
      </c>
      <c r="D78" s="343">
        <v>0</v>
      </c>
      <c r="E78" s="343">
        <v>0</v>
      </c>
      <c r="F78" s="343">
        <v>0</v>
      </c>
      <c r="G78" s="343">
        <v>0</v>
      </c>
      <c r="H78" s="343">
        <v>0</v>
      </c>
      <c r="I78" s="343">
        <v>0</v>
      </c>
      <c r="J78" s="343">
        <v>0</v>
      </c>
      <c r="K78" s="343">
        <v>0</v>
      </c>
      <c r="L78" s="343">
        <v>0</v>
      </c>
      <c r="M78" s="343">
        <v>0</v>
      </c>
      <c r="N78" s="343">
        <v>0</v>
      </c>
      <c r="O78" s="343">
        <v>0</v>
      </c>
      <c r="P78" s="77"/>
      <c r="Q78" s="77" t="str">
        <f>IF(ISBLANK(A78),Q76,TRIM(A78))</f>
        <v>0099</v>
      </c>
      <c r="R78" s="77" t="str">
        <f t="shared" si="6"/>
        <v/>
      </c>
      <c r="S78" s="77" t="str">
        <f t="shared" si="7"/>
        <v>0099</v>
      </c>
    </row>
    <row r="79" spans="1:19" ht="13.5" thickBot="1">
      <c r="A79" s="470" t="s">
        <v>2408</v>
      </c>
      <c r="B79" s="366" t="s">
        <v>228</v>
      </c>
      <c r="C79" s="341">
        <v>0</v>
      </c>
      <c r="D79" s="341">
        <v>0</v>
      </c>
      <c r="E79" s="341">
        <v>0</v>
      </c>
      <c r="F79" s="341">
        <v>0</v>
      </c>
      <c r="G79" s="341">
        <v>0</v>
      </c>
      <c r="H79" s="341">
        <v>0</v>
      </c>
      <c r="I79" s="341">
        <v>0</v>
      </c>
      <c r="J79" s="341">
        <v>0</v>
      </c>
      <c r="K79" s="341">
        <v>0</v>
      </c>
      <c r="L79" s="341">
        <v>0</v>
      </c>
      <c r="M79" s="341">
        <v>0</v>
      </c>
      <c r="N79" s="341">
        <v>0</v>
      </c>
      <c r="O79" s="342">
        <v>0</v>
      </c>
      <c r="P79" s="77"/>
      <c r="Q79" s="77" t="str">
        <f>IF(ISBLANK(A79),Q78,TRIM(A79))</f>
        <v>025B</v>
      </c>
      <c r="R79" s="77" t="str">
        <f t="shared" si="6"/>
        <v>31</v>
      </c>
      <c r="S79" s="77" t="str">
        <f t="shared" si="7"/>
        <v>025B31</v>
      </c>
    </row>
    <row r="80" spans="1:19" ht="13.5" thickBot="1">
      <c r="A80" s="472"/>
      <c r="B80" s="367" t="s">
        <v>277</v>
      </c>
      <c r="C80" s="343">
        <v>0</v>
      </c>
      <c r="D80" s="343">
        <v>0</v>
      </c>
      <c r="E80" s="343">
        <v>0</v>
      </c>
      <c r="F80" s="343">
        <v>0</v>
      </c>
      <c r="G80" s="343">
        <v>0</v>
      </c>
      <c r="H80" s="343">
        <v>0</v>
      </c>
      <c r="I80" s="343">
        <v>0</v>
      </c>
      <c r="J80" s="343">
        <v>0</v>
      </c>
      <c r="K80" s="343">
        <v>0</v>
      </c>
      <c r="L80" s="343">
        <v>0</v>
      </c>
      <c r="M80" s="343">
        <v>0</v>
      </c>
      <c r="N80" s="343">
        <v>0</v>
      </c>
      <c r="O80" s="343">
        <v>0</v>
      </c>
      <c r="P80" s="77"/>
      <c r="Q80" s="77" t="str">
        <f>IF(ISBLANK(A80),Q79,TRIM(A80))</f>
        <v>025B</v>
      </c>
      <c r="R80" s="77" t="str">
        <f t="shared" si="6"/>
        <v/>
      </c>
      <c r="S80" s="77" t="str">
        <f t="shared" si="7"/>
        <v>025B</v>
      </c>
    </row>
    <row r="81" spans="1:19" ht="13.5" thickBot="1">
      <c r="A81" s="473" t="s">
        <v>277</v>
      </c>
      <c r="B81" s="474"/>
      <c r="C81" s="343">
        <v>547354540.42633998</v>
      </c>
      <c r="D81" s="343">
        <v>516536324.68428999</v>
      </c>
      <c r="E81" s="343">
        <v>544642264.96500003</v>
      </c>
      <c r="F81" s="343">
        <v>444134378.42592001</v>
      </c>
      <c r="G81" s="343">
        <v>407170728.63099998</v>
      </c>
      <c r="H81" s="343">
        <v>418743394.13498998</v>
      </c>
      <c r="I81" s="343">
        <v>447379892.70099998</v>
      </c>
      <c r="J81" s="343">
        <v>475019789.44</v>
      </c>
      <c r="K81" s="343">
        <v>468097468.792</v>
      </c>
      <c r="L81" s="343">
        <v>430408085.39300001</v>
      </c>
      <c r="M81" s="343">
        <v>454247365.41122001</v>
      </c>
      <c r="N81" s="343">
        <v>530380127.32321</v>
      </c>
      <c r="O81" s="343">
        <v>5684114360.3279696</v>
      </c>
      <c r="P81" s="77"/>
      <c r="Q81" s="77"/>
      <c r="R81" s="77" t="str">
        <f t="shared" si="6"/>
        <v/>
      </c>
      <c r="S81" s="77"/>
    </row>
    <row r="82" spans="1:19">
      <c r="A82" s="248"/>
      <c r="B82" s="248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77"/>
      <c r="Q82" s="77"/>
      <c r="R82" s="77"/>
      <c r="S82" s="77"/>
    </row>
    <row r="83" spans="1:19">
      <c r="A83" s="248"/>
      <c r="B83" s="248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77"/>
      <c r="Q83" s="77"/>
      <c r="R83" s="77"/>
      <c r="S83" s="77"/>
    </row>
    <row r="84" spans="1:19">
      <c r="A84" s="248"/>
      <c r="B84" s="248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77"/>
      <c r="Q84" s="77"/>
      <c r="R84" s="77"/>
      <c r="S84" s="77"/>
    </row>
    <row r="85" spans="1:19">
      <c r="A85" s="134" t="s">
        <v>219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>
      <c r="A87" s="131" t="s">
        <v>2388</v>
      </c>
      <c r="B87" s="77"/>
      <c r="C87" s="106">
        <f t="shared" ref="C87:O96" si="9">SUMIF($S$7:$S$81,$A87,C$7:C$81)</f>
        <v>267841299.32499999</v>
      </c>
      <c r="D87" s="106">
        <f t="shared" si="9"/>
        <v>247922334.96000001</v>
      </c>
      <c r="E87" s="106">
        <f t="shared" si="9"/>
        <v>271502364.01800001</v>
      </c>
      <c r="F87" s="106">
        <f t="shared" si="9"/>
        <v>188866566.84900001</v>
      </c>
      <c r="G87" s="106">
        <f t="shared" si="9"/>
        <v>158832437.463</v>
      </c>
      <c r="H87" s="106">
        <f t="shared" si="9"/>
        <v>150390788.13699999</v>
      </c>
      <c r="I87" s="106">
        <f t="shared" si="9"/>
        <v>166751650.73300001</v>
      </c>
      <c r="J87" s="106">
        <f t="shared" si="9"/>
        <v>182573434.708</v>
      </c>
      <c r="K87" s="106">
        <f t="shared" si="9"/>
        <v>175245164.949</v>
      </c>
      <c r="L87" s="106">
        <f t="shared" si="9"/>
        <v>166760828.45300001</v>
      </c>
      <c r="M87" s="106">
        <f t="shared" si="9"/>
        <v>196809183.73800001</v>
      </c>
      <c r="N87" s="106">
        <f t="shared" si="9"/>
        <v>258267007.47999999</v>
      </c>
      <c r="O87" s="106">
        <f t="shared" si="9"/>
        <v>2431763060.8130002</v>
      </c>
      <c r="P87" s="77"/>
      <c r="Q87" s="77"/>
      <c r="R87" s="77"/>
      <c r="S87" s="77"/>
    </row>
    <row r="88" spans="1:19">
      <c r="A88" s="131" t="s">
        <v>2446</v>
      </c>
      <c r="B88" s="77"/>
      <c r="C88" s="106">
        <f t="shared" si="9"/>
        <v>580053.67599999998</v>
      </c>
      <c r="D88" s="106">
        <f t="shared" si="9"/>
        <v>541307.33499999996</v>
      </c>
      <c r="E88" s="106">
        <f t="shared" si="9"/>
        <v>592340.36199999996</v>
      </c>
      <c r="F88" s="106">
        <f t="shared" si="9"/>
        <v>390822.39</v>
      </c>
      <c r="G88" s="106">
        <f t="shared" si="9"/>
        <v>304576.77899999998</v>
      </c>
      <c r="H88" s="106">
        <f t="shared" si="9"/>
        <v>250103.22</v>
      </c>
      <c r="I88" s="106">
        <f t="shared" si="9"/>
        <v>259800.595</v>
      </c>
      <c r="J88" s="106">
        <f t="shared" si="9"/>
        <v>268162.89399999997</v>
      </c>
      <c r="K88" s="106">
        <f t="shared" si="9"/>
        <v>258864.79300000001</v>
      </c>
      <c r="L88" s="106">
        <f t="shared" si="9"/>
        <v>229542.24400000001</v>
      </c>
      <c r="M88" s="106">
        <f t="shared" si="9"/>
        <v>332385.223</v>
      </c>
      <c r="N88" s="106">
        <f t="shared" si="9"/>
        <v>494004.50699999998</v>
      </c>
      <c r="O88" s="106">
        <f t="shared" si="9"/>
        <v>4501964.0180000002</v>
      </c>
      <c r="P88" s="77"/>
      <c r="Q88" s="77"/>
      <c r="R88" s="77"/>
      <c r="S88" s="77"/>
    </row>
    <row r="89" spans="1:19">
      <c r="A89" s="131" t="s">
        <v>2389</v>
      </c>
      <c r="B89" s="77"/>
      <c r="C89" s="106">
        <f t="shared" si="9"/>
        <v>53083032.321000002</v>
      </c>
      <c r="D89" s="106">
        <f t="shared" si="9"/>
        <v>51246782.015000001</v>
      </c>
      <c r="E89" s="106">
        <f t="shared" si="9"/>
        <v>54357499.741999999</v>
      </c>
      <c r="F89" s="106">
        <f t="shared" si="9"/>
        <v>44837527.100000001</v>
      </c>
      <c r="G89" s="106">
        <f t="shared" si="9"/>
        <v>41462023.862000003</v>
      </c>
      <c r="H89" s="106">
        <f t="shared" si="9"/>
        <v>41657082.214000002</v>
      </c>
      <c r="I89" s="106">
        <f t="shared" si="9"/>
        <v>44672129.449000001</v>
      </c>
      <c r="J89" s="106">
        <f t="shared" si="9"/>
        <v>47293311.362000003</v>
      </c>
      <c r="K89" s="106">
        <f t="shared" si="9"/>
        <v>47080586.844999999</v>
      </c>
      <c r="L89" s="106">
        <f t="shared" si="9"/>
        <v>42290682.913999997</v>
      </c>
      <c r="M89" s="106">
        <f t="shared" si="9"/>
        <v>44623313.130999997</v>
      </c>
      <c r="N89" s="106">
        <f t="shared" si="9"/>
        <v>53474198.324000001</v>
      </c>
      <c r="O89" s="106">
        <f t="shared" si="9"/>
        <v>566078169.27900004</v>
      </c>
      <c r="P89" s="77"/>
      <c r="Q89" s="77"/>
      <c r="R89" s="77"/>
      <c r="S89" s="77"/>
    </row>
    <row r="90" spans="1:19">
      <c r="A90" s="131" t="s">
        <v>2390</v>
      </c>
      <c r="B90" s="77"/>
      <c r="C90" s="106">
        <f t="shared" si="9"/>
        <v>6837294.8020000001</v>
      </c>
      <c r="D90" s="106">
        <f t="shared" si="9"/>
        <v>6592706.4720000001</v>
      </c>
      <c r="E90" s="106">
        <f t="shared" si="9"/>
        <v>7219460.682</v>
      </c>
      <c r="F90" s="106">
        <f t="shared" si="9"/>
        <v>5132241.7479999997</v>
      </c>
      <c r="G90" s="106">
        <f t="shared" si="9"/>
        <v>4021853.8829999999</v>
      </c>
      <c r="H90" s="106">
        <f t="shared" si="9"/>
        <v>3596510.247</v>
      </c>
      <c r="I90" s="106">
        <f t="shared" si="9"/>
        <v>3730905.6179999998</v>
      </c>
      <c r="J90" s="106">
        <f t="shared" si="9"/>
        <v>3971285.0460000001</v>
      </c>
      <c r="K90" s="106">
        <f t="shared" si="9"/>
        <v>4020595.1940000001</v>
      </c>
      <c r="L90" s="106">
        <f t="shared" si="9"/>
        <v>4234166.5070000002</v>
      </c>
      <c r="M90" s="106">
        <f t="shared" si="9"/>
        <v>4985396.8720000004</v>
      </c>
      <c r="N90" s="106">
        <f t="shared" si="9"/>
        <v>6674916.1859999998</v>
      </c>
      <c r="O90" s="106">
        <f t="shared" si="9"/>
        <v>61017333.256999999</v>
      </c>
      <c r="P90" s="77"/>
      <c r="Q90" s="77"/>
      <c r="R90" s="77"/>
      <c r="S90" s="77"/>
    </row>
    <row r="91" spans="1:19">
      <c r="A91" s="131" t="s">
        <v>2391</v>
      </c>
      <c r="B91" s="77"/>
      <c r="C91" s="106">
        <f t="shared" si="9"/>
        <v>117023159.185</v>
      </c>
      <c r="D91" s="106">
        <f t="shared" si="9"/>
        <v>109993861.23</v>
      </c>
      <c r="E91" s="106">
        <f t="shared" si="9"/>
        <v>116204907.98800001</v>
      </c>
      <c r="F91" s="106">
        <f t="shared" si="9"/>
        <v>106013435.954</v>
      </c>
      <c r="G91" s="106">
        <f t="shared" si="9"/>
        <v>105108726.602</v>
      </c>
      <c r="H91" s="106">
        <f t="shared" si="9"/>
        <v>108348274.913</v>
      </c>
      <c r="I91" s="106">
        <f t="shared" si="9"/>
        <v>114187516.73</v>
      </c>
      <c r="J91" s="106">
        <f t="shared" si="9"/>
        <v>115593591.06200001</v>
      </c>
      <c r="K91" s="106">
        <f t="shared" si="9"/>
        <v>114991795.28399999</v>
      </c>
      <c r="L91" s="106">
        <f t="shared" si="9"/>
        <v>110670008.713</v>
      </c>
      <c r="M91" s="106">
        <f t="shared" si="9"/>
        <v>105357158.06200001</v>
      </c>
      <c r="N91" s="106">
        <f t="shared" si="9"/>
        <v>119394840.014</v>
      </c>
      <c r="O91" s="106">
        <f t="shared" si="9"/>
        <v>1342887275.737</v>
      </c>
      <c r="P91" s="77"/>
      <c r="Q91" s="77"/>
      <c r="R91" s="77"/>
      <c r="S91" s="77"/>
    </row>
    <row r="92" spans="1:19">
      <c r="A92" s="131" t="s">
        <v>2392</v>
      </c>
      <c r="B92" s="77"/>
      <c r="C92" s="106">
        <f t="shared" si="9"/>
        <v>3558257.44</v>
      </c>
      <c r="D92" s="106">
        <f t="shared" si="9"/>
        <v>3261933.92</v>
      </c>
      <c r="E92" s="106">
        <f t="shared" si="9"/>
        <v>3652455.84</v>
      </c>
      <c r="F92" s="106">
        <f t="shared" si="9"/>
        <v>2658606.7200000002</v>
      </c>
      <c r="G92" s="106">
        <f t="shared" si="9"/>
        <v>2247395.2000000002</v>
      </c>
      <c r="H92" s="106">
        <f t="shared" si="9"/>
        <v>2170828.6</v>
      </c>
      <c r="I92" s="106">
        <f t="shared" si="9"/>
        <v>2293234.84</v>
      </c>
      <c r="J92" s="106">
        <f t="shared" si="9"/>
        <v>2528387.52</v>
      </c>
      <c r="K92" s="106">
        <f t="shared" si="9"/>
        <v>2314246.96</v>
      </c>
      <c r="L92" s="106">
        <f t="shared" si="9"/>
        <v>2542421.88</v>
      </c>
      <c r="M92" s="106">
        <f t="shared" si="9"/>
        <v>2624069.36</v>
      </c>
      <c r="N92" s="106">
        <f t="shared" si="9"/>
        <v>3289862.24</v>
      </c>
      <c r="O92" s="106">
        <f t="shared" si="9"/>
        <v>33141700.52</v>
      </c>
      <c r="P92" s="77"/>
      <c r="Q92" s="77"/>
      <c r="R92" s="77"/>
      <c r="S92" s="77"/>
    </row>
    <row r="93" spans="1:19">
      <c r="A93" s="131" t="s">
        <v>2393</v>
      </c>
      <c r="B93" s="77"/>
      <c r="C93" s="106">
        <f t="shared" si="9"/>
        <v>92475540.937000006</v>
      </c>
      <c r="D93" s="106">
        <f t="shared" si="9"/>
        <v>91334911.620000005</v>
      </c>
      <c r="E93" s="106">
        <f t="shared" si="9"/>
        <v>85256588.480000004</v>
      </c>
      <c r="F93" s="106">
        <f t="shared" si="9"/>
        <v>90115026.299999997</v>
      </c>
      <c r="G93" s="106">
        <f t="shared" si="9"/>
        <v>81790111.900000006</v>
      </c>
      <c r="H93" s="106">
        <f t="shared" si="9"/>
        <v>92286223.400000006</v>
      </c>
      <c r="I93" s="106">
        <f t="shared" si="9"/>
        <v>90638942</v>
      </c>
      <c r="J93" s="106">
        <f t="shared" si="9"/>
        <v>96199701.689999998</v>
      </c>
      <c r="K93" s="106">
        <f t="shared" si="9"/>
        <v>98369017.341000006</v>
      </c>
      <c r="L93" s="106">
        <f t="shared" si="9"/>
        <v>91866248.393999994</v>
      </c>
      <c r="M93" s="106">
        <f t="shared" si="9"/>
        <v>93890910.769999996</v>
      </c>
      <c r="N93" s="106">
        <f t="shared" si="9"/>
        <v>82979731.170000002</v>
      </c>
      <c r="O93" s="106">
        <f t="shared" si="9"/>
        <v>1087202954.0020001</v>
      </c>
      <c r="P93" s="77"/>
      <c r="Q93" s="77"/>
      <c r="R93" s="77"/>
      <c r="S93" s="77"/>
    </row>
    <row r="94" spans="1:19">
      <c r="A94" s="131" t="s">
        <v>2409</v>
      </c>
      <c r="B94" s="77"/>
      <c r="C94" s="106">
        <f t="shared" si="9"/>
        <v>0</v>
      </c>
      <c r="D94" s="106">
        <f t="shared" si="9"/>
        <v>0</v>
      </c>
      <c r="E94" s="106">
        <f t="shared" si="9"/>
        <v>0</v>
      </c>
      <c r="F94" s="106">
        <f t="shared" si="9"/>
        <v>0</v>
      </c>
      <c r="G94" s="106">
        <f t="shared" si="9"/>
        <v>0</v>
      </c>
      <c r="H94" s="106">
        <f t="shared" si="9"/>
        <v>0</v>
      </c>
      <c r="I94" s="106">
        <f t="shared" si="9"/>
        <v>0</v>
      </c>
      <c r="J94" s="106">
        <f t="shared" si="9"/>
        <v>0</v>
      </c>
      <c r="K94" s="106">
        <f t="shared" si="9"/>
        <v>0</v>
      </c>
      <c r="L94" s="106">
        <f t="shared" si="9"/>
        <v>0</v>
      </c>
      <c r="M94" s="106">
        <f t="shared" si="9"/>
        <v>0</v>
      </c>
      <c r="N94" s="106">
        <f t="shared" si="9"/>
        <v>0</v>
      </c>
      <c r="O94" s="106">
        <f t="shared" si="9"/>
        <v>0</v>
      </c>
      <c r="P94" s="77"/>
      <c r="Q94" s="77"/>
      <c r="R94" s="77"/>
      <c r="S94" s="77"/>
    </row>
    <row r="95" spans="1:19">
      <c r="A95" s="131" t="s">
        <v>2394</v>
      </c>
      <c r="B95" s="77"/>
      <c r="C95" s="106">
        <f t="shared" si="9"/>
        <v>6893.9830000000002</v>
      </c>
      <c r="D95" s="106">
        <f t="shared" si="9"/>
        <v>6616.5619999999999</v>
      </c>
      <c r="E95" s="106">
        <f t="shared" si="9"/>
        <v>8013.9210000000003</v>
      </c>
      <c r="F95" s="106">
        <f t="shared" si="9"/>
        <v>155068.42199999999</v>
      </c>
      <c r="G95" s="106">
        <f t="shared" si="9"/>
        <v>3631764.45</v>
      </c>
      <c r="H95" s="106">
        <f t="shared" si="9"/>
        <v>5611284.4299999997</v>
      </c>
      <c r="I95" s="106">
        <f t="shared" si="9"/>
        <v>6277474.7079999996</v>
      </c>
      <c r="J95" s="106">
        <f t="shared" si="9"/>
        <v>5034975.2829999998</v>
      </c>
      <c r="K95" s="106">
        <f t="shared" si="9"/>
        <v>6450053.3789999997</v>
      </c>
      <c r="L95" s="106">
        <f t="shared" si="9"/>
        <v>2328934.0950000002</v>
      </c>
      <c r="M95" s="106">
        <f t="shared" si="9"/>
        <v>146425.31899999999</v>
      </c>
      <c r="N95" s="106">
        <f t="shared" si="9"/>
        <v>-6149.6809999999996</v>
      </c>
      <c r="O95" s="106">
        <f t="shared" si="9"/>
        <v>29651354.870999999</v>
      </c>
      <c r="P95" s="77"/>
      <c r="Q95" s="77"/>
      <c r="R95" s="77"/>
      <c r="S95" s="77"/>
    </row>
    <row r="96" spans="1:19">
      <c r="A96" s="131" t="s">
        <v>2395</v>
      </c>
      <c r="B96" s="77"/>
      <c r="C96" s="106">
        <f t="shared" si="9"/>
        <v>4048511.6039999998</v>
      </c>
      <c r="D96" s="106">
        <f t="shared" si="9"/>
        <v>3870736.9920000001</v>
      </c>
      <c r="E96" s="106">
        <f t="shared" si="9"/>
        <v>4055003.0460000001</v>
      </c>
      <c r="F96" s="106">
        <f t="shared" si="9"/>
        <v>4139743.1510000001</v>
      </c>
      <c r="G96" s="106">
        <f t="shared" si="9"/>
        <v>7604757.9819999998</v>
      </c>
      <c r="H96" s="106">
        <f t="shared" si="9"/>
        <v>11954209.716</v>
      </c>
      <c r="I96" s="106">
        <f t="shared" si="9"/>
        <v>15358991.911</v>
      </c>
      <c r="J96" s="106">
        <f t="shared" si="9"/>
        <v>18433987.118000001</v>
      </c>
      <c r="K96" s="106">
        <f t="shared" si="9"/>
        <v>16525529.247</v>
      </c>
      <c r="L96" s="106">
        <f t="shared" si="9"/>
        <v>7528435.591</v>
      </c>
      <c r="M96" s="106">
        <f t="shared" si="9"/>
        <v>3776306.4249999998</v>
      </c>
      <c r="N96" s="106">
        <f t="shared" si="9"/>
        <v>4000037.216</v>
      </c>
      <c r="O96" s="106">
        <f t="shared" si="9"/>
        <v>101296249.999</v>
      </c>
      <c r="P96" s="77"/>
      <c r="Q96" s="77"/>
      <c r="R96" s="77"/>
      <c r="S96" s="77"/>
    </row>
    <row r="97" spans="1:19">
      <c r="A97" s="131" t="s">
        <v>2396</v>
      </c>
      <c r="B97" s="77"/>
      <c r="C97" s="106">
        <f t="shared" ref="C97:O110" si="10">SUMIF($S$7:$S$81,$A97,C$7:C$81)</f>
        <v>312406.99699999997</v>
      </c>
      <c r="D97" s="106">
        <f t="shared" si="10"/>
        <v>299554.641</v>
      </c>
      <c r="E97" s="106">
        <f t="shared" si="10"/>
        <v>336330.02</v>
      </c>
      <c r="F97" s="106">
        <f t="shared" si="10"/>
        <v>320872.00699999998</v>
      </c>
      <c r="G97" s="106">
        <f t="shared" si="10"/>
        <v>685503.82900000003</v>
      </c>
      <c r="H97" s="106">
        <f t="shared" si="10"/>
        <v>975118.32</v>
      </c>
      <c r="I97" s="106">
        <f t="shared" si="10"/>
        <v>1691500.243</v>
      </c>
      <c r="J97" s="106">
        <f t="shared" si="10"/>
        <v>1637430.122</v>
      </c>
      <c r="K97" s="106">
        <f t="shared" si="10"/>
        <v>1306740.3430000001</v>
      </c>
      <c r="L97" s="106">
        <f t="shared" si="10"/>
        <v>466506.397</v>
      </c>
      <c r="M97" s="106">
        <f t="shared" si="10"/>
        <v>273963.36</v>
      </c>
      <c r="N97" s="106">
        <f t="shared" si="10"/>
        <v>306447.89299999998</v>
      </c>
      <c r="O97" s="106">
        <f t="shared" si="10"/>
        <v>8612374.1720000003</v>
      </c>
      <c r="P97" s="77"/>
      <c r="Q97" s="77"/>
      <c r="R97" s="77"/>
      <c r="S97" s="77"/>
    </row>
    <row r="98" spans="1:19">
      <c r="A98" s="131" t="s">
        <v>2397</v>
      </c>
      <c r="B98" s="77"/>
      <c r="C98" s="106">
        <f t="shared" si="10"/>
        <v>1331.001</v>
      </c>
      <c r="D98" s="106">
        <f t="shared" si="10"/>
        <v>5799.8010000000004</v>
      </c>
      <c r="E98" s="106">
        <f t="shared" si="10"/>
        <v>3442.5439999999999</v>
      </c>
      <c r="F98" s="106">
        <f t="shared" si="10"/>
        <v>3687.57</v>
      </c>
      <c r="G98" s="106">
        <f t="shared" si="10"/>
        <v>1172</v>
      </c>
      <c r="H98" s="106">
        <f t="shared" si="10"/>
        <v>5539.7330000000002</v>
      </c>
      <c r="I98" s="106">
        <f t="shared" si="10"/>
        <v>1223.933</v>
      </c>
      <c r="J98" s="106">
        <f t="shared" si="10"/>
        <v>1172</v>
      </c>
      <c r="K98" s="106">
        <f t="shared" si="10"/>
        <v>1198.2</v>
      </c>
      <c r="L98" s="106">
        <f t="shared" si="10"/>
        <v>1193.5989999999999</v>
      </c>
      <c r="M98" s="106">
        <f t="shared" si="10"/>
        <v>1134.1969999999999</v>
      </c>
      <c r="N98" s="106">
        <f t="shared" si="10"/>
        <v>1319.8969999999999</v>
      </c>
      <c r="O98" s="106">
        <f t="shared" si="10"/>
        <v>28214.474999999999</v>
      </c>
      <c r="P98" s="77"/>
      <c r="Q98" s="77"/>
      <c r="R98" s="77"/>
      <c r="S98" s="77"/>
    </row>
    <row r="99" spans="1:19">
      <c r="A99" s="131" t="s">
        <v>2398</v>
      </c>
      <c r="B99" s="77"/>
      <c r="C99" s="106">
        <f t="shared" si="10"/>
        <v>794948.48834000004</v>
      </c>
      <c r="D99" s="106">
        <f t="shared" si="10"/>
        <v>731550.37</v>
      </c>
      <c r="E99" s="106">
        <f t="shared" si="10"/>
        <v>730225.50800000003</v>
      </c>
      <c r="F99" s="106">
        <f t="shared" si="10"/>
        <v>768961.7</v>
      </c>
      <c r="G99" s="106">
        <f t="shared" si="10"/>
        <v>761924.46299999999</v>
      </c>
      <c r="H99" s="106">
        <f t="shared" si="10"/>
        <v>751079.321</v>
      </c>
      <c r="I99" s="106">
        <f t="shared" si="10"/>
        <v>773990.36800000002</v>
      </c>
      <c r="J99" s="106">
        <f t="shared" si="10"/>
        <v>750514.12899999996</v>
      </c>
      <c r="K99" s="106">
        <f t="shared" si="10"/>
        <v>767841.35600000003</v>
      </c>
      <c r="L99" s="106">
        <f t="shared" si="10"/>
        <v>768639.147</v>
      </c>
      <c r="M99" s="106">
        <f t="shared" si="10"/>
        <v>719670.973</v>
      </c>
      <c r="N99" s="106">
        <f t="shared" si="10"/>
        <v>792313.73033000005</v>
      </c>
      <c r="O99" s="106">
        <f t="shared" si="10"/>
        <v>9111659.5536700003</v>
      </c>
      <c r="P99" s="77"/>
      <c r="Q99" s="77"/>
      <c r="R99" s="77"/>
      <c r="S99" s="77"/>
    </row>
    <row r="100" spans="1:19">
      <c r="A100" s="131" t="s">
        <v>2399</v>
      </c>
      <c r="B100" s="77"/>
      <c r="C100" s="106">
        <f t="shared" si="10"/>
        <v>16437.332999999999</v>
      </c>
      <c r="D100" s="106">
        <f t="shared" si="10"/>
        <v>16274.564</v>
      </c>
      <c r="E100" s="106">
        <f t="shared" si="10"/>
        <v>16254.268</v>
      </c>
      <c r="F100" s="106">
        <f t="shared" si="10"/>
        <v>16474.791000000001</v>
      </c>
      <c r="G100" s="106">
        <f t="shared" si="10"/>
        <v>16211.932000000001</v>
      </c>
      <c r="H100" s="106">
        <f t="shared" si="10"/>
        <v>17031.564999999999</v>
      </c>
      <c r="I100" s="106">
        <f t="shared" si="10"/>
        <v>16479.297999999999</v>
      </c>
      <c r="J100" s="106">
        <f t="shared" si="10"/>
        <v>16393.999</v>
      </c>
      <c r="K100" s="106">
        <f t="shared" si="10"/>
        <v>17425.798999999999</v>
      </c>
      <c r="L100" s="106">
        <f t="shared" si="10"/>
        <v>16144.83</v>
      </c>
      <c r="M100" s="106">
        <f t="shared" si="10"/>
        <v>15360.35</v>
      </c>
      <c r="N100" s="106">
        <f t="shared" si="10"/>
        <v>-57376.377119999997</v>
      </c>
      <c r="O100" s="106">
        <f t="shared" si="10"/>
        <v>123112.35188</v>
      </c>
      <c r="P100" s="77"/>
      <c r="Q100" s="77"/>
      <c r="R100" s="77"/>
      <c r="S100" s="77"/>
    </row>
    <row r="101" spans="1:19">
      <c r="A101" s="131" t="s">
        <v>2400</v>
      </c>
      <c r="B101" s="77"/>
      <c r="C101" s="106">
        <f t="shared" si="10"/>
        <v>36190.500999999997</v>
      </c>
      <c r="D101" s="106">
        <f t="shared" si="10"/>
        <v>35813.033000000003</v>
      </c>
      <c r="E101" s="106">
        <f t="shared" si="10"/>
        <v>33924.413</v>
      </c>
      <c r="F101" s="106">
        <f t="shared" si="10"/>
        <v>33857.317000000003</v>
      </c>
      <c r="G101" s="106">
        <f t="shared" si="10"/>
        <v>34884.633000000002</v>
      </c>
      <c r="H101" s="106">
        <f t="shared" si="10"/>
        <v>37147.800999999999</v>
      </c>
      <c r="I101" s="106">
        <f t="shared" si="10"/>
        <v>33986.000999999997</v>
      </c>
      <c r="J101" s="106">
        <f t="shared" si="10"/>
        <v>34799.300000000003</v>
      </c>
      <c r="K101" s="106">
        <f t="shared" si="10"/>
        <v>38298.567000000003</v>
      </c>
      <c r="L101" s="106">
        <f t="shared" si="10"/>
        <v>33875.633999999998</v>
      </c>
      <c r="M101" s="106">
        <f t="shared" si="10"/>
        <v>33764.055</v>
      </c>
      <c r="N101" s="106">
        <f t="shared" si="10"/>
        <v>38381.917000000001</v>
      </c>
      <c r="O101" s="106">
        <f t="shared" si="10"/>
        <v>424923.17200000002</v>
      </c>
      <c r="P101" s="77"/>
      <c r="Q101" s="77"/>
      <c r="R101" s="77"/>
      <c r="S101" s="77"/>
    </row>
    <row r="102" spans="1:19">
      <c r="A102" s="131" t="s">
        <v>2401</v>
      </c>
      <c r="B102" s="77"/>
      <c r="C102" s="106">
        <f t="shared" si="10"/>
        <v>94723.862999999998</v>
      </c>
      <c r="D102" s="106">
        <f t="shared" si="10"/>
        <v>87020.865999999995</v>
      </c>
      <c r="E102" s="106">
        <f t="shared" si="10"/>
        <v>82039.502999999997</v>
      </c>
      <c r="F102" s="106">
        <f t="shared" si="10"/>
        <v>94277.933000000005</v>
      </c>
      <c r="G102" s="106">
        <f t="shared" si="10"/>
        <v>69727.032000000007</v>
      </c>
      <c r="H102" s="106">
        <f t="shared" si="10"/>
        <v>87191.264999999999</v>
      </c>
      <c r="I102" s="106">
        <f t="shared" si="10"/>
        <v>88913.097999999998</v>
      </c>
      <c r="J102" s="106">
        <f t="shared" si="10"/>
        <v>84810.832999999999</v>
      </c>
      <c r="K102" s="106">
        <f t="shared" si="10"/>
        <v>90197.163</v>
      </c>
      <c r="L102" s="106">
        <f t="shared" si="10"/>
        <v>87190.630999999994</v>
      </c>
      <c r="M102" s="106">
        <f t="shared" si="10"/>
        <v>83214.792000000001</v>
      </c>
      <c r="N102" s="106">
        <f t="shared" si="10"/>
        <v>92626.005000000005</v>
      </c>
      <c r="O102" s="106">
        <f t="shared" si="10"/>
        <v>1041932.9840000001</v>
      </c>
      <c r="P102" s="77"/>
      <c r="Q102" s="77"/>
      <c r="R102" s="77"/>
      <c r="S102" s="77"/>
    </row>
    <row r="103" spans="1:19">
      <c r="A103" s="131" t="s">
        <v>2402</v>
      </c>
      <c r="B103" s="77"/>
      <c r="C103" s="106">
        <f t="shared" si="10"/>
        <v>423839.93099999998</v>
      </c>
      <c r="D103" s="106">
        <f t="shared" si="10"/>
        <v>387188.75699999998</v>
      </c>
      <c r="E103" s="106">
        <f t="shared" si="10"/>
        <v>388239.98200000002</v>
      </c>
      <c r="F103" s="106">
        <f t="shared" si="10"/>
        <v>379370.27591999999</v>
      </c>
      <c r="G103" s="106">
        <f t="shared" si="10"/>
        <v>393289.64199999999</v>
      </c>
      <c r="H103" s="106">
        <f t="shared" si="10"/>
        <v>395650.48798999999</v>
      </c>
      <c r="I103" s="106">
        <f t="shared" si="10"/>
        <v>391992.74800000002</v>
      </c>
      <c r="J103" s="106">
        <f t="shared" si="10"/>
        <v>391199.821</v>
      </c>
      <c r="K103" s="106">
        <f t="shared" si="10"/>
        <v>405301.93400000001</v>
      </c>
      <c r="L103" s="106">
        <f t="shared" si="10"/>
        <v>382397.59600000002</v>
      </c>
      <c r="M103" s="106">
        <f t="shared" si="10"/>
        <v>375705.80822000001</v>
      </c>
      <c r="N103" s="106">
        <f t="shared" si="10"/>
        <v>418658.96399999998</v>
      </c>
      <c r="O103" s="106">
        <f t="shared" si="10"/>
        <v>4732835.9471300002</v>
      </c>
      <c r="P103" s="77"/>
      <c r="Q103" s="77"/>
      <c r="R103" s="77"/>
      <c r="S103" s="77"/>
    </row>
    <row r="104" spans="1:19">
      <c r="A104" s="131" t="s">
        <v>2403</v>
      </c>
      <c r="B104" s="77"/>
      <c r="C104" s="106">
        <f t="shared" si="10"/>
        <v>220619.03899999999</v>
      </c>
      <c r="D104" s="106">
        <f t="shared" si="10"/>
        <v>201931.54629</v>
      </c>
      <c r="E104" s="106">
        <f t="shared" si="10"/>
        <v>203174.64799999999</v>
      </c>
      <c r="F104" s="106">
        <f t="shared" si="10"/>
        <v>207838.198</v>
      </c>
      <c r="G104" s="106">
        <f t="shared" si="10"/>
        <v>204366.97899999999</v>
      </c>
      <c r="H104" s="106">
        <f t="shared" si="10"/>
        <v>209330.76500000001</v>
      </c>
      <c r="I104" s="106">
        <f t="shared" si="10"/>
        <v>211160.42800000001</v>
      </c>
      <c r="J104" s="106">
        <f t="shared" si="10"/>
        <v>206632.55300000001</v>
      </c>
      <c r="K104" s="106">
        <f t="shared" si="10"/>
        <v>214611.43799999999</v>
      </c>
      <c r="L104" s="106">
        <f t="shared" si="10"/>
        <v>200868.76800000001</v>
      </c>
      <c r="M104" s="106">
        <f t="shared" si="10"/>
        <v>199402.976</v>
      </c>
      <c r="N104" s="106">
        <f t="shared" si="10"/>
        <v>219307.83799999999</v>
      </c>
      <c r="O104" s="106">
        <f t="shared" si="10"/>
        <v>2499245.1762899999</v>
      </c>
      <c r="P104" s="77"/>
      <c r="Q104" s="77"/>
      <c r="R104" s="77"/>
      <c r="S104" s="77"/>
    </row>
    <row r="105" spans="1:19">
      <c r="A105" s="131" t="s">
        <v>2404</v>
      </c>
      <c r="B105" s="77"/>
      <c r="C105" s="106">
        <f t="shared" si="10"/>
        <v>0</v>
      </c>
      <c r="D105" s="106">
        <f t="shared" si="10"/>
        <v>0</v>
      </c>
      <c r="E105" s="106">
        <f t="shared" si="10"/>
        <v>0</v>
      </c>
      <c r="F105" s="106">
        <f t="shared" si="10"/>
        <v>0</v>
      </c>
      <c r="G105" s="106">
        <f t="shared" si="10"/>
        <v>0</v>
      </c>
      <c r="H105" s="106">
        <f t="shared" si="10"/>
        <v>0</v>
      </c>
      <c r="I105" s="106">
        <f t="shared" si="10"/>
        <v>0</v>
      </c>
      <c r="J105" s="106">
        <f t="shared" si="10"/>
        <v>0</v>
      </c>
      <c r="K105" s="106">
        <f t="shared" si="10"/>
        <v>0</v>
      </c>
      <c r="L105" s="106">
        <f t="shared" si="10"/>
        <v>0</v>
      </c>
      <c r="M105" s="106">
        <f t="shared" si="10"/>
        <v>0</v>
      </c>
      <c r="N105" s="106">
        <f t="shared" si="10"/>
        <v>0</v>
      </c>
      <c r="O105" s="106">
        <f t="shared" si="10"/>
        <v>0</v>
      </c>
      <c r="P105" s="77"/>
      <c r="Q105" s="77"/>
      <c r="R105" s="77"/>
      <c r="S105" s="77"/>
    </row>
    <row r="106" spans="1:19">
      <c r="A106" s="131" t="s">
        <v>2410</v>
      </c>
      <c r="B106" s="77"/>
      <c r="C106" s="106">
        <f t="shared" si="10"/>
        <v>0</v>
      </c>
      <c r="D106" s="106">
        <f t="shared" si="10"/>
        <v>0</v>
      </c>
      <c r="E106" s="106">
        <f t="shared" si="10"/>
        <v>0</v>
      </c>
      <c r="F106" s="106">
        <f t="shared" si="10"/>
        <v>0</v>
      </c>
      <c r="G106" s="106">
        <f t="shared" si="10"/>
        <v>0</v>
      </c>
      <c r="H106" s="106">
        <f t="shared" si="10"/>
        <v>0</v>
      </c>
      <c r="I106" s="106">
        <f t="shared" si="10"/>
        <v>0</v>
      </c>
      <c r="J106" s="106">
        <f t="shared" si="10"/>
        <v>0</v>
      </c>
      <c r="K106" s="106">
        <f t="shared" si="10"/>
        <v>0</v>
      </c>
      <c r="L106" s="106">
        <f t="shared" si="10"/>
        <v>0</v>
      </c>
      <c r="M106" s="106">
        <f t="shared" si="10"/>
        <v>0</v>
      </c>
      <c r="N106" s="106">
        <f t="shared" si="10"/>
        <v>0</v>
      </c>
      <c r="O106" s="106">
        <f t="shared" si="10"/>
        <v>0</v>
      </c>
      <c r="P106" s="77"/>
      <c r="Q106" s="77"/>
      <c r="R106" s="77"/>
      <c r="S106" s="77"/>
    </row>
    <row r="107" spans="1:19">
      <c r="A107" s="131" t="s">
        <v>2411</v>
      </c>
      <c r="B107" s="77"/>
      <c r="C107" s="106">
        <f t="shared" si="10"/>
        <v>0</v>
      </c>
      <c r="D107" s="106">
        <f t="shared" si="10"/>
        <v>0</v>
      </c>
      <c r="E107" s="106">
        <f t="shared" si="10"/>
        <v>0</v>
      </c>
      <c r="F107" s="106">
        <f t="shared" si="10"/>
        <v>0</v>
      </c>
      <c r="G107" s="106">
        <f t="shared" si="10"/>
        <v>0</v>
      </c>
      <c r="H107" s="106">
        <f t="shared" si="10"/>
        <v>0</v>
      </c>
      <c r="I107" s="106">
        <f t="shared" si="10"/>
        <v>0</v>
      </c>
      <c r="J107" s="106">
        <f t="shared" si="10"/>
        <v>0</v>
      </c>
      <c r="K107" s="106">
        <f t="shared" si="10"/>
        <v>0</v>
      </c>
      <c r="L107" s="106">
        <f t="shared" si="10"/>
        <v>0</v>
      </c>
      <c r="M107" s="106">
        <f t="shared" si="10"/>
        <v>0</v>
      </c>
      <c r="N107" s="106">
        <f t="shared" si="10"/>
        <v>0</v>
      </c>
      <c r="O107" s="106">
        <f t="shared" si="10"/>
        <v>0</v>
      </c>
      <c r="P107" s="77"/>
      <c r="Q107" s="77"/>
      <c r="R107" s="77"/>
      <c r="S107" s="77"/>
    </row>
    <row r="108" spans="1:19">
      <c r="A108" s="131" t="s">
        <v>2412</v>
      </c>
      <c r="B108" s="77"/>
      <c r="C108" s="106">
        <f t="shared" si="10"/>
        <v>0</v>
      </c>
      <c r="D108" s="106">
        <f t="shared" si="10"/>
        <v>0</v>
      </c>
      <c r="E108" s="106">
        <f t="shared" si="10"/>
        <v>0</v>
      </c>
      <c r="F108" s="106">
        <f t="shared" si="10"/>
        <v>0</v>
      </c>
      <c r="G108" s="106">
        <f t="shared" si="10"/>
        <v>0</v>
      </c>
      <c r="H108" s="106">
        <f t="shared" si="10"/>
        <v>0</v>
      </c>
      <c r="I108" s="106">
        <f t="shared" si="10"/>
        <v>0</v>
      </c>
      <c r="J108" s="106">
        <f t="shared" si="10"/>
        <v>0</v>
      </c>
      <c r="K108" s="106">
        <f t="shared" si="10"/>
        <v>0</v>
      </c>
      <c r="L108" s="106">
        <f t="shared" si="10"/>
        <v>0</v>
      </c>
      <c r="M108" s="106">
        <f t="shared" si="10"/>
        <v>0</v>
      </c>
      <c r="N108" s="106">
        <f t="shared" si="10"/>
        <v>0</v>
      </c>
      <c r="O108" s="106">
        <f t="shared" si="10"/>
        <v>0</v>
      </c>
      <c r="P108" s="77"/>
      <c r="Q108" s="77"/>
      <c r="R108" s="77"/>
      <c r="S108" s="77"/>
    </row>
    <row r="109" spans="1:19">
      <c r="A109" s="131" t="s">
        <v>2406</v>
      </c>
      <c r="B109" s="77"/>
      <c r="C109" s="106">
        <f t="shared" si="10"/>
        <v>0</v>
      </c>
      <c r="D109" s="106">
        <f t="shared" si="10"/>
        <v>0</v>
      </c>
      <c r="E109" s="106">
        <f t="shared" si="10"/>
        <v>0</v>
      </c>
      <c r="F109" s="106">
        <f t="shared" si="10"/>
        <v>0</v>
      </c>
      <c r="G109" s="106">
        <f t="shared" si="10"/>
        <v>0</v>
      </c>
      <c r="H109" s="106">
        <f t="shared" si="10"/>
        <v>0</v>
      </c>
      <c r="I109" s="106">
        <f t="shared" si="10"/>
        <v>0</v>
      </c>
      <c r="J109" s="106">
        <f t="shared" si="10"/>
        <v>0</v>
      </c>
      <c r="K109" s="106">
        <f t="shared" si="10"/>
        <v>0</v>
      </c>
      <c r="L109" s="106">
        <f t="shared" si="10"/>
        <v>0</v>
      </c>
      <c r="M109" s="106">
        <f t="shared" si="10"/>
        <v>0</v>
      </c>
      <c r="N109" s="106">
        <f t="shared" si="10"/>
        <v>0</v>
      </c>
      <c r="O109" s="106">
        <f t="shared" si="10"/>
        <v>0</v>
      </c>
      <c r="P109" s="77"/>
      <c r="Q109" s="77"/>
      <c r="R109" s="77"/>
      <c r="S109" s="77"/>
    </row>
    <row r="110" spans="1:19">
      <c r="A110" s="131" t="s">
        <v>2407</v>
      </c>
      <c r="B110" s="77"/>
      <c r="C110" s="106">
        <f t="shared" si="10"/>
        <v>0</v>
      </c>
      <c r="D110" s="106">
        <f t="shared" si="10"/>
        <v>0</v>
      </c>
      <c r="E110" s="106">
        <f t="shared" si="10"/>
        <v>0</v>
      </c>
      <c r="F110" s="106">
        <f t="shared" si="10"/>
        <v>0</v>
      </c>
      <c r="G110" s="106">
        <f t="shared" si="10"/>
        <v>0</v>
      </c>
      <c r="H110" s="106">
        <f t="shared" si="10"/>
        <v>0</v>
      </c>
      <c r="I110" s="106">
        <f t="shared" si="10"/>
        <v>0</v>
      </c>
      <c r="J110" s="106">
        <f t="shared" si="10"/>
        <v>0</v>
      </c>
      <c r="K110" s="106">
        <f t="shared" si="10"/>
        <v>0</v>
      </c>
      <c r="L110" s="106">
        <f t="shared" si="10"/>
        <v>0</v>
      </c>
      <c r="M110" s="106">
        <f t="shared" si="10"/>
        <v>0</v>
      </c>
      <c r="N110" s="106">
        <f t="shared" si="10"/>
        <v>0</v>
      </c>
      <c r="O110" s="106">
        <f t="shared" si="10"/>
        <v>0</v>
      </c>
      <c r="P110" s="77"/>
      <c r="Q110" s="77"/>
      <c r="R110" s="77"/>
      <c r="S110" s="77"/>
    </row>
    <row r="111" spans="1:19">
      <c r="A111" s="131"/>
      <c r="B111" s="77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77"/>
      <c r="Q111" s="77"/>
      <c r="R111" s="77"/>
      <c r="S111" s="77"/>
    </row>
    <row r="112" spans="1:19">
      <c r="A112" s="77"/>
      <c r="B112" s="77"/>
      <c r="C112" s="100">
        <f t="shared" ref="C112:N112" si="11">SUM(C87:C111)</f>
        <v>547354540.4263401</v>
      </c>
      <c r="D112" s="100">
        <f t="shared" si="11"/>
        <v>516536324.68428999</v>
      </c>
      <c r="E112" s="100">
        <f t="shared" si="11"/>
        <v>544642264.96499991</v>
      </c>
      <c r="F112" s="100">
        <f t="shared" si="11"/>
        <v>444134378.42592007</v>
      </c>
      <c r="G112" s="100">
        <f t="shared" si="11"/>
        <v>407170728.63099998</v>
      </c>
      <c r="H112" s="100">
        <f t="shared" si="11"/>
        <v>418743394.13499004</v>
      </c>
      <c r="I112" s="100">
        <f t="shared" si="11"/>
        <v>447379892.70099992</v>
      </c>
      <c r="J112" s="100">
        <f t="shared" si="11"/>
        <v>475019789.43999994</v>
      </c>
      <c r="K112" s="100">
        <f t="shared" si="11"/>
        <v>468097468.792</v>
      </c>
      <c r="L112" s="100">
        <f t="shared" si="11"/>
        <v>430408085.39300001</v>
      </c>
      <c r="M112" s="100">
        <f t="shared" si="11"/>
        <v>454247365.41122013</v>
      </c>
      <c r="N112" s="100">
        <f t="shared" si="11"/>
        <v>530380127.32321</v>
      </c>
      <c r="O112" s="100">
        <f>IF(ROUND(SUM(O87:O111),3)&lt;&gt;ROUND(SUM(C112:N112),3),#VALUE!,SUM(C112:N112))</f>
        <v>5684114360.3279696</v>
      </c>
      <c r="P112" s="77"/>
      <c r="Q112" s="77"/>
      <c r="R112" s="77"/>
      <c r="S112" s="77"/>
    </row>
    <row r="113" spans="1:19">
      <c r="A113" s="77"/>
      <c r="B113" s="77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06">
        <f>O112-O81</f>
        <v>0</v>
      </c>
      <c r="P113" s="77"/>
      <c r="Q113" s="77"/>
      <c r="R113" s="77"/>
      <c r="S113" s="77"/>
    </row>
    <row r="114" spans="1:19">
      <c r="A114" s="18" t="s">
        <v>421</v>
      </c>
      <c r="B114" t="s">
        <v>201</v>
      </c>
      <c r="C114" s="403">
        <v>8863219.3100000005</v>
      </c>
      <c r="D114" s="403">
        <v>7766660.1200000001</v>
      </c>
      <c r="E114" s="403">
        <v>8953352.6799999997</v>
      </c>
      <c r="F114" s="403">
        <v>8301723.1399999997</v>
      </c>
      <c r="G114" s="403">
        <v>8491115.4399999995</v>
      </c>
      <c r="H114" s="403">
        <v>8762877.9800000004</v>
      </c>
      <c r="I114" s="403">
        <v>8728638.6600000001</v>
      </c>
      <c r="J114" s="403">
        <v>9187464.9000000004</v>
      </c>
      <c r="K114" s="403">
        <v>9525559.4699999988</v>
      </c>
      <c r="L114" s="403">
        <v>8393192.3099999987</v>
      </c>
      <c r="M114" s="403">
        <v>8866972.8499999978</v>
      </c>
      <c r="N114" s="403">
        <v>9093281.5600000005</v>
      </c>
      <c r="O114" s="17">
        <f>SUM(C114:N114)</f>
        <v>104934058.42</v>
      </c>
      <c r="P114" s="77"/>
      <c r="Q114" s="77"/>
      <c r="R114" s="77"/>
      <c r="S114" s="77"/>
    </row>
    <row r="115" spans="1:19">
      <c r="A115" s="18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17"/>
      <c r="N115" s="99" t="s">
        <v>1120</v>
      </c>
      <c r="O115" s="142">
        <f>O114/(O91+O92-O116)</f>
        <v>7.6258610996285836E-2</v>
      </c>
      <c r="P115" s="77"/>
      <c r="Q115" s="77"/>
      <c r="R115" s="77"/>
      <c r="S115" s="77"/>
    </row>
    <row r="116" spans="1:19">
      <c r="A116" s="18" t="s">
        <v>2360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17">
        <f>SUM(C116:N116)</f>
        <v>0</v>
      </c>
      <c r="P116" s="77"/>
      <c r="Q116" s="77"/>
      <c r="R116" s="77"/>
      <c r="S116" s="77"/>
    </row>
    <row r="117" spans="1:19">
      <c r="A117" s="18"/>
      <c r="B117" s="195" t="s">
        <v>2377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17">
        <f>SUM(C117:N117)</f>
        <v>0</v>
      </c>
      <c r="P117" s="77"/>
      <c r="Q117" s="77"/>
      <c r="R117" s="77"/>
      <c r="S117" s="77"/>
    </row>
    <row r="118" spans="1:19">
      <c r="A118" s="18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17"/>
      <c r="N118" s="99"/>
      <c r="O118" s="142"/>
      <c r="P118" s="77"/>
      <c r="Q118" s="77"/>
      <c r="R118" s="77"/>
      <c r="S118" s="77"/>
    </row>
    <row r="119" spans="1:19">
      <c r="A119" s="134" t="s">
        <v>220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77" t="s">
        <v>221</v>
      </c>
      <c r="B121" s="135" t="s">
        <v>222</v>
      </c>
      <c r="C121" s="106">
        <f t="shared" ref="C121:O131" si="12">SUMIF($R$7:$R$81,$B121,C$7:C$81)</f>
        <v>279318865.35999995</v>
      </c>
      <c r="D121" s="106">
        <f t="shared" si="12"/>
        <v>258793332.03529</v>
      </c>
      <c r="E121" s="106">
        <f t="shared" si="12"/>
        <v>283478564.7209999</v>
      </c>
      <c r="F121" s="106">
        <f t="shared" si="12"/>
        <v>197526622.63899997</v>
      </c>
      <c r="G121" s="106">
        <f t="shared" si="12"/>
        <v>166003563.051</v>
      </c>
      <c r="H121" s="106">
        <f t="shared" si="12"/>
        <v>157234333.71899998</v>
      </c>
      <c r="I121" s="106">
        <f t="shared" si="12"/>
        <v>174438742.912</v>
      </c>
      <c r="J121" s="106">
        <f t="shared" si="12"/>
        <v>190723064.76599997</v>
      </c>
      <c r="K121" s="106">
        <f t="shared" si="12"/>
        <v>182981757.26400006</v>
      </c>
      <c r="L121" s="106">
        <f t="shared" si="12"/>
        <v>174282097.947</v>
      </c>
      <c r="M121" s="106">
        <f t="shared" si="12"/>
        <v>205178370.51600003</v>
      </c>
      <c r="N121" s="106">
        <f t="shared" si="12"/>
        <v>269218088.89599997</v>
      </c>
      <c r="O121" s="106">
        <f t="shared" si="12"/>
        <v>2539177403.8262901</v>
      </c>
      <c r="P121" s="77"/>
      <c r="Q121" s="77"/>
      <c r="R121" s="77"/>
      <c r="S121" s="77"/>
    </row>
    <row r="122" spans="1:19">
      <c r="A122" s="77" t="s">
        <v>223</v>
      </c>
      <c r="B122" s="135" t="s">
        <v>224</v>
      </c>
      <c r="C122" s="106">
        <f t="shared" si="12"/>
        <v>0</v>
      </c>
      <c r="D122" s="106">
        <f t="shared" si="12"/>
        <v>0</v>
      </c>
      <c r="E122" s="106">
        <f t="shared" si="12"/>
        <v>0</v>
      </c>
      <c r="F122" s="106">
        <f t="shared" si="12"/>
        <v>0</v>
      </c>
      <c r="G122" s="106">
        <f t="shared" si="12"/>
        <v>0</v>
      </c>
      <c r="H122" s="106">
        <f t="shared" si="12"/>
        <v>0</v>
      </c>
      <c r="I122" s="106">
        <f t="shared" si="12"/>
        <v>0</v>
      </c>
      <c r="J122" s="106">
        <f t="shared" si="12"/>
        <v>0</v>
      </c>
      <c r="K122" s="106">
        <f t="shared" si="12"/>
        <v>0</v>
      </c>
      <c r="L122" s="106">
        <f t="shared" si="12"/>
        <v>0</v>
      </c>
      <c r="M122" s="106">
        <f t="shared" si="12"/>
        <v>0</v>
      </c>
      <c r="N122" s="106">
        <f t="shared" si="12"/>
        <v>0</v>
      </c>
      <c r="O122" s="106">
        <f t="shared" si="12"/>
        <v>0</v>
      </c>
      <c r="P122" s="77"/>
      <c r="Q122" s="77"/>
      <c r="R122" s="77"/>
      <c r="S122" s="77"/>
    </row>
    <row r="123" spans="1:19">
      <c r="A123" s="77" t="s">
        <v>225</v>
      </c>
      <c r="B123" s="135" t="s">
        <v>226</v>
      </c>
      <c r="C123" s="106">
        <f t="shared" si="12"/>
        <v>187790684.67599997</v>
      </c>
      <c r="D123" s="106">
        <f t="shared" si="12"/>
        <v>179810241.03</v>
      </c>
      <c r="E123" s="106">
        <f t="shared" si="12"/>
        <v>187765399.42199999</v>
      </c>
      <c r="F123" s="106">
        <f t="shared" si="12"/>
        <v>169762141.21491998</v>
      </c>
      <c r="G123" s="106">
        <f t="shared" si="12"/>
        <v>166158727.07199997</v>
      </c>
      <c r="H123" s="106">
        <f t="shared" si="12"/>
        <v>173426363.26499</v>
      </c>
      <c r="I123" s="106">
        <f t="shared" si="12"/>
        <v>184425732.62400001</v>
      </c>
      <c r="J123" s="106">
        <f t="shared" si="12"/>
        <v>193368913.16999999</v>
      </c>
      <c r="K123" s="106">
        <f t="shared" si="12"/>
        <v>192940252.02199998</v>
      </c>
      <c r="L123" s="106">
        <f t="shared" si="12"/>
        <v>175035454.65800002</v>
      </c>
      <c r="M123" s="106">
        <f t="shared" si="12"/>
        <v>168655382.78621995</v>
      </c>
      <c r="N123" s="106">
        <f t="shared" si="12"/>
        <v>190026512.44599998</v>
      </c>
      <c r="O123" s="106">
        <f t="shared" si="12"/>
        <v>2169165804.3861299</v>
      </c>
      <c r="P123" s="77"/>
      <c r="Q123" s="77"/>
      <c r="R123" s="77"/>
      <c r="S123" s="77"/>
    </row>
    <row r="124" spans="1:19">
      <c r="A124" s="77" t="s">
        <v>227</v>
      </c>
      <c r="B124" s="135" t="s">
        <v>228</v>
      </c>
      <c r="C124" s="106">
        <f t="shared" si="12"/>
        <v>77697946.657000005</v>
      </c>
      <c r="D124" s="106">
        <f t="shared" si="12"/>
        <v>75618092.552000001</v>
      </c>
      <c r="E124" s="106">
        <f t="shared" si="12"/>
        <v>71080878.270000011</v>
      </c>
      <c r="F124" s="106">
        <f t="shared" si="12"/>
        <v>74436088.903999999</v>
      </c>
      <c r="G124" s="106">
        <f t="shared" si="12"/>
        <v>67373933.752000004</v>
      </c>
      <c r="H124" s="106">
        <f t="shared" si="12"/>
        <v>77506136.633000001</v>
      </c>
      <c r="I124" s="106">
        <f t="shared" si="12"/>
        <v>76349153.291000009</v>
      </c>
      <c r="J124" s="106">
        <f t="shared" si="12"/>
        <v>80113446.553000003</v>
      </c>
      <c r="K124" s="106">
        <f t="shared" si="12"/>
        <v>80745244.898000002</v>
      </c>
      <c r="L124" s="106">
        <f t="shared" si="12"/>
        <v>75870973.26699999</v>
      </c>
      <c r="M124" s="106">
        <f t="shared" si="12"/>
        <v>78117835.929999992</v>
      </c>
      <c r="N124" s="106">
        <f t="shared" si="12"/>
        <v>68953783.691000015</v>
      </c>
      <c r="O124" s="106">
        <f t="shared" si="12"/>
        <v>903863514.398</v>
      </c>
      <c r="P124" s="77"/>
      <c r="Q124" s="77"/>
      <c r="R124" s="77"/>
      <c r="S124" s="77"/>
    </row>
    <row r="125" spans="1:19">
      <c r="A125" s="77" t="s">
        <v>229</v>
      </c>
      <c r="B125" s="135" t="s">
        <v>230</v>
      </c>
      <c r="C125" s="106">
        <f t="shared" si="12"/>
        <v>453182.27399999998</v>
      </c>
      <c r="D125" s="106">
        <f t="shared" si="12"/>
        <v>332121.14000000007</v>
      </c>
      <c r="E125" s="106">
        <f t="shared" si="12"/>
        <v>351980.98399999994</v>
      </c>
      <c r="F125" s="106">
        <f t="shared" si="12"/>
        <v>512998.96499999997</v>
      </c>
      <c r="G125" s="106">
        <f t="shared" si="12"/>
        <v>5871098.1750000007</v>
      </c>
      <c r="H125" s="106">
        <f t="shared" si="12"/>
        <v>8828733.8259999994</v>
      </c>
      <c r="I125" s="106">
        <f t="shared" si="12"/>
        <v>10362301.727</v>
      </c>
      <c r="J125" s="106">
        <f t="shared" si="12"/>
        <v>9050873.4790000003</v>
      </c>
      <c r="K125" s="106">
        <f t="shared" si="12"/>
        <v>9574029.5779999997</v>
      </c>
      <c r="L125" s="106">
        <f t="shared" si="12"/>
        <v>3422927.8989999997</v>
      </c>
      <c r="M125" s="106">
        <f t="shared" si="12"/>
        <v>531723.83899999992</v>
      </c>
      <c r="N125" s="106">
        <f t="shared" si="12"/>
        <v>199261.98299999998</v>
      </c>
      <c r="O125" s="106">
        <f t="shared" si="12"/>
        <v>49491233.868999995</v>
      </c>
      <c r="P125" s="77"/>
      <c r="Q125" s="77"/>
      <c r="R125" s="77"/>
      <c r="S125" s="77"/>
    </row>
    <row r="126" spans="1:19">
      <c r="A126" s="77" t="s">
        <v>231</v>
      </c>
      <c r="B126" s="135" t="s">
        <v>232</v>
      </c>
      <c r="C126" s="106">
        <f t="shared" si="12"/>
        <v>943631.18634000013</v>
      </c>
      <c r="D126" s="106">
        <f t="shared" si="12"/>
        <v>876458.63400000008</v>
      </c>
      <c r="E126" s="106">
        <f t="shared" si="12"/>
        <v>865886.23600000003</v>
      </c>
      <c r="F126" s="106">
        <f t="shared" si="12"/>
        <v>917259.31099999987</v>
      </c>
      <c r="G126" s="106">
        <f t="shared" si="12"/>
        <v>883920.06</v>
      </c>
      <c r="H126" s="106">
        <f t="shared" si="12"/>
        <v>897989.68499999994</v>
      </c>
      <c r="I126" s="106">
        <f t="shared" si="12"/>
        <v>914592.69799999997</v>
      </c>
      <c r="J126" s="106">
        <f t="shared" si="12"/>
        <v>887690.26099999994</v>
      </c>
      <c r="K126" s="106">
        <f t="shared" si="12"/>
        <v>914961.08499999996</v>
      </c>
      <c r="L126" s="106">
        <f t="shared" si="12"/>
        <v>907043.84100000001</v>
      </c>
      <c r="M126" s="106">
        <f t="shared" si="12"/>
        <v>853144.36700000009</v>
      </c>
      <c r="N126" s="106">
        <f t="shared" si="12"/>
        <v>867265.17221000011</v>
      </c>
      <c r="O126" s="106">
        <f t="shared" si="12"/>
        <v>10729842.53655</v>
      </c>
      <c r="P126" s="77"/>
      <c r="Q126" s="77"/>
      <c r="R126" s="77"/>
      <c r="S126" s="77"/>
    </row>
    <row r="127" spans="1:19">
      <c r="A127" s="77" t="s">
        <v>233</v>
      </c>
      <c r="B127" s="135" t="s">
        <v>234</v>
      </c>
      <c r="C127" s="106">
        <f t="shared" si="12"/>
        <v>0</v>
      </c>
      <c r="D127" s="106">
        <f t="shared" si="12"/>
        <v>0</v>
      </c>
      <c r="E127" s="106">
        <f t="shared" si="12"/>
        <v>0</v>
      </c>
      <c r="F127" s="106">
        <f t="shared" si="12"/>
        <v>0</v>
      </c>
      <c r="G127" s="106">
        <f t="shared" si="12"/>
        <v>0</v>
      </c>
      <c r="H127" s="106">
        <f t="shared" si="12"/>
        <v>0</v>
      </c>
      <c r="I127" s="106">
        <f t="shared" si="12"/>
        <v>0</v>
      </c>
      <c r="J127" s="106">
        <f t="shared" si="12"/>
        <v>0</v>
      </c>
      <c r="K127" s="106">
        <f t="shared" si="12"/>
        <v>0</v>
      </c>
      <c r="L127" s="106">
        <f t="shared" si="12"/>
        <v>0</v>
      </c>
      <c r="M127" s="106">
        <f t="shared" si="12"/>
        <v>0</v>
      </c>
      <c r="N127" s="106">
        <f t="shared" si="12"/>
        <v>0</v>
      </c>
      <c r="O127" s="106">
        <f t="shared" si="12"/>
        <v>0</v>
      </c>
      <c r="P127" s="77"/>
      <c r="Q127" s="77"/>
      <c r="R127" s="77"/>
      <c r="S127" s="77"/>
    </row>
    <row r="128" spans="1:19">
      <c r="A128" s="77" t="s">
        <v>235</v>
      </c>
      <c r="B128" s="135" t="s">
        <v>236</v>
      </c>
      <c r="C128" s="106">
        <f t="shared" si="12"/>
        <v>1150230.273</v>
      </c>
      <c r="D128" s="106">
        <f t="shared" si="12"/>
        <v>1106079.2930000001</v>
      </c>
      <c r="E128" s="106">
        <f t="shared" si="12"/>
        <v>1099555.3320000002</v>
      </c>
      <c r="F128" s="106">
        <f t="shared" si="12"/>
        <v>979267.39199999988</v>
      </c>
      <c r="G128" s="106">
        <f t="shared" si="12"/>
        <v>879486.52099999995</v>
      </c>
      <c r="H128" s="106">
        <f t="shared" si="12"/>
        <v>849837.0070000001</v>
      </c>
      <c r="I128" s="106">
        <f t="shared" si="12"/>
        <v>889369.44899999991</v>
      </c>
      <c r="J128" s="106">
        <f t="shared" si="12"/>
        <v>875801.21100000001</v>
      </c>
      <c r="K128" s="106">
        <f t="shared" si="12"/>
        <v>941223.94500000007</v>
      </c>
      <c r="L128" s="106">
        <f t="shared" si="12"/>
        <v>889587.78099999996</v>
      </c>
      <c r="M128" s="106">
        <f t="shared" si="12"/>
        <v>910907.97300000011</v>
      </c>
      <c r="N128" s="106">
        <f t="shared" si="12"/>
        <v>1115215.1349999998</v>
      </c>
      <c r="O128" s="106">
        <f t="shared" si="12"/>
        <v>11686561.312000001</v>
      </c>
      <c r="P128" s="77"/>
      <c r="Q128" s="77"/>
      <c r="R128" s="77"/>
      <c r="S128" s="77"/>
    </row>
    <row r="129" spans="1:19">
      <c r="A129" s="77" t="s">
        <v>237</v>
      </c>
      <c r="B129" s="135" t="s">
        <v>238</v>
      </c>
      <c r="C129" s="106">
        <f t="shared" si="12"/>
        <v>0</v>
      </c>
      <c r="D129" s="106">
        <f t="shared" si="12"/>
        <v>0</v>
      </c>
      <c r="E129" s="106">
        <f t="shared" si="12"/>
        <v>0</v>
      </c>
      <c r="F129" s="106">
        <f t="shared" si="12"/>
        <v>0</v>
      </c>
      <c r="G129" s="106">
        <f t="shared" si="12"/>
        <v>0</v>
      </c>
      <c r="H129" s="106">
        <f t="shared" si="12"/>
        <v>0</v>
      </c>
      <c r="I129" s="106">
        <f t="shared" si="12"/>
        <v>0</v>
      </c>
      <c r="J129" s="106">
        <f t="shared" si="12"/>
        <v>0</v>
      </c>
      <c r="K129" s="106">
        <f t="shared" si="12"/>
        <v>0</v>
      </c>
      <c r="L129" s="106">
        <f t="shared" si="12"/>
        <v>0</v>
      </c>
      <c r="M129" s="106">
        <f t="shared" si="12"/>
        <v>0</v>
      </c>
      <c r="N129" s="106">
        <f t="shared" si="12"/>
        <v>0</v>
      </c>
      <c r="O129" s="106">
        <f t="shared" si="12"/>
        <v>0</v>
      </c>
      <c r="P129" s="77"/>
      <c r="Q129" s="77"/>
      <c r="R129" s="77"/>
      <c r="S129" s="77"/>
    </row>
    <row r="130" spans="1:19">
      <c r="A130" s="77" t="s">
        <v>239</v>
      </c>
      <c r="B130" s="135" t="s">
        <v>240</v>
      </c>
      <c r="C130" s="106">
        <f t="shared" si="12"/>
        <v>0</v>
      </c>
      <c r="D130" s="106">
        <f t="shared" si="12"/>
        <v>0</v>
      </c>
      <c r="E130" s="106">
        <f t="shared" si="12"/>
        <v>0</v>
      </c>
      <c r="F130" s="106">
        <f t="shared" si="12"/>
        <v>0</v>
      </c>
      <c r="G130" s="106">
        <f t="shared" si="12"/>
        <v>0</v>
      </c>
      <c r="H130" s="106">
        <f t="shared" si="12"/>
        <v>0</v>
      </c>
      <c r="I130" s="106">
        <f t="shared" si="12"/>
        <v>0</v>
      </c>
      <c r="J130" s="106">
        <f t="shared" si="12"/>
        <v>0</v>
      </c>
      <c r="K130" s="106">
        <f t="shared" si="12"/>
        <v>0</v>
      </c>
      <c r="L130" s="106">
        <f t="shared" si="12"/>
        <v>0</v>
      </c>
      <c r="M130" s="106">
        <f t="shared" si="12"/>
        <v>0</v>
      </c>
      <c r="N130" s="106">
        <f t="shared" si="12"/>
        <v>0</v>
      </c>
      <c r="O130" s="106">
        <f t="shared" si="12"/>
        <v>0</v>
      </c>
      <c r="P130" s="77"/>
      <c r="Q130" s="77"/>
      <c r="R130" s="77"/>
      <c r="S130" s="77"/>
    </row>
    <row r="131" spans="1:19">
      <c r="A131" s="77" t="s">
        <v>241</v>
      </c>
      <c r="B131" s="135" t="s">
        <v>242</v>
      </c>
      <c r="C131" s="106">
        <f t="shared" si="12"/>
        <v>0</v>
      </c>
      <c r="D131" s="106">
        <f t="shared" si="12"/>
        <v>0</v>
      </c>
      <c r="E131" s="106">
        <f t="shared" si="12"/>
        <v>0</v>
      </c>
      <c r="F131" s="106">
        <f t="shared" si="12"/>
        <v>0</v>
      </c>
      <c r="G131" s="106">
        <f t="shared" si="12"/>
        <v>0</v>
      </c>
      <c r="H131" s="106">
        <f t="shared" si="12"/>
        <v>0</v>
      </c>
      <c r="I131" s="106">
        <f t="shared" si="12"/>
        <v>0</v>
      </c>
      <c r="J131" s="106">
        <f t="shared" si="12"/>
        <v>0</v>
      </c>
      <c r="K131" s="106">
        <f t="shared" si="12"/>
        <v>0</v>
      </c>
      <c r="L131" s="106">
        <f t="shared" si="12"/>
        <v>0</v>
      </c>
      <c r="M131" s="106">
        <f t="shared" si="12"/>
        <v>0</v>
      </c>
      <c r="N131" s="106">
        <f t="shared" si="12"/>
        <v>0</v>
      </c>
      <c r="O131" s="106">
        <f t="shared" si="12"/>
        <v>0</v>
      </c>
      <c r="P131" s="77"/>
      <c r="Q131" s="77"/>
      <c r="R131" s="77"/>
      <c r="S131" s="77"/>
    </row>
    <row r="132" spans="1:19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77"/>
      <c r="B133" s="77"/>
      <c r="C133" s="100">
        <f>SUM(C121:C132)</f>
        <v>547354540.42633986</v>
      </c>
      <c r="D133" s="100">
        <f t="shared" ref="D133:N133" si="13">SUM(D121:D132)</f>
        <v>516536324.68428993</v>
      </c>
      <c r="E133" s="100">
        <f t="shared" si="13"/>
        <v>544642264.96499979</v>
      </c>
      <c r="F133" s="100">
        <f t="shared" si="13"/>
        <v>444134378.42591995</v>
      </c>
      <c r="G133" s="100">
        <f t="shared" si="13"/>
        <v>407170728.63100004</v>
      </c>
      <c r="H133" s="100">
        <f t="shared" si="13"/>
        <v>418743394.13498998</v>
      </c>
      <c r="I133" s="100">
        <f t="shared" si="13"/>
        <v>447379892.70100003</v>
      </c>
      <c r="J133" s="100">
        <f t="shared" si="13"/>
        <v>475019789.43999994</v>
      </c>
      <c r="K133" s="100">
        <f t="shared" si="13"/>
        <v>468097468.792</v>
      </c>
      <c r="L133" s="100">
        <f t="shared" si="13"/>
        <v>430408085.39300001</v>
      </c>
      <c r="M133" s="100">
        <f t="shared" si="13"/>
        <v>454247365.41121995</v>
      </c>
      <c r="N133" s="100">
        <f t="shared" si="13"/>
        <v>530380127.32320994</v>
      </c>
      <c r="O133" s="100">
        <f>IF(ROUND(SUM(O121:O132),3)&lt;&gt;ROUND(SUM(C133:N133),3),#VALUE!,SUM(C133:N133))</f>
        <v>5684114360.3279696</v>
      </c>
      <c r="P133" s="77"/>
      <c r="Q133" s="77"/>
      <c r="R133" s="77"/>
      <c r="S133" s="77"/>
    </row>
    <row r="134" spans="1:19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106">
        <f>O133-O112</f>
        <v>0</v>
      </c>
      <c r="P134" s="77"/>
      <c r="Q134" s="77"/>
      <c r="R134" s="77"/>
      <c r="S134" s="77"/>
    </row>
    <row r="135" spans="1:19">
      <c r="A135" s="137" t="s">
        <v>203</v>
      </c>
    </row>
    <row r="136" spans="1:19">
      <c r="A136" t="s">
        <v>215</v>
      </c>
      <c r="B136" t="s">
        <v>206</v>
      </c>
      <c r="C136" s="106">
        <f t="shared" ref="C136:O141" si="14">SUMIF($S$6:$S$81,$A136,C$6:C$81)</f>
        <v>0</v>
      </c>
      <c r="D136" s="106">
        <f t="shared" si="14"/>
        <v>0</v>
      </c>
      <c r="E136" s="106">
        <f t="shared" si="14"/>
        <v>0</v>
      </c>
      <c r="F136" s="106">
        <f t="shared" si="14"/>
        <v>0</v>
      </c>
      <c r="G136" s="106">
        <f t="shared" si="14"/>
        <v>0</v>
      </c>
      <c r="H136" s="106">
        <f t="shared" si="14"/>
        <v>0</v>
      </c>
      <c r="I136" s="106">
        <f t="shared" si="14"/>
        <v>0</v>
      </c>
      <c r="J136" s="106">
        <f t="shared" si="14"/>
        <v>0</v>
      </c>
      <c r="K136" s="106">
        <f t="shared" si="14"/>
        <v>0</v>
      </c>
      <c r="L136" s="106">
        <f t="shared" si="14"/>
        <v>0</v>
      </c>
      <c r="M136" s="106">
        <f t="shared" si="14"/>
        <v>0</v>
      </c>
      <c r="N136" s="106">
        <f t="shared" si="14"/>
        <v>0</v>
      </c>
      <c r="O136" s="106">
        <f t="shared" si="14"/>
        <v>0</v>
      </c>
    </row>
    <row r="137" spans="1:19">
      <c r="A137" t="s">
        <v>216</v>
      </c>
      <c r="B137" t="s">
        <v>204</v>
      </c>
      <c r="C137" s="106">
        <f t="shared" si="14"/>
        <v>52204865.358000003</v>
      </c>
      <c r="D137" s="106">
        <f t="shared" si="14"/>
        <v>50384882.325000003</v>
      </c>
      <c r="E137" s="106">
        <f t="shared" si="14"/>
        <v>53431836.902999997</v>
      </c>
      <c r="F137" s="106">
        <f t="shared" si="14"/>
        <v>44142454.785999998</v>
      </c>
      <c r="G137" s="106">
        <f t="shared" si="14"/>
        <v>40868139.688000001</v>
      </c>
      <c r="H137" s="106">
        <f t="shared" si="14"/>
        <v>41132675.622000001</v>
      </c>
      <c r="I137" s="106">
        <f t="shared" si="14"/>
        <v>44115492.042000003</v>
      </c>
      <c r="J137" s="106">
        <f t="shared" si="14"/>
        <v>46706146.339000002</v>
      </c>
      <c r="K137" s="106">
        <f t="shared" si="14"/>
        <v>46466542.964000002</v>
      </c>
      <c r="L137" s="106">
        <f t="shared" si="14"/>
        <v>41705342.523000002</v>
      </c>
      <c r="M137" s="106">
        <f t="shared" si="14"/>
        <v>43896552.982000001</v>
      </c>
      <c r="N137" s="106">
        <f t="shared" si="14"/>
        <v>52663422.807999998</v>
      </c>
      <c r="O137" s="106">
        <f t="shared" si="14"/>
        <v>557718354.34000003</v>
      </c>
    </row>
    <row r="138" spans="1:19">
      <c r="A138" s="233" t="s">
        <v>2422</v>
      </c>
      <c r="B138" t="s">
        <v>2420</v>
      </c>
      <c r="C138" s="106">
        <f t="shared" si="14"/>
        <v>630129.78300000005</v>
      </c>
      <c r="D138" s="106">
        <f t="shared" si="14"/>
        <v>619867.755</v>
      </c>
      <c r="E138" s="106">
        <f t="shared" si="14"/>
        <v>654713.59400000004</v>
      </c>
      <c r="F138" s="106">
        <f t="shared" si="14"/>
        <v>493718.00599999999</v>
      </c>
      <c r="G138" s="106">
        <f t="shared" si="14"/>
        <v>428191.85800000001</v>
      </c>
      <c r="H138" s="106">
        <f t="shared" si="14"/>
        <v>416767.65299999999</v>
      </c>
      <c r="I138" s="106">
        <f t="shared" si="14"/>
        <v>414400.90899999999</v>
      </c>
      <c r="J138" s="106">
        <f t="shared" si="14"/>
        <v>438267.18199999997</v>
      </c>
      <c r="K138" s="106">
        <f t="shared" si="14"/>
        <v>428792.67700000003</v>
      </c>
      <c r="L138" s="106">
        <f t="shared" si="14"/>
        <v>440346.75099999999</v>
      </c>
      <c r="M138" s="106">
        <f t="shared" si="14"/>
        <v>552804.66899999999</v>
      </c>
      <c r="N138" s="106">
        <f t="shared" si="14"/>
        <v>581068.89300000004</v>
      </c>
      <c r="O138" s="106">
        <f t="shared" si="14"/>
        <v>6099069.7300000004</v>
      </c>
    </row>
    <row r="139" spans="1:19">
      <c r="A139" t="s">
        <v>217</v>
      </c>
      <c r="B139" t="s">
        <v>205</v>
      </c>
      <c r="C139" s="106">
        <f t="shared" si="14"/>
        <v>6837294.8020000001</v>
      </c>
      <c r="D139" s="106">
        <f t="shared" si="14"/>
        <v>6592706.4720000001</v>
      </c>
      <c r="E139" s="106">
        <f t="shared" si="14"/>
        <v>7219460.682</v>
      </c>
      <c r="F139" s="106">
        <f t="shared" si="14"/>
        <v>5132241.7479999997</v>
      </c>
      <c r="G139" s="106">
        <f t="shared" si="14"/>
        <v>4021853.8829999999</v>
      </c>
      <c r="H139" s="106">
        <f t="shared" si="14"/>
        <v>3596510.247</v>
      </c>
      <c r="I139" s="106">
        <f t="shared" si="14"/>
        <v>3730905.6179999998</v>
      </c>
      <c r="J139" s="106">
        <f t="shared" si="14"/>
        <v>3971285.0460000001</v>
      </c>
      <c r="K139" s="106">
        <f t="shared" si="14"/>
        <v>4020595.1940000001</v>
      </c>
      <c r="L139" s="106">
        <f t="shared" si="14"/>
        <v>4234166.5070000002</v>
      </c>
      <c r="M139" s="106">
        <f t="shared" si="14"/>
        <v>4985396.8720000004</v>
      </c>
      <c r="N139" s="106">
        <f t="shared" si="14"/>
        <v>6674914.3899999997</v>
      </c>
      <c r="O139" s="106">
        <f t="shared" si="14"/>
        <v>61017331.461000003</v>
      </c>
    </row>
    <row r="140" spans="1:19">
      <c r="A140" s="77" t="s">
        <v>207</v>
      </c>
      <c r="B140" t="s">
        <v>208</v>
      </c>
      <c r="C140" s="106">
        <f t="shared" si="14"/>
        <v>0</v>
      </c>
      <c r="D140" s="106">
        <f t="shared" si="14"/>
        <v>0</v>
      </c>
      <c r="E140" s="106">
        <f t="shared" si="14"/>
        <v>0</v>
      </c>
      <c r="F140" s="106">
        <f t="shared" si="14"/>
        <v>0</v>
      </c>
      <c r="G140" s="106">
        <f t="shared" si="14"/>
        <v>0</v>
      </c>
      <c r="H140" s="106">
        <f t="shared" si="14"/>
        <v>0</v>
      </c>
      <c r="I140" s="106">
        <f t="shared" si="14"/>
        <v>0</v>
      </c>
      <c r="J140" s="106">
        <f t="shared" si="14"/>
        <v>0</v>
      </c>
      <c r="K140" s="106">
        <f t="shared" si="14"/>
        <v>0</v>
      </c>
      <c r="L140" s="106">
        <f t="shared" si="14"/>
        <v>0</v>
      </c>
      <c r="M140" s="106">
        <f t="shared" si="14"/>
        <v>0</v>
      </c>
      <c r="N140" s="106">
        <f t="shared" si="14"/>
        <v>0</v>
      </c>
      <c r="O140" s="106">
        <f t="shared" si="14"/>
        <v>0</v>
      </c>
    </row>
    <row r="141" spans="1:19">
      <c r="A141" s="233" t="s">
        <v>2423</v>
      </c>
      <c r="B141" t="s">
        <v>2421</v>
      </c>
      <c r="C141" s="106">
        <f t="shared" si="14"/>
        <v>0</v>
      </c>
      <c r="D141" s="106">
        <f t="shared" si="14"/>
        <v>0</v>
      </c>
      <c r="E141" s="106">
        <f t="shared" si="14"/>
        <v>0</v>
      </c>
      <c r="F141" s="106">
        <f t="shared" si="14"/>
        <v>0</v>
      </c>
      <c r="G141" s="106">
        <f t="shared" si="14"/>
        <v>0</v>
      </c>
      <c r="H141" s="106">
        <f t="shared" si="14"/>
        <v>0</v>
      </c>
      <c r="I141" s="106">
        <f t="shared" si="14"/>
        <v>0</v>
      </c>
      <c r="J141" s="106">
        <f t="shared" si="14"/>
        <v>0</v>
      </c>
      <c r="K141" s="106">
        <f t="shared" si="14"/>
        <v>0</v>
      </c>
      <c r="L141" s="106">
        <f t="shared" si="14"/>
        <v>0</v>
      </c>
      <c r="M141" s="106">
        <f t="shared" si="14"/>
        <v>0</v>
      </c>
      <c r="N141" s="106">
        <f t="shared" si="14"/>
        <v>0</v>
      </c>
      <c r="O141" s="106">
        <f t="shared" si="14"/>
        <v>0</v>
      </c>
    </row>
    <row r="142" spans="1:19">
      <c r="C142" s="133">
        <f>SUM(C136:C141)</f>
        <v>59672289.943000004</v>
      </c>
      <c r="D142" s="133">
        <f t="shared" ref="D142:N142" si="15">SUM(D136:D141)</f>
        <v>57597456.552000009</v>
      </c>
      <c r="E142" s="133">
        <f t="shared" si="15"/>
        <v>61306011.17899999</v>
      </c>
      <c r="F142" s="133">
        <f t="shared" si="15"/>
        <v>49768414.539999992</v>
      </c>
      <c r="G142" s="133">
        <f t="shared" si="15"/>
        <v>45318185.429000005</v>
      </c>
      <c r="H142" s="133">
        <f t="shared" si="15"/>
        <v>45145953.522</v>
      </c>
      <c r="I142" s="133">
        <f t="shared" si="15"/>
        <v>48260798.569000006</v>
      </c>
      <c r="J142" s="133">
        <f t="shared" si="15"/>
        <v>51115698.567000002</v>
      </c>
      <c r="K142" s="133">
        <f t="shared" si="15"/>
        <v>50915930.835000001</v>
      </c>
      <c r="L142" s="133">
        <f t="shared" si="15"/>
        <v>46379855.781000003</v>
      </c>
      <c r="M142" s="133">
        <f t="shared" si="15"/>
        <v>49434754.523000002</v>
      </c>
      <c r="N142" s="133">
        <f t="shared" si="15"/>
        <v>59919406.090999998</v>
      </c>
      <c r="O142" s="133">
        <f>SUM(O136:O141)</f>
        <v>624834755.53100002</v>
      </c>
    </row>
    <row r="144" spans="1:19">
      <c r="B144" t="s">
        <v>209</v>
      </c>
      <c r="C144" s="132">
        <f>SUM(C89:C90)</f>
        <v>59920327.123000003</v>
      </c>
      <c r="D144" s="132">
        <f t="shared" ref="D144:N144" si="16">SUM(D89:D90)</f>
        <v>57839488.487000003</v>
      </c>
      <c r="E144" s="132">
        <f t="shared" si="16"/>
        <v>61576960.423999995</v>
      </c>
      <c r="F144" s="132">
        <f t="shared" si="16"/>
        <v>49969768.848000005</v>
      </c>
      <c r="G144" s="132">
        <f t="shared" si="16"/>
        <v>45483877.745000005</v>
      </c>
      <c r="H144" s="132">
        <f t="shared" si="16"/>
        <v>45253592.461000003</v>
      </c>
      <c r="I144" s="132">
        <f t="shared" si="16"/>
        <v>48403035.067000002</v>
      </c>
      <c r="J144" s="132">
        <f t="shared" si="16"/>
        <v>51264596.408000007</v>
      </c>
      <c r="K144" s="132">
        <f t="shared" si="16"/>
        <v>51101182.038999997</v>
      </c>
      <c r="L144" s="132">
        <f t="shared" si="16"/>
        <v>46524849.420999996</v>
      </c>
      <c r="M144" s="132">
        <f t="shared" si="16"/>
        <v>49608710.002999999</v>
      </c>
      <c r="N144" s="132">
        <f t="shared" si="16"/>
        <v>60149114.509999998</v>
      </c>
      <c r="O144" s="132">
        <f>SUM(O89:O90)</f>
        <v>627095502.53600001</v>
      </c>
    </row>
    <row r="145" spans="1:15">
      <c r="B145" s="234" t="s">
        <v>210</v>
      </c>
      <c r="C145" s="132">
        <f>C142</f>
        <v>59672289.943000004</v>
      </c>
      <c r="D145" s="132">
        <f t="shared" ref="D145:N145" si="17">D142</f>
        <v>57597456.552000009</v>
      </c>
      <c r="E145" s="132">
        <f t="shared" si="17"/>
        <v>61306011.17899999</v>
      </c>
      <c r="F145" s="132">
        <f t="shared" si="17"/>
        <v>49768414.539999992</v>
      </c>
      <c r="G145" s="132">
        <f t="shared" si="17"/>
        <v>45318185.429000005</v>
      </c>
      <c r="H145" s="132">
        <f t="shared" si="17"/>
        <v>45145953.522</v>
      </c>
      <c r="I145" s="132">
        <f t="shared" si="17"/>
        <v>48260798.569000006</v>
      </c>
      <c r="J145" s="132">
        <f t="shared" si="17"/>
        <v>51115698.567000002</v>
      </c>
      <c r="K145" s="132">
        <f t="shared" si="17"/>
        <v>50915930.835000001</v>
      </c>
      <c r="L145" s="132">
        <f t="shared" si="17"/>
        <v>46379855.781000003</v>
      </c>
      <c r="M145" s="132">
        <f t="shared" si="17"/>
        <v>49434754.523000002</v>
      </c>
      <c r="N145" s="132">
        <f t="shared" si="17"/>
        <v>59919406.090999998</v>
      </c>
      <c r="O145" s="132">
        <f>O142</f>
        <v>624834755.53100002</v>
      </c>
    </row>
    <row r="146" spans="1:15">
      <c r="B146" t="s">
        <v>211</v>
      </c>
      <c r="C146" s="133">
        <f>C144-C145</f>
        <v>248037.1799999997</v>
      </c>
      <c r="D146" s="133">
        <f t="shared" ref="D146:N146" si="18">D144-D145</f>
        <v>242031.93499999493</v>
      </c>
      <c r="E146" s="133">
        <f t="shared" si="18"/>
        <v>270949.24500000477</v>
      </c>
      <c r="F146" s="133">
        <f t="shared" si="18"/>
        <v>201354.30800001323</v>
      </c>
      <c r="G146" s="133">
        <f t="shared" si="18"/>
        <v>165692.31599999964</v>
      </c>
      <c r="H146" s="133">
        <f t="shared" si="18"/>
        <v>107638.93900000304</v>
      </c>
      <c r="I146" s="133">
        <f t="shared" si="18"/>
        <v>142236.49799999595</v>
      </c>
      <c r="J146" s="133">
        <f t="shared" si="18"/>
        <v>148897.8410000056</v>
      </c>
      <c r="K146" s="133">
        <f t="shared" si="18"/>
        <v>185251.20399999619</v>
      </c>
      <c r="L146" s="133">
        <f t="shared" si="18"/>
        <v>144993.63999999315</v>
      </c>
      <c r="M146" s="133">
        <f t="shared" si="18"/>
        <v>173955.47999999672</v>
      </c>
      <c r="N146" s="133">
        <f t="shared" si="18"/>
        <v>229708.41899999976</v>
      </c>
      <c r="O146" s="133">
        <f>IF(ROUND(O144-O145,3)&lt;&gt;ROUND(SUM(C146:N146),3),#VALUE!,SUM(C146:N146))</f>
        <v>2260747.0050000027</v>
      </c>
    </row>
    <row r="148" spans="1:15">
      <c r="A148" s="137" t="s">
        <v>203</v>
      </c>
    </row>
    <row r="149" spans="1:15">
      <c r="A149" s="233" t="s">
        <v>2424</v>
      </c>
      <c r="B149" t="s">
        <v>2428</v>
      </c>
      <c r="C149" s="106">
        <f t="shared" ref="C149:O152" si="19">SUMIF($S$6:$S$81,$A149,C$6:C$81)</f>
        <v>0</v>
      </c>
      <c r="D149" s="106">
        <f t="shared" si="19"/>
        <v>0</v>
      </c>
      <c r="E149" s="106">
        <f t="shared" si="19"/>
        <v>0</v>
      </c>
      <c r="F149" s="106">
        <f t="shared" si="19"/>
        <v>0</v>
      </c>
      <c r="G149" s="106">
        <f t="shared" si="19"/>
        <v>0</v>
      </c>
      <c r="H149" s="106">
        <f t="shared" si="19"/>
        <v>0</v>
      </c>
      <c r="I149" s="106">
        <f t="shared" si="19"/>
        <v>0</v>
      </c>
      <c r="J149" s="106">
        <f t="shared" si="19"/>
        <v>0</v>
      </c>
      <c r="K149" s="106">
        <f t="shared" si="19"/>
        <v>0</v>
      </c>
      <c r="L149" s="106">
        <f t="shared" si="19"/>
        <v>0</v>
      </c>
      <c r="M149" s="106">
        <f t="shared" si="19"/>
        <v>0</v>
      </c>
      <c r="N149" s="106">
        <f t="shared" si="19"/>
        <v>0</v>
      </c>
      <c r="O149" s="106">
        <f t="shared" si="19"/>
        <v>0</v>
      </c>
    </row>
    <row r="150" spans="1:15">
      <c r="A150" s="233" t="s">
        <v>2425</v>
      </c>
      <c r="B150" t="s">
        <v>2429</v>
      </c>
      <c r="C150" s="106">
        <f t="shared" si="19"/>
        <v>108206322.255</v>
      </c>
      <c r="D150" s="106">
        <f t="shared" si="19"/>
        <v>101322286.81</v>
      </c>
      <c r="E150" s="106">
        <f t="shared" si="19"/>
        <v>107325850.98800001</v>
      </c>
      <c r="F150" s="106">
        <f t="shared" si="19"/>
        <v>97647302.464000002</v>
      </c>
      <c r="G150" s="106">
        <f t="shared" si="19"/>
        <v>97258473.681999996</v>
      </c>
      <c r="H150" s="106">
        <f t="shared" si="19"/>
        <v>100257248.013</v>
      </c>
      <c r="I150" s="106">
        <f t="shared" si="19"/>
        <v>106003833.45</v>
      </c>
      <c r="J150" s="106">
        <f t="shared" si="19"/>
        <v>107640536.272</v>
      </c>
      <c r="K150" s="106">
        <f t="shared" si="19"/>
        <v>106658023.89399999</v>
      </c>
      <c r="L150" s="106">
        <f t="shared" si="19"/>
        <v>102795541.833</v>
      </c>
      <c r="M150" s="106">
        <f t="shared" si="19"/>
        <v>97575746.261999995</v>
      </c>
      <c r="N150" s="106">
        <f t="shared" si="19"/>
        <v>110304313.78399999</v>
      </c>
      <c r="O150" s="106">
        <f t="shared" si="19"/>
        <v>1242995479.707</v>
      </c>
    </row>
    <row r="151" spans="1:15">
      <c r="A151" s="233" t="s">
        <v>2426</v>
      </c>
      <c r="B151" t="s">
        <v>2430</v>
      </c>
      <c r="C151" s="106">
        <f t="shared" si="19"/>
        <v>3558257.44</v>
      </c>
      <c r="D151" s="106">
        <f t="shared" si="19"/>
        <v>3261933.92</v>
      </c>
      <c r="E151" s="106">
        <f t="shared" si="19"/>
        <v>3652455.84</v>
      </c>
      <c r="F151" s="106">
        <f t="shared" si="19"/>
        <v>2658606.7200000002</v>
      </c>
      <c r="G151" s="106">
        <f t="shared" si="19"/>
        <v>2247395.2000000002</v>
      </c>
      <c r="H151" s="106">
        <f t="shared" si="19"/>
        <v>2170828.6</v>
      </c>
      <c r="I151" s="106">
        <f t="shared" si="19"/>
        <v>2293234.84</v>
      </c>
      <c r="J151" s="106">
        <f t="shared" si="19"/>
        <v>2528387.52</v>
      </c>
      <c r="K151" s="106">
        <f t="shared" si="19"/>
        <v>2314246.96</v>
      </c>
      <c r="L151" s="106">
        <f t="shared" si="19"/>
        <v>2542421.88</v>
      </c>
      <c r="M151" s="106">
        <f t="shared" si="19"/>
        <v>2624069.36</v>
      </c>
      <c r="N151" s="106">
        <f t="shared" si="19"/>
        <v>3289862.24</v>
      </c>
      <c r="O151" s="106">
        <f t="shared" si="19"/>
        <v>33141700.52</v>
      </c>
    </row>
    <row r="152" spans="1:15">
      <c r="A152" s="135" t="s">
        <v>2427</v>
      </c>
      <c r="B152" t="s">
        <v>2431</v>
      </c>
      <c r="C152" s="106">
        <f t="shared" si="19"/>
        <v>0</v>
      </c>
      <c r="D152" s="106">
        <f t="shared" si="19"/>
        <v>0</v>
      </c>
      <c r="E152" s="106">
        <f t="shared" si="19"/>
        <v>0</v>
      </c>
      <c r="F152" s="106">
        <f t="shared" si="19"/>
        <v>0</v>
      </c>
      <c r="G152" s="106">
        <f t="shared" si="19"/>
        <v>0</v>
      </c>
      <c r="H152" s="106">
        <f t="shared" si="19"/>
        <v>0</v>
      </c>
      <c r="I152" s="106">
        <f t="shared" si="19"/>
        <v>0</v>
      </c>
      <c r="J152" s="106">
        <f t="shared" si="19"/>
        <v>0</v>
      </c>
      <c r="K152" s="106">
        <f t="shared" si="19"/>
        <v>0</v>
      </c>
      <c r="L152" s="106">
        <f t="shared" si="19"/>
        <v>0</v>
      </c>
      <c r="M152" s="106">
        <f t="shared" si="19"/>
        <v>0</v>
      </c>
      <c r="N152" s="106">
        <f t="shared" si="19"/>
        <v>0</v>
      </c>
      <c r="O152" s="106">
        <f t="shared" si="19"/>
        <v>0</v>
      </c>
    </row>
    <row r="153" spans="1:15">
      <c r="C153" s="133">
        <f t="shared" ref="C153:O153" si="20">SUM(C149:C152)</f>
        <v>111764579.69499999</v>
      </c>
      <c r="D153" s="133">
        <f t="shared" si="20"/>
        <v>104584220.73</v>
      </c>
      <c r="E153" s="133">
        <f t="shared" si="20"/>
        <v>110978306.82800001</v>
      </c>
      <c r="F153" s="133">
        <f t="shared" si="20"/>
        <v>100305909.184</v>
      </c>
      <c r="G153" s="133">
        <f t="shared" si="20"/>
        <v>99505868.881999999</v>
      </c>
      <c r="H153" s="133">
        <f t="shared" si="20"/>
        <v>102428076.61299999</v>
      </c>
      <c r="I153" s="133">
        <f t="shared" si="20"/>
        <v>108297068.29000001</v>
      </c>
      <c r="J153" s="133">
        <f t="shared" si="20"/>
        <v>110168923.792</v>
      </c>
      <c r="K153" s="133">
        <f t="shared" si="20"/>
        <v>108972270.85399999</v>
      </c>
      <c r="L153" s="133">
        <f t="shared" si="20"/>
        <v>105337963.713</v>
      </c>
      <c r="M153" s="133">
        <f t="shared" si="20"/>
        <v>100199815.62199999</v>
      </c>
      <c r="N153" s="133">
        <f t="shared" si="20"/>
        <v>113594176.02399999</v>
      </c>
      <c r="O153" s="133">
        <f t="shared" si="20"/>
        <v>1276137180.227</v>
      </c>
    </row>
    <row r="155" spans="1:15">
      <c r="B155" t="s">
        <v>2432</v>
      </c>
      <c r="C155" s="132">
        <f>SUM(C91:C92)</f>
        <v>120581416.625</v>
      </c>
      <c r="D155" s="132">
        <f t="shared" ref="D155:O155" si="21">SUM(D91:D92)</f>
        <v>113255795.15000001</v>
      </c>
      <c r="E155" s="132">
        <f t="shared" si="21"/>
        <v>119857363.82800001</v>
      </c>
      <c r="F155" s="132">
        <f t="shared" si="21"/>
        <v>108672042.67399999</v>
      </c>
      <c r="G155" s="132">
        <f t="shared" si="21"/>
        <v>107356121.802</v>
      </c>
      <c r="H155" s="132">
        <f t="shared" si="21"/>
        <v>110519103.513</v>
      </c>
      <c r="I155" s="132">
        <f t="shared" si="21"/>
        <v>116480751.57000001</v>
      </c>
      <c r="J155" s="132">
        <f t="shared" si="21"/>
        <v>118121978.582</v>
      </c>
      <c r="K155" s="132">
        <f t="shared" si="21"/>
        <v>117306042.24399999</v>
      </c>
      <c r="L155" s="132">
        <f t="shared" si="21"/>
        <v>113212430.59299999</v>
      </c>
      <c r="M155" s="132">
        <f t="shared" si="21"/>
        <v>107981227.42200001</v>
      </c>
      <c r="N155" s="132">
        <f t="shared" si="21"/>
        <v>122684702.25399999</v>
      </c>
      <c r="O155" s="132">
        <f t="shared" si="21"/>
        <v>1376028976.257</v>
      </c>
    </row>
    <row r="156" spans="1:15">
      <c r="B156" s="234" t="s">
        <v>2433</v>
      </c>
      <c r="C156" s="132">
        <f>C153</f>
        <v>111764579.69499999</v>
      </c>
      <c r="D156" s="132">
        <f t="shared" ref="D156:N156" si="22">D153</f>
        <v>104584220.73</v>
      </c>
      <c r="E156" s="132">
        <f t="shared" si="22"/>
        <v>110978306.82800001</v>
      </c>
      <c r="F156" s="132">
        <f t="shared" si="22"/>
        <v>100305909.184</v>
      </c>
      <c r="G156" s="132">
        <f t="shared" si="22"/>
        <v>99505868.881999999</v>
      </c>
      <c r="H156" s="132">
        <f t="shared" si="22"/>
        <v>102428076.61299999</v>
      </c>
      <c r="I156" s="132">
        <f t="shared" si="22"/>
        <v>108297068.29000001</v>
      </c>
      <c r="J156" s="132">
        <f t="shared" si="22"/>
        <v>110168923.792</v>
      </c>
      <c r="K156" s="132">
        <f t="shared" si="22"/>
        <v>108972270.85399999</v>
      </c>
      <c r="L156" s="132">
        <f t="shared" si="22"/>
        <v>105337963.713</v>
      </c>
      <c r="M156" s="132">
        <f t="shared" si="22"/>
        <v>100199815.62199999</v>
      </c>
      <c r="N156" s="132">
        <f t="shared" si="22"/>
        <v>113594176.02399999</v>
      </c>
      <c r="O156" s="132">
        <f>O153</f>
        <v>1276137180.227</v>
      </c>
    </row>
    <row r="157" spans="1:15">
      <c r="B157" t="s">
        <v>2434</v>
      </c>
      <c r="C157" s="133">
        <f>C155-C156</f>
        <v>8816836.9300000072</v>
      </c>
      <c r="D157" s="133">
        <f t="shared" ref="D157:N157" si="23">D155-D156</f>
        <v>8671574.4200000018</v>
      </c>
      <c r="E157" s="133">
        <f t="shared" si="23"/>
        <v>8879057</v>
      </c>
      <c r="F157" s="133">
        <f t="shared" si="23"/>
        <v>8366133.4899999946</v>
      </c>
      <c r="G157" s="133">
        <f t="shared" si="23"/>
        <v>7850252.9200000018</v>
      </c>
      <c r="H157" s="133">
        <f t="shared" si="23"/>
        <v>8091026.900000006</v>
      </c>
      <c r="I157" s="133">
        <f t="shared" si="23"/>
        <v>8183683.2800000012</v>
      </c>
      <c r="J157" s="133">
        <f t="shared" si="23"/>
        <v>7953054.7900000066</v>
      </c>
      <c r="K157" s="133">
        <f t="shared" si="23"/>
        <v>8333771.3900000006</v>
      </c>
      <c r="L157" s="133">
        <f t="shared" si="23"/>
        <v>7874466.8799999952</v>
      </c>
      <c r="M157" s="133">
        <f t="shared" si="23"/>
        <v>7781411.8000000119</v>
      </c>
      <c r="N157" s="133">
        <f t="shared" si="23"/>
        <v>9090526.2300000042</v>
      </c>
      <c r="O157" s="133">
        <f>IF(ROUND(O155-O156,3)&lt;&gt;ROUND(SUM(C157:N157),3),#VALUE!,SUM(C157:N157))</f>
        <v>99891796.030000031</v>
      </c>
    </row>
  </sheetData>
  <mergeCells count="24">
    <mergeCell ref="A55:A58"/>
    <mergeCell ref="A59:A66"/>
    <mergeCell ref="A26:A28"/>
    <mergeCell ref="A29:A31"/>
    <mergeCell ref="A32:A36"/>
    <mergeCell ref="A37:A39"/>
    <mergeCell ref="A40:A41"/>
    <mergeCell ref="A42:A43"/>
    <mergeCell ref="A6:B6"/>
    <mergeCell ref="A44:A45"/>
    <mergeCell ref="A46:A47"/>
    <mergeCell ref="A48:A49"/>
    <mergeCell ref="A50:A54"/>
    <mergeCell ref="A8:A10"/>
    <mergeCell ref="A11:A12"/>
    <mergeCell ref="A13:A16"/>
    <mergeCell ref="A17:A19"/>
    <mergeCell ref="A20:A23"/>
    <mergeCell ref="A24:A25"/>
    <mergeCell ref="A67:A71"/>
    <mergeCell ref="A72:A75"/>
    <mergeCell ref="A76:A78"/>
    <mergeCell ref="A79:A80"/>
    <mergeCell ref="A81:B81"/>
  </mergeCells>
  <phoneticPr fontId="25" type="noConversion"/>
  <conditionalFormatting sqref="O134 O115 O118 O113">
    <cfRule type="expression" dxfId="1" priority="2" stopIfTrue="1">
      <formula>ABS(O113)&gt;0.5</formula>
    </cfRule>
  </conditionalFormatting>
  <pageMargins left="0.5" right="0.5" top="0.7" bottom="0.7" header="0.5" footer="0.5"/>
  <pageSetup scale="68" fitToHeight="3" orientation="landscape" r:id="rId1"/>
  <headerFooter alignWithMargins="0">
    <oddFooter>&amp;L&amp;F&amp;C&amp;A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B050"/>
  </sheetPr>
  <dimension ref="A1:T174"/>
  <sheetViews>
    <sheetView topLeftCell="A145" workbookViewId="0">
      <selection activeCell="L186" sqref="L186"/>
    </sheetView>
  </sheetViews>
  <sheetFormatPr defaultRowHeight="12.75"/>
  <cols>
    <col min="1" max="1" width="15.83203125" customWidth="1"/>
    <col min="2" max="2" width="29.6640625" customWidth="1"/>
    <col min="3" max="14" width="12.1640625" customWidth="1"/>
    <col min="15" max="15" width="16.33203125" bestFit="1" customWidth="1"/>
  </cols>
  <sheetData>
    <row r="1" spans="1:20">
      <c r="A1" s="61" t="s">
        <v>2504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>
      <c r="A2" s="77" t="s">
        <v>2517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>
      <c r="A3" s="241" t="s">
        <v>2520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>
      <c r="A4" s="77" t="s">
        <v>2518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ht="13.5" thickBot="1">
      <c r="A5" s="242"/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77"/>
      <c r="Q5" s="77"/>
      <c r="R5" s="77"/>
      <c r="S5" s="77"/>
      <c r="T5" s="77"/>
    </row>
    <row r="6" spans="1:20" ht="13.5" thickBot="1">
      <c r="A6" s="475" t="s">
        <v>2490</v>
      </c>
      <c r="B6" s="476"/>
      <c r="C6" s="334" t="s">
        <v>2505</v>
      </c>
      <c r="D6" s="334" t="s">
        <v>2506</v>
      </c>
      <c r="E6" s="334" t="s">
        <v>2507</v>
      </c>
      <c r="F6" s="334" t="s">
        <v>2508</v>
      </c>
      <c r="G6" s="334" t="s">
        <v>2509</v>
      </c>
      <c r="H6" s="334" t="s">
        <v>2510</v>
      </c>
      <c r="I6" s="334" t="s">
        <v>2511</v>
      </c>
      <c r="J6" s="334" t="s">
        <v>2512</v>
      </c>
      <c r="K6" s="334" t="s">
        <v>2513</v>
      </c>
      <c r="L6" s="334" t="s">
        <v>2514</v>
      </c>
      <c r="M6" s="334" t="s">
        <v>2515</v>
      </c>
      <c r="N6" s="334" t="s">
        <v>2516</v>
      </c>
      <c r="O6" s="335" t="s">
        <v>277</v>
      </c>
      <c r="P6" s="77"/>
      <c r="Q6" s="77"/>
      <c r="R6" s="77"/>
      <c r="S6" s="77"/>
      <c r="T6" s="77"/>
    </row>
    <row r="7" spans="1:20" ht="13.5" thickBot="1">
      <c r="A7" s="334" t="s">
        <v>407</v>
      </c>
      <c r="B7" s="334" t="s">
        <v>62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5"/>
      <c r="P7" s="77"/>
      <c r="Q7" s="77"/>
      <c r="R7" s="77"/>
      <c r="S7" s="77"/>
      <c r="T7" s="77"/>
    </row>
    <row r="8" spans="1:20" ht="13.5" thickBot="1">
      <c r="A8" s="470" t="s">
        <v>2388</v>
      </c>
      <c r="B8" s="366" t="s">
        <v>222</v>
      </c>
      <c r="C8" s="341">
        <v>131865200.46938001</v>
      </c>
      <c r="D8" s="341">
        <v>127254850.39202</v>
      </c>
      <c r="E8" s="341">
        <v>129802305.72499999</v>
      </c>
      <c r="F8" s="341">
        <v>95813552.825000003</v>
      </c>
      <c r="G8" s="341">
        <v>77575859.030000001</v>
      </c>
      <c r="H8" s="341">
        <v>75121134.186000004</v>
      </c>
      <c r="I8" s="341">
        <v>79438645.223000005</v>
      </c>
      <c r="J8" s="341">
        <v>88419545.952999994</v>
      </c>
      <c r="K8" s="341">
        <v>81378852.608999997</v>
      </c>
      <c r="L8" s="341">
        <v>79334338.857999995</v>
      </c>
      <c r="M8" s="341">
        <v>101482376.62800001</v>
      </c>
      <c r="N8" s="341">
        <v>129026587.28415</v>
      </c>
      <c r="O8" s="337">
        <v>1196513249.18255</v>
      </c>
      <c r="P8" s="77"/>
      <c r="Q8" s="77" t="str">
        <f t="shared" ref="Q8:Q39" si="0">IF(ISBLANK(A8),Q7,TRIM(A8))</f>
        <v>0001</v>
      </c>
      <c r="R8" s="77" t="str">
        <f t="shared" ref="R8:R39" si="1">IF(ISBLANK(B8),"",IF(CODE(LEFT(B8,1))&gt;57,"",LEFT(B8,2)))</f>
        <v>01</v>
      </c>
      <c r="S8" s="77" t="str">
        <f t="shared" ref="S8:S39" si="2">Q8&amp;R8</f>
        <v>000101</v>
      </c>
      <c r="T8" s="77">
        <f t="shared" ref="T8:T39" si="3">MATCH(Q8,$A$103:$A$129,0)</f>
        <v>1</v>
      </c>
    </row>
    <row r="9" spans="1:20" ht="13.5" thickBot="1">
      <c r="A9" s="471"/>
      <c r="B9" s="366" t="s">
        <v>236</v>
      </c>
      <c r="C9" s="341">
        <v>20740.669999999998</v>
      </c>
      <c r="D9" s="341">
        <v>21039.71</v>
      </c>
      <c r="E9" s="341">
        <v>20174.939999999999</v>
      </c>
      <c r="F9" s="341">
        <v>5619.32</v>
      </c>
      <c r="G9" s="341">
        <v>3144.48</v>
      </c>
      <c r="H9" s="341">
        <v>1853.91</v>
      </c>
      <c r="I9" s="341">
        <v>705.51</v>
      </c>
      <c r="J9" s="341">
        <v>791.65</v>
      </c>
      <c r="K9" s="341">
        <v>1059.1099999999999</v>
      </c>
      <c r="L9" s="341">
        <v>5945.5</v>
      </c>
      <c r="M9" s="341">
        <v>14565.504999999999</v>
      </c>
      <c r="N9" s="341">
        <v>24856.6</v>
      </c>
      <c r="O9" s="337">
        <v>120496.905</v>
      </c>
      <c r="P9" s="77"/>
      <c r="Q9" s="77" t="str">
        <f t="shared" si="0"/>
        <v>0001</v>
      </c>
      <c r="R9" s="77" t="str">
        <f t="shared" si="1"/>
        <v>80</v>
      </c>
      <c r="S9" s="77" t="str">
        <f t="shared" si="2"/>
        <v>000180</v>
      </c>
      <c r="T9" s="77">
        <f t="shared" si="3"/>
        <v>1</v>
      </c>
    </row>
    <row r="10" spans="1:20" ht="13.5" thickBot="1">
      <c r="A10" s="472"/>
      <c r="B10" s="367" t="s">
        <v>277</v>
      </c>
      <c r="C10" s="343">
        <v>131885941.13937999</v>
      </c>
      <c r="D10" s="343">
        <v>127275890.10202</v>
      </c>
      <c r="E10" s="343">
        <v>129822480.66500001</v>
      </c>
      <c r="F10" s="343">
        <v>95819172.144999996</v>
      </c>
      <c r="G10" s="343">
        <v>77579003.510000005</v>
      </c>
      <c r="H10" s="343">
        <v>75122988.096000001</v>
      </c>
      <c r="I10" s="343">
        <v>79439350.732999995</v>
      </c>
      <c r="J10" s="343">
        <v>88420337.603</v>
      </c>
      <c r="K10" s="343">
        <v>81379911.718999997</v>
      </c>
      <c r="L10" s="343">
        <v>79340284.357999995</v>
      </c>
      <c r="M10" s="343">
        <v>101496942.133</v>
      </c>
      <c r="N10" s="343">
        <v>129051443.88415</v>
      </c>
      <c r="O10" s="339">
        <v>1196633746.0875499</v>
      </c>
      <c r="P10" s="77"/>
      <c r="Q10" s="77" t="str">
        <f t="shared" si="0"/>
        <v>0001</v>
      </c>
      <c r="R10" s="77" t="str">
        <f t="shared" si="1"/>
        <v/>
      </c>
      <c r="S10" s="77" t="str">
        <f t="shared" si="2"/>
        <v>0001</v>
      </c>
      <c r="T10" s="77">
        <f t="shared" si="3"/>
        <v>1</v>
      </c>
    </row>
    <row r="11" spans="1:20" ht="13.5" thickBot="1">
      <c r="A11" s="470" t="s">
        <v>2389</v>
      </c>
      <c r="B11" s="366" t="s">
        <v>226</v>
      </c>
      <c r="C11" s="341">
        <v>33916099.84217</v>
      </c>
      <c r="D11" s="341">
        <v>32992152.796</v>
      </c>
      <c r="E11" s="341">
        <v>33409475.271000002</v>
      </c>
      <c r="F11" s="341">
        <v>27982086.171999998</v>
      </c>
      <c r="G11" s="341">
        <v>25273148.884</v>
      </c>
      <c r="H11" s="341">
        <v>25862658.596000001</v>
      </c>
      <c r="I11" s="341">
        <v>27369346.011999998</v>
      </c>
      <c r="J11" s="341">
        <v>29844645.675000001</v>
      </c>
      <c r="K11" s="341">
        <v>28946515.543000001</v>
      </c>
      <c r="L11" s="341">
        <v>25701604.918000001</v>
      </c>
      <c r="M11" s="341">
        <v>28767562.956999999</v>
      </c>
      <c r="N11" s="341">
        <v>34533110.248410001</v>
      </c>
      <c r="O11" s="337">
        <v>354598406.91457999</v>
      </c>
      <c r="P11" s="77"/>
      <c r="Q11" s="77" t="str">
        <f t="shared" si="0"/>
        <v>0011</v>
      </c>
      <c r="R11" s="77" t="str">
        <f t="shared" si="1"/>
        <v>21</v>
      </c>
      <c r="S11" s="77" t="str">
        <f t="shared" si="2"/>
        <v>001121</v>
      </c>
      <c r="T11" s="77">
        <f t="shared" si="3"/>
        <v>2</v>
      </c>
    </row>
    <row r="12" spans="1:20" ht="13.5" thickBot="1">
      <c r="A12" s="471"/>
      <c r="B12" s="366" t="s">
        <v>228</v>
      </c>
      <c r="C12" s="341">
        <v>535976.26</v>
      </c>
      <c r="D12" s="341">
        <v>498646.89</v>
      </c>
      <c r="E12" s="341">
        <v>485456.2</v>
      </c>
      <c r="F12" s="341">
        <v>453713.31</v>
      </c>
      <c r="G12" s="341">
        <v>400811.58</v>
      </c>
      <c r="H12" s="341">
        <v>438331.29</v>
      </c>
      <c r="I12" s="341">
        <v>412158.66</v>
      </c>
      <c r="J12" s="341">
        <v>425875.32</v>
      </c>
      <c r="K12" s="341">
        <v>441358.97</v>
      </c>
      <c r="L12" s="341">
        <v>377879.14</v>
      </c>
      <c r="M12" s="341">
        <v>419237.22</v>
      </c>
      <c r="N12" s="341">
        <v>456957.68</v>
      </c>
      <c r="O12" s="337">
        <v>5346402.5199999996</v>
      </c>
      <c r="P12" s="77"/>
      <c r="Q12" s="77" t="str">
        <f t="shared" si="0"/>
        <v>0011</v>
      </c>
      <c r="R12" s="77" t="str">
        <f t="shared" si="1"/>
        <v>31</v>
      </c>
      <c r="S12" s="77" t="str">
        <f t="shared" si="2"/>
        <v>001131</v>
      </c>
      <c r="T12" s="77">
        <f t="shared" si="3"/>
        <v>2</v>
      </c>
    </row>
    <row r="13" spans="1:20" ht="13.5" thickBot="1">
      <c r="A13" s="471"/>
      <c r="B13" s="366" t="s">
        <v>236</v>
      </c>
      <c r="C13" s="341">
        <v>103873.23</v>
      </c>
      <c r="D13" s="341">
        <v>108522.76</v>
      </c>
      <c r="E13" s="341">
        <v>98781.3</v>
      </c>
      <c r="F13" s="341">
        <v>87949.48</v>
      </c>
      <c r="G13" s="341">
        <v>61732.75</v>
      </c>
      <c r="H13" s="341">
        <v>50273.75</v>
      </c>
      <c r="I13" s="341">
        <v>48853.97</v>
      </c>
      <c r="J13" s="341">
        <v>51785.91</v>
      </c>
      <c r="K13" s="341">
        <v>51225.51</v>
      </c>
      <c r="L13" s="341">
        <v>59426.76</v>
      </c>
      <c r="M13" s="341">
        <v>80494.94</v>
      </c>
      <c r="N13" s="341">
        <v>96643.15</v>
      </c>
      <c r="O13" s="337">
        <v>899563.51</v>
      </c>
      <c r="P13" s="77"/>
      <c r="Q13" s="77" t="str">
        <f t="shared" si="0"/>
        <v>0011</v>
      </c>
      <c r="R13" s="77" t="str">
        <f t="shared" si="1"/>
        <v>80</v>
      </c>
      <c r="S13" s="77" t="str">
        <f t="shared" si="2"/>
        <v>001180</v>
      </c>
      <c r="T13" s="77">
        <f t="shared" si="3"/>
        <v>2</v>
      </c>
    </row>
    <row r="14" spans="1:20" ht="13.5" thickBot="1">
      <c r="A14" s="472"/>
      <c r="B14" s="367" t="s">
        <v>277</v>
      </c>
      <c r="C14" s="343">
        <v>34555949.332170002</v>
      </c>
      <c r="D14" s="343">
        <v>33599322.446000002</v>
      </c>
      <c r="E14" s="343">
        <v>33993712.770999998</v>
      </c>
      <c r="F14" s="343">
        <v>28523748.962000001</v>
      </c>
      <c r="G14" s="343">
        <v>25735693.214000002</v>
      </c>
      <c r="H14" s="343">
        <v>26351263.636</v>
      </c>
      <c r="I14" s="343">
        <v>27830358.642000001</v>
      </c>
      <c r="J14" s="343">
        <v>30322306.905000001</v>
      </c>
      <c r="K14" s="343">
        <v>29439100.022999998</v>
      </c>
      <c r="L14" s="343">
        <v>26138910.818</v>
      </c>
      <c r="M14" s="343">
        <v>29267295.116999999</v>
      </c>
      <c r="N14" s="343">
        <v>35086711.07841</v>
      </c>
      <c r="O14" s="339">
        <v>360844372.94458002</v>
      </c>
      <c r="P14" s="77"/>
      <c r="Q14" s="77" t="str">
        <f t="shared" si="0"/>
        <v>0011</v>
      </c>
      <c r="R14" s="77" t="str">
        <f t="shared" si="1"/>
        <v/>
      </c>
      <c r="S14" s="77" t="str">
        <f t="shared" si="2"/>
        <v>0011</v>
      </c>
      <c r="T14" s="77">
        <f t="shared" si="3"/>
        <v>2</v>
      </c>
    </row>
    <row r="15" spans="1:20" ht="13.5" thickBot="1">
      <c r="A15" s="470" t="s">
        <v>2390</v>
      </c>
      <c r="B15" s="366" t="s">
        <v>222</v>
      </c>
      <c r="C15" s="341">
        <v>3182204.9354400001</v>
      </c>
      <c r="D15" s="341">
        <v>3163347.9480099999</v>
      </c>
      <c r="E15" s="341">
        <v>3245374.4539899998</v>
      </c>
      <c r="F15" s="341">
        <v>2334203.13601</v>
      </c>
      <c r="G15" s="341">
        <v>1798831.4539999999</v>
      </c>
      <c r="H15" s="341">
        <v>1632204.52</v>
      </c>
      <c r="I15" s="341">
        <v>1717841.946</v>
      </c>
      <c r="J15" s="341">
        <v>1848844.1810000001</v>
      </c>
      <c r="K15" s="341">
        <v>1864064.5649999999</v>
      </c>
      <c r="L15" s="341">
        <v>1932585.9939999999</v>
      </c>
      <c r="M15" s="341">
        <v>2472069.787</v>
      </c>
      <c r="N15" s="341">
        <v>3142789.3150499999</v>
      </c>
      <c r="O15" s="337">
        <v>28334362.2355</v>
      </c>
      <c r="P15" s="77"/>
      <c r="Q15" s="77" t="str">
        <f t="shared" si="0"/>
        <v>0012</v>
      </c>
      <c r="R15" s="77" t="str">
        <f t="shared" si="1"/>
        <v>01</v>
      </c>
      <c r="S15" s="77" t="str">
        <f t="shared" si="2"/>
        <v>001201</v>
      </c>
      <c r="T15" s="77">
        <f t="shared" si="3"/>
        <v>3</v>
      </c>
    </row>
    <row r="16" spans="1:20" ht="13.5" thickBot="1">
      <c r="A16" s="472"/>
      <c r="B16" s="367" t="s">
        <v>277</v>
      </c>
      <c r="C16" s="343">
        <v>3182204.9354400001</v>
      </c>
      <c r="D16" s="343">
        <v>3163347.9480099999</v>
      </c>
      <c r="E16" s="343">
        <v>3245374.4539899998</v>
      </c>
      <c r="F16" s="343">
        <v>2334203.13601</v>
      </c>
      <c r="G16" s="343">
        <v>1798831.4539999999</v>
      </c>
      <c r="H16" s="343">
        <v>1632204.52</v>
      </c>
      <c r="I16" s="343">
        <v>1717841.946</v>
      </c>
      <c r="J16" s="343">
        <v>1848844.1810000001</v>
      </c>
      <c r="K16" s="343">
        <v>1864064.5649999999</v>
      </c>
      <c r="L16" s="343">
        <v>1932585.9939999999</v>
      </c>
      <c r="M16" s="343">
        <v>2472069.787</v>
      </c>
      <c r="N16" s="343">
        <v>3142789.3150499999</v>
      </c>
      <c r="O16" s="339">
        <v>28334362.2355</v>
      </c>
      <c r="P16" s="77"/>
      <c r="Q16" s="77" t="str">
        <f t="shared" si="0"/>
        <v>0012</v>
      </c>
      <c r="R16" s="77" t="str">
        <f t="shared" si="1"/>
        <v/>
      </c>
      <c r="S16" s="77" t="str">
        <f t="shared" si="2"/>
        <v>0012</v>
      </c>
      <c r="T16" s="77">
        <f t="shared" si="3"/>
        <v>3</v>
      </c>
    </row>
    <row r="17" spans="1:20" ht="13.5" thickBot="1">
      <c r="A17" s="470" t="s">
        <v>2391</v>
      </c>
      <c r="B17" s="366" t="s">
        <v>226</v>
      </c>
      <c r="C17" s="341">
        <v>49177593.200000003</v>
      </c>
      <c r="D17" s="341">
        <v>48543077</v>
      </c>
      <c r="E17" s="341">
        <v>48726004.799999997</v>
      </c>
      <c r="F17" s="341">
        <v>45139709</v>
      </c>
      <c r="G17" s="341">
        <v>42934362.399999999</v>
      </c>
      <c r="H17" s="341">
        <v>44193745.600000001</v>
      </c>
      <c r="I17" s="341">
        <v>45370861.200000003</v>
      </c>
      <c r="J17" s="341">
        <v>47713056</v>
      </c>
      <c r="K17" s="341">
        <v>48264094.399999999</v>
      </c>
      <c r="L17" s="341">
        <v>42341437.799999997</v>
      </c>
      <c r="M17" s="341">
        <v>43530184.600000001</v>
      </c>
      <c r="N17" s="341">
        <v>49127741.200000003</v>
      </c>
      <c r="O17" s="337">
        <v>555061867.20000005</v>
      </c>
      <c r="P17" s="77"/>
      <c r="Q17" s="77" t="str">
        <f t="shared" si="0"/>
        <v>0021</v>
      </c>
      <c r="R17" s="77" t="str">
        <f t="shared" si="1"/>
        <v>21</v>
      </c>
      <c r="S17" s="77" t="str">
        <f t="shared" si="2"/>
        <v>002121</v>
      </c>
      <c r="T17" s="77">
        <f t="shared" si="3"/>
        <v>4</v>
      </c>
    </row>
    <row r="18" spans="1:20" ht="13.5" thickBot="1">
      <c r="A18" s="471"/>
      <c r="B18" s="366" t="s">
        <v>228</v>
      </c>
      <c r="C18" s="341">
        <v>5145585.5999999996</v>
      </c>
      <c r="D18" s="341">
        <v>5138972.4000000004</v>
      </c>
      <c r="E18" s="341">
        <v>5259026.4000000004</v>
      </c>
      <c r="F18" s="341">
        <v>5567991.5999999996</v>
      </c>
      <c r="G18" s="341">
        <v>5171980.8</v>
      </c>
      <c r="H18" s="341">
        <v>5171756.2</v>
      </c>
      <c r="I18" s="341">
        <v>5001058.4000000004</v>
      </c>
      <c r="J18" s="341">
        <v>5271853</v>
      </c>
      <c r="K18" s="341">
        <v>5301180.8</v>
      </c>
      <c r="L18" s="341">
        <v>5661574.4000000004</v>
      </c>
      <c r="M18" s="341">
        <v>6181766.7999999998</v>
      </c>
      <c r="N18" s="341">
        <v>7204563.5999999996</v>
      </c>
      <c r="O18" s="337">
        <v>66077310</v>
      </c>
      <c r="P18" s="77"/>
      <c r="Q18" s="77" t="str">
        <f t="shared" si="0"/>
        <v>0021</v>
      </c>
      <c r="R18" s="77" t="str">
        <f t="shared" si="1"/>
        <v>31</v>
      </c>
      <c r="S18" s="77" t="str">
        <f t="shared" si="2"/>
        <v>002131</v>
      </c>
      <c r="T18" s="77">
        <f t="shared" si="3"/>
        <v>4</v>
      </c>
    </row>
    <row r="19" spans="1:20" ht="13.5" thickBot="1">
      <c r="A19" s="471"/>
      <c r="B19" s="366" t="s">
        <v>236</v>
      </c>
      <c r="C19" s="341">
        <v>151480</v>
      </c>
      <c r="D19" s="341">
        <v>142080</v>
      </c>
      <c r="E19" s="341">
        <v>139800</v>
      </c>
      <c r="F19" s="341">
        <v>103200</v>
      </c>
      <c r="G19" s="341">
        <v>81920</v>
      </c>
      <c r="H19" s="341">
        <v>67000</v>
      </c>
      <c r="I19" s="341">
        <v>64760</v>
      </c>
      <c r="J19" s="341">
        <v>67920</v>
      </c>
      <c r="K19" s="341">
        <v>67640</v>
      </c>
      <c r="L19" s="341">
        <v>83320</v>
      </c>
      <c r="M19" s="341">
        <v>113640</v>
      </c>
      <c r="N19" s="341">
        <v>133080</v>
      </c>
      <c r="O19" s="337">
        <v>1215840</v>
      </c>
      <c r="P19" s="77"/>
      <c r="Q19" s="77" t="str">
        <f t="shared" si="0"/>
        <v>0021</v>
      </c>
      <c r="R19" s="77" t="str">
        <f t="shared" si="1"/>
        <v>80</v>
      </c>
      <c r="S19" s="77" t="str">
        <f t="shared" si="2"/>
        <v>002180</v>
      </c>
      <c r="T19" s="77">
        <f t="shared" si="3"/>
        <v>4</v>
      </c>
    </row>
    <row r="20" spans="1:20" ht="13.5" thickBot="1">
      <c r="A20" s="472"/>
      <c r="B20" s="367" t="s">
        <v>277</v>
      </c>
      <c r="C20" s="343">
        <v>54474658.799999997</v>
      </c>
      <c r="D20" s="343">
        <v>53824129.399999999</v>
      </c>
      <c r="E20" s="343">
        <v>54124831.200000003</v>
      </c>
      <c r="F20" s="343">
        <v>50810900.600000001</v>
      </c>
      <c r="G20" s="343">
        <v>48188263.200000003</v>
      </c>
      <c r="H20" s="343">
        <v>49432501.799999997</v>
      </c>
      <c r="I20" s="343">
        <v>50436679.600000001</v>
      </c>
      <c r="J20" s="343">
        <v>53052829</v>
      </c>
      <c r="K20" s="343">
        <v>53632915.200000003</v>
      </c>
      <c r="L20" s="343">
        <v>48086332.200000003</v>
      </c>
      <c r="M20" s="343">
        <v>49825591.399999999</v>
      </c>
      <c r="N20" s="343">
        <v>56465384.799999997</v>
      </c>
      <c r="O20" s="339">
        <v>622355017.20000005</v>
      </c>
      <c r="P20" s="77"/>
      <c r="Q20" s="77" t="str">
        <f t="shared" si="0"/>
        <v>0021</v>
      </c>
      <c r="R20" s="77" t="str">
        <f t="shared" si="1"/>
        <v/>
      </c>
      <c r="S20" s="77" t="str">
        <f t="shared" si="2"/>
        <v>0021</v>
      </c>
      <c r="T20" s="77">
        <f t="shared" si="3"/>
        <v>4</v>
      </c>
    </row>
    <row r="21" spans="1:20" ht="13.5" thickBot="1">
      <c r="A21" s="470" t="s">
        <v>2392</v>
      </c>
      <c r="B21" s="366" t="s">
        <v>222</v>
      </c>
      <c r="C21" s="341">
        <v>752160</v>
      </c>
      <c r="D21" s="341">
        <v>723160</v>
      </c>
      <c r="E21" s="341">
        <v>800960</v>
      </c>
      <c r="F21" s="341">
        <v>585000</v>
      </c>
      <c r="G21" s="341">
        <v>488120</v>
      </c>
      <c r="H21" s="341">
        <v>473520</v>
      </c>
      <c r="I21" s="341">
        <v>504800</v>
      </c>
      <c r="J21" s="341">
        <v>563040</v>
      </c>
      <c r="K21" s="341">
        <v>571880</v>
      </c>
      <c r="L21" s="341">
        <v>479000</v>
      </c>
      <c r="M21" s="341">
        <v>559600</v>
      </c>
      <c r="N21" s="341">
        <v>679240</v>
      </c>
      <c r="O21" s="337">
        <v>7180480</v>
      </c>
      <c r="P21" s="77"/>
      <c r="Q21" s="77" t="str">
        <f t="shared" si="0"/>
        <v>0022</v>
      </c>
      <c r="R21" s="77" t="str">
        <f t="shared" si="1"/>
        <v>01</v>
      </c>
      <c r="S21" s="77" t="str">
        <f t="shared" si="2"/>
        <v>002201</v>
      </c>
      <c r="T21" s="77">
        <f t="shared" si="3"/>
        <v>5</v>
      </c>
    </row>
    <row r="22" spans="1:20" ht="13.5" thickBot="1">
      <c r="A22" s="472"/>
      <c r="B22" s="367" t="s">
        <v>277</v>
      </c>
      <c r="C22" s="343">
        <v>752160</v>
      </c>
      <c r="D22" s="343">
        <v>723160</v>
      </c>
      <c r="E22" s="343">
        <v>800960</v>
      </c>
      <c r="F22" s="343">
        <v>585000</v>
      </c>
      <c r="G22" s="343">
        <v>488120</v>
      </c>
      <c r="H22" s="343">
        <v>473520</v>
      </c>
      <c r="I22" s="343">
        <v>504800</v>
      </c>
      <c r="J22" s="343">
        <v>563040</v>
      </c>
      <c r="K22" s="343">
        <v>571880</v>
      </c>
      <c r="L22" s="343">
        <v>479000</v>
      </c>
      <c r="M22" s="343">
        <v>559600</v>
      </c>
      <c r="N22" s="343">
        <v>679240</v>
      </c>
      <c r="O22" s="339">
        <v>7180480</v>
      </c>
      <c r="P22" s="77"/>
      <c r="Q22" s="77" t="str">
        <f t="shared" si="0"/>
        <v>0022</v>
      </c>
      <c r="R22" s="77" t="str">
        <f t="shared" si="1"/>
        <v/>
      </c>
      <c r="S22" s="77" t="str">
        <f t="shared" si="2"/>
        <v>0022</v>
      </c>
      <c r="T22" s="77">
        <f t="shared" si="3"/>
        <v>5</v>
      </c>
    </row>
    <row r="23" spans="1:20" ht="13.5" thickBot="1">
      <c r="A23" s="470" t="s">
        <v>2393</v>
      </c>
      <c r="B23" s="366" t="s">
        <v>226</v>
      </c>
      <c r="C23" s="341">
        <v>6072103.3990000002</v>
      </c>
      <c r="D23" s="341">
        <v>5365061.8</v>
      </c>
      <c r="E23" s="341">
        <v>5002340</v>
      </c>
      <c r="F23" s="341">
        <v>5302698.8</v>
      </c>
      <c r="G23" s="341">
        <v>5065421.2</v>
      </c>
      <c r="H23" s="341">
        <v>5062915.2</v>
      </c>
      <c r="I23" s="341">
        <v>4993052.4000000004</v>
      </c>
      <c r="J23" s="341">
        <v>5442332</v>
      </c>
      <c r="K23" s="341">
        <v>5729494.4000000004</v>
      </c>
      <c r="L23" s="341">
        <v>5248300.4000000004</v>
      </c>
      <c r="M23" s="341">
        <v>5137675.2</v>
      </c>
      <c r="N23" s="341">
        <v>4928649.5999999996</v>
      </c>
      <c r="O23" s="337">
        <v>63350044.398999996</v>
      </c>
      <c r="P23" s="77"/>
      <c r="Q23" s="77" t="str">
        <f t="shared" si="0"/>
        <v>0025</v>
      </c>
      <c r="R23" s="77" t="str">
        <f t="shared" si="1"/>
        <v>21</v>
      </c>
      <c r="S23" s="77" t="str">
        <f t="shared" si="2"/>
        <v>002521</v>
      </c>
      <c r="T23" s="77">
        <f t="shared" si="3"/>
        <v>6</v>
      </c>
    </row>
    <row r="24" spans="1:20" ht="13.5" thickBot="1">
      <c r="A24" s="471"/>
      <c r="B24" s="366" t="s">
        <v>228</v>
      </c>
      <c r="C24" s="341">
        <v>20919772.350000001</v>
      </c>
      <c r="D24" s="341">
        <v>22288348.280000001</v>
      </c>
      <c r="E24" s="341">
        <v>21111911.850000001</v>
      </c>
      <c r="F24" s="341">
        <v>22331225.190000001</v>
      </c>
      <c r="G24" s="341">
        <v>20736742.890000001</v>
      </c>
      <c r="H24" s="341">
        <v>19966608.440000001</v>
      </c>
      <c r="I24" s="341">
        <v>19683940.210000001</v>
      </c>
      <c r="J24" s="341">
        <v>20028553.170000002</v>
      </c>
      <c r="K24" s="341">
        <v>20232413.84</v>
      </c>
      <c r="L24" s="341">
        <v>19038087.300000001</v>
      </c>
      <c r="M24" s="341">
        <v>21806217.690000001</v>
      </c>
      <c r="N24" s="341">
        <v>19956429.210000001</v>
      </c>
      <c r="O24" s="337">
        <v>248100250.41999999</v>
      </c>
      <c r="P24" s="77"/>
      <c r="Q24" s="77" t="str">
        <f t="shared" si="0"/>
        <v>0025</v>
      </c>
      <c r="R24" s="77" t="str">
        <f t="shared" si="1"/>
        <v>31</v>
      </c>
      <c r="S24" s="77" t="str">
        <f t="shared" si="2"/>
        <v>002531</v>
      </c>
      <c r="T24" s="77">
        <f t="shared" si="3"/>
        <v>6</v>
      </c>
    </row>
    <row r="25" spans="1:20" ht="13.5" thickBot="1">
      <c r="A25" s="472"/>
      <c r="B25" s="367" t="s">
        <v>277</v>
      </c>
      <c r="C25" s="343">
        <v>26991875.749000002</v>
      </c>
      <c r="D25" s="343">
        <v>27653410.079999998</v>
      </c>
      <c r="E25" s="343">
        <v>26114251.850000001</v>
      </c>
      <c r="F25" s="343">
        <v>27633923.989999998</v>
      </c>
      <c r="G25" s="343">
        <v>25802164.09</v>
      </c>
      <c r="H25" s="343">
        <v>25029523.640000001</v>
      </c>
      <c r="I25" s="343">
        <v>24676992.609999999</v>
      </c>
      <c r="J25" s="343">
        <v>25470885.170000002</v>
      </c>
      <c r="K25" s="343">
        <v>25961908.239999998</v>
      </c>
      <c r="L25" s="343">
        <v>24286387.699999999</v>
      </c>
      <c r="M25" s="343">
        <v>26943892.890000001</v>
      </c>
      <c r="N25" s="343">
        <v>24885078.809999999</v>
      </c>
      <c r="O25" s="339">
        <v>311450294.81900001</v>
      </c>
      <c r="P25" s="77"/>
      <c r="Q25" s="77" t="str">
        <f t="shared" si="0"/>
        <v>0025</v>
      </c>
      <c r="R25" s="77" t="str">
        <f t="shared" si="1"/>
        <v/>
      </c>
      <c r="S25" s="77" t="str">
        <f t="shared" si="2"/>
        <v>0025</v>
      </c>
      <c r="T25" s="77">
        <f t="shared" si="3"/>
        <v>6</v>
      </c>
    </row>
    <row r="26" spans="1:20" ht="13.5" thickBot="1">
      <c r="A26" s="470" t="s">
        <v>2395</v>
      </c>
      <c r="B26" s="366" t="s">
        <v>226</v>
      </c>
      <c r="C26" s="341">
        <v>1914202.5300100001</v>
      </c>
      <c r="D26" s="341">
        <v>2056307.7</v>
      </c>
      <c r="E26" s="341">
        <v>1909018.3</v>
      </c>
      <c r="F26" s="341">
        <v>1951737.33</v>
      </c>
      <c r="G26" s="341">
        <v>2210838.89</v>
      </c>
      <c r="H26" s="341">
        <v>3336702.47</v>
      </c>
      <c r="I26" s="341">
        <v>4082573.57</v>
      </c>
      <c r="J26" s="341">
        <v>4500307.8899999997</v>
      </c>
      <c r="K26" s="341">
        <v>4193688.74</v>
      </c>
      <c r="L26" s="341">
        <v>2436035.77</v>
      </c>
      <c r="M26" s="341">
        <v>1847961.44</v>
      </c>
      <c r="N26" s="341">
        <v>2037984.63</v>
      </c>
      <c r="O26" s="337">
        <v>32477359.26001</v>
      </c>
      <c r="P26" s="77"/>
      <c r="Q26" s="77" t="str">
        <f t="shared" si="0"/>
        <v>0031</v>
      </c>
      <c r="R26" s="77" t="str">
        <f t="shared" si="1"/>
        <v>21</v>
      </c>
      <c r="S26" s="77" t="str">
        <f t="shared" si="2"/>
        <v>003121</v>
      </c>
      <c r="T26" s="77">
        <f t="shared" si="3"/>
        <v>11</v>
      </c>
    </row>
    <row r="27" spans="1:20" ht="13.5" thickBot="1">
      <c r="A27" s="471"/>
      <c r="B27" s="366" t="s">
        <v>228</v>
      </c>
      <c r="C27" s="341">
        <v>1114834.24</v>
      </c>
      <c r="D27" s="341">
        <v>1053889.95</v>
      </c>
      <c r="E27" s="341">
        <v>1076227.81</v>
      </c>
      <c r="F27" s="341">
        <v>1128727.95</v>
      </c>
      <c r="G27" s="341">
        <v>1232189.8799999999</v>
      </c>
      <c r="H27" s="341">
        <v>1421205.6</v>
      </c>
      <c r="I27" s="341">
        <v>2015868.96</v>
      </c>
      <c r="J27" s="341">
        <v>2270521.23</v>
      </c>
      <c r="K27" s="341">
        <v>2284924.11</v>
      </c>
      <c r="L27" s="341">
        <v>1114902.6200000001</v>
      </c>
      <c r="M27" s="341">
        <v>845207.06</v>
      </c>
      <c r="N27" s="341">
        <v>1307813.5300100001</v>
      </c>
      <c r="O27" s="337">
        <v>16866312.94001</v>
      </c>
      <c r="P27" s="77"/>
      <c r="Q27" s="77" t="str">
        <f t="shared" si="0"/>
        <v>0031</v>
      </c>
      <c r="R27" s="77" t="str">
        <f t="shared" si="1"/>
        <v>31</v>
      </c>
      <c r="S27" s="77" t="str">
        <f t="shared" si="2"/>
        <v>003131</v>
      </c>
      <c r="T27" s="77">
        <f t="shared" si="3"/>
        <v>11</v>
      </c>
    </row>
    <row r="28" spans="1:20" ht="13.5" thickBot="1">
      <c r="A28" s="471"/>
      <c r="B28" s="366" t="s">
        <v>230</v>
      </c>
      <c r="C28" s="341">
        <v>302382.09000000003</v>
      </c>
      <c r="D28" s="341">
        <v>314632.27</v>
      </c>
      <c r="E28" s="341">
        <v>267770.96000000002</v>
      </c>
      <c r="F28" s="341">
        <v>305553.37</v>
      </c>
      <c r="G28" s="341">
        <v>603424.56000000006</v>
      </c>
      <c r="H28" s="341">
        <v>984379.27</v>
      </c>
      <c r="I28" s="341">
        <v>977950.65</v>
      </c>
      <c r="J28" s="341">
        <v>1091107.0900000001</v>
      </c>
      <c r="K28" s="341">
        <v>550861.30000000005</v>
      </c>
      <c r="L28" s="341">
        <v>340762.49</v>
      </c>
      <c r="M28" s="341">
        <v>251242.78</v>
      </c>
      <c r="N28" s="341">
        <v>261554.45</v>
      </c>
      <c r="O28" s="337">
        <v>6251621.2800000003</v>
      </c>
      <c r="P28" s="77"/>
      <c r="Q28" s="77" t="str">
        <f t="shared" si="0"/>
        <v>0031</v>
      </c>
      <c r="R28" s="77" t="str">
        <f t="shared" si="1"/>
        <v>39</v>
      </c>
      <c r="S28" s="77" t="str">
        <f t="shared" si="2"/>
        <v>003139</v>
      </c>
      <c r="T28" s="77">
        <f t="shared" si="3"/>
        <v>11</v>
      </c>
    </row>
    <row r="29" spans="1:20" ht="13.5" thickBot="1">
      <c r="A29" s="471"/>
      <c r="B29" s="366" t="s">
        <v>236</v>
      </c>
      <c r="C29" s="341">
        <v>0</v>
      </c>
      <c r="D29" s="341">
        <v>0</v>
      </c>
      <c r="E29" s="341">
        <v>0</v>
      </c>
      <c r="F29" s="341">
        <v>0</v>
      </c>
      <c r="G29" s="341">
        <v>11320</v>
      </c>
      <c r="H29" s="341">
        <v>73440</v>
      </c>
      <c r="I29" s="341">
        <v>90480</v>
      </c>
      <c r="J29" s="341">
        <v>109120</v>
      </c>
      <c r="K29" s="341">
        <v>15440</v>
      </c>
      <c r="L29" s="341">
        <v>640</v>
      </c>
      <c r="M29" s="341">
        <v>120</v>
      </c>
      <c r="N29" s="341">
        <v>0</v>
      </c>
      <c r="O29" s="337">
        <v>300560</v>
      </c>
      <c r="P29" s="77"/>
      <c r="Q29" s="77" t="str">
        <f t="shared" si="0"/>
        <v>0031</v>
      </c>
      <c r="R29" s="77" t="str">
        <f t="shared" si="1"/>
        <v>80</v>
      </c>
      <c r="S29" s="77" t="str">
        <f t="shared" si="2"/>
        <v>003180</v>
      </c>
      <c r="T29" s="77">
        <f t="shared" si="3"/>
        <v>11</v>
      </c>
    </row>
    <row r="30" spans="1:20" ht="13.5" thickBot="1">
      <c r="A30" s="472"/>
      <c r="B30" s="367" t="s">
        <v>277</v>
      </c>
      <c r="C30" s="343">
        <v>3331418.8600099999</v>
      </c>
      <c r="D30" s="343">
        <v>3424829.92</v>
      </c>
      <c r="E30" s="343">
        <v>3253017.07</v>
      </c>
      <c r="F30" s="343">
        <v>3386018.65</v>
      </c>
      <c r="G30" s="343">
        <v>4057773.33</v>
      </c>
      <c r="H30" s="343">
        <v>5815727.3399999999</v>
      </c>
      <c r="I30" s="343">
        <v>7166873.1799999997</v>
      </c>
      <c r="J30" s="343">
        <v>7971056.21</v>
      </c>
      <c r="K30" s="343">
        <v>7044914.1500000004</v>
      </c>
      <c r="L30" s="343">
        <v>3892340.88</v>
      </c>
      <c r="M30" s="343">
        <v>2944531.28</v>
      </c>
      <c r="N30" s="343">
        <v>3607352.6100099999</v>
      </c>
      <c r="O30" s="339">
        <v>55895853.480020002</v>
      </c>
      <c r="P30" s="77"/>
      <c r="Q30" s="77" t="str">
        <f t="shared" si="0"/>
        <v>0031</v>
      </c>
      <c r="R30" s="77" t="str">
        <f t="shared" si="1"/>
        <v/>
      </c>
      <c r="S30" s="77" t="str">
        <f t="shared" si="2"/>
        <v>0031</v>
      </c>
      <c r="T30" s="77">
        <f t="shared" si="3"/>
        <v>11</v>
      </c>
    </row>
    <row r="31" spans="1:20" ht="13.5" thickBot="1">
      <c r="A31" s="470" t="s">
        <v>2396</v>
      </c>
      <c r="B31" s="366" t="s">
        <v>222</v>
      </c>
      <c r="C31" s="341">
        <v>210361.14</v>
      </c>
      <c r="D31" s="341">
        <v>209386.85</v>
      </c>
      <c r="E31" s="341">
        <v>217411.88</v>
      </c>
      <c r="F31" s="341">
        <v>177209.01</v>
      </c>
      <c r="G31" s="341">
        <v>188750.24</v>
      </c>
      <c r="H31" s="341">
        <v>241721.45</v>
      </c>
      <c r="I31" s="341">
        <v>296382.924</v>
      </c>
      <c r="J31" s="341">
        <v>347239.82</v>
      </c>
      <c r="K31" s="341">
        <v>280553.40999999997</v>
      </c>
      <c r="L31" s="341">
        <v>161340.82999999999</v>
      </c>
      <c r="M31" s="341">
        <v>164723.22</v>
      </c>
      <c r="N31" s="341">
        <v>204277.05001000001</v>
      </c>
      <c r="O31" s="337">
        <v>2699357.8240100001</v>
      </c>
      <c r="P31" s="77"/>
      <c r="Q31" s="77" t="str">
        <f t="shared" si="0"/>
        <v>0032</v>
      </c>
      <c r="R31" s="77" t="str">
        <f t="shared" si="1"/>
        <v>01</v>
      </c>
      <c r="S31" s="77" t="str">
        <f t="shared" si="2"/>
        <v>003201</v>
      </c>
      <c r="T31" s="77">
        <f t="shared" si="3"/>
        <v>12</v>
      </c>
    </row>
    <row r="32" spans="1:20" ht="13.5" thickBot="1">
      <c r="A32" s="471"/>
      <c r="B32" s="366" t="s">
        <v>230</v>
      </c>
      <c r="C32" s="341">
        <v>9241</v>
      </c>
      <c r="D32" s="341">
        <v>10039</v>
      </c>
      <c r="E32" s="341">
        <v>9309</v>
      </c>
      <c r="F32" s="341">
        <v>7742</v>
      </c>
      <c r="G32" s="341">
        <v>117637</v>
      </c>
      <c r="H32" s="341">
        <v>281049</v>
      </c>
      <c r="I32" s="341">
        <v>600115</v>
      </c>
      <c r="J32" s="341">
        <v>592854</v>
      </c>
      <c r="K32" s="341">
        <v>70493</v>
      </c>
      <c r="L32" s="341">
        <v>24063</v>
      </c>
      <c r="M32" s="341">
        <v>4869</v>
      </c>
      <c r="N32" s="341">
        <v>5349</v>
      </c>
      <c r="O32" s="337">
        <v>1732760</v>
      </c>
      <c r="P32" s="77"/>
      <c r="Q32" s="77" t="str">
        <f t="shared" si="0"/>
        <v>0032</v>
      </c>
      <c r="R32" s="77" t="str">
        <f t="shared" si="1"/>
        <v>39</v>
      </c>
      <c r="S32" s="77" t="str">
        <f t="shared" si="2"/>
        <v>003239</v>
      </c>
      <c r="T32" s="77">
        <f t="shared" si="3"/>
        <v>12</v>
      </c>
    </row>
    <row r="33" spans="1:20" ht="13.5" thickBot="1">
      <c r="A33" s="471"/>
      <c r="B33" s="366" t="s">
        <v>236</v>
      </c>
      <c r="C33" s="341">
        <v>2188</v>
      </c>
      <c r="D33" s="341">
        <v>2277</v>
      </c>
      <c r="E33" s="341">
        <v>1907</v>
      </c>
      <c r="F33" s="341">
        <v>276</v>
      </c>
      <c r="G33" s="341">
        <v>338</v>
      </c>
      <c r="H33" s="341">
        <v>1486</v>
      </c>
      <c r="I33" s="341">
        <v>2806</v>
      </c>
      <c r="J33" s="341">
        <v>4933</v>
      </c>
      <c r="K33" s="341">
        <v>2993</v>
      </c>
      <c r="L33" s="341">
        <v>661</v>
      </c>
      <c r="M33" s="341">
        <v>1473</v>
      </c>
      <c r="N33" s="341">
        <v>2457</v>
      </c>
      <c r="O33" s="337">
        <v>23795</v>
      </c>
      <c r="P33" s="77"/>
      <c r="Q33" s="77" t="str">
        <f t="shared" si="0"/>
        <v>0032</v>
      </c>
      <c r="R33" s="77" t="str">
        <f t="shared" si="1"/>
        <v>80</v>
      </c>
      <c r="S33" s="77" t="str">
        <f t="shared" si="2"/>
        <v>003280</v>
      </c>
      <c r="T33" s="77">
        <f t="shared" si="3"/>
        <v>12</v>
      </c>
    </row>
    <row r="34" spans="1:20" ht="13.5" thickBot="1">
      <c r="A34" s="472"/>
      <c r="B34" s="367" t="s">
        <v>277</v>
      </c>
      <c r="C34" s="343">
        <v>221790.14</v>
      </c>
      <c r="D34" s="343">
        <v>221702.85</v>
      </c>
      <c r="E34" s="343">
        <v>228627.88</v>
      </c>
      <c r="F34" s="343">
        <v>185227.01</v>
      </c>
      <c r="G34" s="343">
        <v>306725.24</v>
      </c>
      <c r="H34" s="343">
        <v>524256.45</v>
      </c>
      <c r="I34" s="343">
        <v>899303.924</v>
      </c>
      <c r="J34" s="343">
        <v>945026.82</v>
      </c>
      <c r="K34" s="343">
        <v>354039.41</v>
      </c>
      <c r="L34" s="343">
        <v>186064.83</v>
      </c>
      <c r="M34" s="343">
        <v>171065.22</v>
      </c>
      <c r="N34" s="343">
        <v>212083.05001000001</v>
      </c>
      <c r="O34" s="339">
        <v>4455912.8240099996</v>
      </c>
      <c r="P34" s="77"/>
      <c r="Q34" s="77" t="str">
        <f t="shared" si="0"/>
        <v>0032</v>
      </c>
      <c r="R34" s="77" t="str">
        <f t="shared" si="1"/>
        <v/>
      </c>
      <c r="S34" s="77" t="str">
        <f t="shared" si="2"/>
        <v>0032</v>
      </c>
      <c r="T34" s="77">
        <f t="shared" si="3"/>
        <v>12</v>
      </c>
    </row>
    <row r="35" spans="1:20" ht="13.5" thickBot="1">
      <c r="A35" s="470" t="s">
        <v>2397</v>
      </c>
      <c r="B35" s="366" t="s">
        <v>232</v>
      </c>
      <c r="C35" s="341">
        <v>2013.3330000000001</v>
      </c>
      <c r="D35" s="341">
        <v>1752.001</v>
      </c>
      <c r="E35" s="341">
        <v>1711.778</v>
      </c>
      <c r="F35" s="341">
        <v>1805.778</v>
      </c>
      <c r="G35" s="341">
        <v>1813.3340000000001</v>
      </c>
      <c r="H35" s="341">
        <v>1717.3340000000001</v>
      </c>
      <c r="I35" s="341">
        <v>1866.6669999999999</v>
      </c>
      <c r="J35" s="341">
        <v>1701.3340000000001</v>
      </c>
      <c r="K35" s="341">
        <v>1936</v>
      </c>
      <c r="L35" s="341">
        <v>1701.3340000000001</v>
      </c>
      <c r="M35" s="341">
        <v>1703.778</v>
      </c>
      <c r="N35" s="341">
        <v>1936</v>
      </c>
      <c r="O35" s="337">
        <v>21658.670999999998</v>
      </c>
      <c r="P35" s="77"/>
      <c r="Q35" s="77" t="str">
        <f t="shared" si="0"/>
        <v>0041</v>
      </c>
      <c r="R35" s="77" t="str">
        <f t="shared" si="1"/>
        <v>51</v>
      </c>
      <c r="S35" s="77" t="str">
        <f t="shared" si="2"/>
        <v>004151</v>
      </c>
      <c r="T35" s="77">
        <f t="shared" si="3"/>
        <v>13</v>
      </c>
    </row>
    <row r="36" spans="1:20" ht="13.5" thickBot="1">
      <c r="A36" s="472"/>
      <c r="B36" s="367" t="s">
        <v>277</v>
      </c>
      <c r="C36" s="343">
        <v>2013.3330000000001</v>
      </c>
      <c r="D36" s="343">
        <v>1752.001</v>
      </c>
      <c r="E36" s="343">
        <v>1711.778</v>
      </c>
      <c r="F36" s="343">
        <v>1805.778</v>
      </c>
      <c r="G36" s="343">
        <v>1813.3340000000001</v>
      </c>
      <c r="H36" s="343">
        <v>1717.3340000000001</v>
      </c>
      <c r="I36" s="343">
        <v>1866.6669999999999</v>
      </c>
      <c r="J36" s="343">
        <v>1701.3340000000001</v>
      </c>
      <c r="K36" s="343">
        <v>1936</v>
      </c>
      <c r="L36" s="343">
        <v>1701.3340000000001</v>
      </c>
      <c r="M36" s="343">
        <v>1703.778</v>
      </c>
      <c r="N36" s="343">
        <v>1936</v>
      </c>
      <c r="O36" s="339">
        <v>21658.670999999998</v>
      </c>
      <c r="P36" s="77"/>
      <c r="Q36" s="77" t="str">
        <f t="shared" si="0"/>
        <v>0041</v>
      </c>
      <c r="R36" s="77" t="str">
        <f t="shared" si="1"/>
        <v/>
      </c>
      <c r="S36" s="77" t="str">
        <f t="shared" si="2"/>
        <v>0041</v>
      </c>
      <c r="T36" s="77">
        <f t="shared" si="3"/>
        <v>13</v>
      </c>
    </row>
    <row r="37" spans="1:20" ht="13.5" thickBot="1">
      <c r="A37" s="470" t="s">
        <v>2398</v>
      </c>
      <c r="B37" s="366" t="s">
        <v>232</v>
      </c>
      <c r="C37" s="341">
        <v>499631.51899999997</v>
      </c>
      <c r="D37" s="341">
        <v>453250.63500000001</v>
      </c>
      <c r="E37" s="341">
        <v>454870.46500000003</v>
      </c>
      <c r="F37" s="341">
        <v>478405.96100000001</v>
      </c>
      <c r="G37" s="341">
        <v>473126.95199999999</v>
      </c>
      <c r="H37" s="341">
        <v>462325.86700000003</v>
      </c>
      <c r="I37" s="341">
        <v>483981.3</v>
      </c>
      <c r="J37" s="341">
        <v>464049.47112</v>
      </c>
      <c r="K37" s="341">
        <v>466611.56180999998</v>
      </c>
      <c r="L37" s="341">
        <v>466216.12699999998</v>
      </c>
      <c r="M37" s="341">
        <v>426466.95699999999</v>
      </c>
      <c r="N37" s="341">
        <v>528608.71600000001</v>
      </c>
      <c r="O37" s="337">
        <v>5657545.5319299996</v>
      </c>
      <c r="P37" s="77"/>
      <c r="Q37" s="77" t="str">
        <f t="shared" si="0"/>
        <v>0042</v>
      </c>
      <c r="R37" s="77" t="str">
        <f t="shared" si="1"/>
        <v>51</v>
      </c>
      <c r="S37" s="77" t="str">
        <f t="shared" si="2"/>
        <v>004251</v>
      </c>
      <c r="T37" s="77">
        <f t="shared" si="3"/>
        <v>14</v>
      </c>
    </row>
    <row r="38" spans="1:20" ht="13.5" thickBot="1">
      <c r="A38" s="472"/>
      <c r="B38" s="367" t="s">
        <v>277</v>
      </c>
      <c r="C38" s="343">
        <v>499631.51899999997</v>
      </c>
      <c r="D38" s="343">
        <v>453250.63500000001</v>
      </c>
      <c r="E38" s="343">
        <v>454870.46500000003</v>
      </c>
      <c r="F38" s="343">
        <v>478405.96100000001</v>
      </c>
      <c r="G38" s="343">
        <v>473126.95199999999</v>
      </c>
      <c r="H38" s="343">
        <v>462325.86700000003</v>
      </c>
      <c r="I38" s="343">
        <v>483981.3</v>
      </c>
      <c r="J38" s="343">
        <v>464049.47112</v>
      </c>
      <c r="K38" s="343">
        <v>466611.56180999998</v>
      </c>
      <c r="L38" s="343">
        <v>466216.12699999998</v>
      </c>
      <c r="M38" s="343">
        <v>426466.95699999999</v>
      </c>
      <c r="N38" s="343">
        <v>528608.71600000001</v>
      </c>
      <c r="O38" s="339">
        <v>5657545.5319299996</v>
      </c>
      <c r="P38" s="77"/>
      <c r="Q38" s="77" t="str">
        <f t="shared" si="0"/>
        <v>0042</v>
      </c>
      <c r="R38" s="77" t="str">
        <f t="shared" si="1"/>
        <v/>
      </c>
      <c r="S38" s="77" t="str">
        <f t="shared" si="2"/>
        <v>0042</v>
      </c>
      <c r="T38" s="77">
        <f t="shared" si="3"/>
        <v>14</v>
      </c>
    </row>
    <row r="39" spans="1:20" ht="13.5" thickBot="1">
      <c r="A39" s="470" t="s">
        <v>2399</v>
      </c>
      <c r="B39" s="366" t="s">
        <v>232</v>
      </c>
      <c r="C39" s="341">
        <v>23238.633999999998</v>
      </c>
      <c r="D39" s="341">
        <v>20861.5</v>
      </c>
      <c r="E39" s="341">
        <v>20280.541000000001</v>
      </c>
      <c r="F39" s="341">
        <v>22623.755000000001</v>
      </c>
      <c r="G39" s="341">
        <v>21185.133999999998</v>
      </c>
      <c r="H39" s="341">
        <v>21435.499</v>
      </c>
      <c r="I39" s="341">
        <v>22177.432000000001</v>
      </c>
      <c r="J39" s="341">
        <v>21307.934000000001</v>
      </c>
      <c r="K39" s="341">
        <v>21911.767</v>
      </c>
      <c r="L39" s="341">
        <v>21986.6</v>
      </c>
      <c r="M39" s="341">
        <v>20662.594000000001</v>
      </c>
      <c r="N39" s="341">
        <v>23684.178</v>
      </c>
      <c r="O39" s="337">
        <v>261355.568</v>
      </c>
      <c r="P39" s="77"/>
      <c r="Q39" s="77" t="str">
        <f t="shared" si="0"/>
        <v>0044</v>
      </c>
      <c r="R39" s="77" t="str">
        <f t="shared" si="1"/>
        <v>51</v>
      </c>
      <c r="S39" s="77" t="str">
        <f t="shared" si="2"/>
        <v>004451</v>
      </c>
      <c r="T39" s="77">
        <f t="shared" si="3"/>
        <v>16</v>
      </c>
    </row>
    <row r="40" spans="1:20" ht="13.5" thickBot="1">
      <c r="A40" s="472"/>
      <c r="B40" s="367" t="s">
        <v>277</v>
      </c>
      <c r="C40" s="343">
        <v>23238.633999999998</v>
      </c>
      <c r="D40" s="343">
        <v>20861.5</v>
      </c>
      <c r="E40" s="343">
        <v>20280.541000000001</v>
      </c>
      <c r="F40" s="343">
        <v>22623.755000000001</v>
      </c>
      <c r="G40" s="343">
        <v>21185.133999999998</v>
      </c>
      <c r="H40" s="343">
        <v>21435.499</v>
      </c>
      <c r="I40" s="343">
        <v>22177.432000000001</v>
      </c>
      <c r="J40" s="343">
        <v>21307.934000000001</v>
      </c>
      <c r="K40" s="343">
        <v>21911.767</v>
      </c>
      <c r="L40" s="343">
        <v>21986.6</v>
      </c>
      <c r="M40" s="343">
        <v>20662.594000000001</v>
      </c>
      <c r="N40" s="343">
        <v>23684.178</v>
      </c>
      <c r="O40" s="339">
        <v>261355.568</v>
      </c>
      <c r="P40" s="77"/>
      <c r="Q40" s="77" t="str">
        <f t="shared" ref="Q40:Q72" si="4">IF(ISBLANK(A40),Q39,TRIM(A40))</f>
        <v>0044</v>
      </c>
      <c r="R40" s="77" t="str">
        <f t="shared" ref="R40:R72" si="5">IF(ISBLANK(B40),"",IF(CODE(LEFT(B40,1))&gt;57,"",LEFT(B40,2)))</f>
        <v/>
      </c>
      <c r="S40" s="77" t="str">
        <f t="shared" ref="S40:S71" si="6">Q40&amp;R40</f>
        <v>0044</v>
      </c>
      <c r="T40" s="77">
        <f t="shared" ref="T40:T75" si="7">MATCH(Q40,$A$103:$A$129,0)</f>
        <v>16</v>
      </c>
    </row>
    <row r="41" spans="1:20" ht="13.5" thickBot="1">
      <c r="A41" s="470" t="s">
        <v>2400</v>
      </c>
      <c r="B41" s="366" t="s">
        <v>232</v>
      </c>
      <c r="C41" s="341">
        <v>31175.535</v>
      </c>
      <c r="D41" s="341">
        <v>28055.567999999999</v>
      </c>
      <c r="E41" s="341">
        <v>28024.328000000001</v>
      </c>
      <c r="F41" s="341">
        <v>29123.865000000002</v>
      </c>
      <c r="G41" s="341">
        <v>30794.067999999999</v>
      </c>
      <c r="H41" s="341">
        <v>28109.435000000001</v>
      </c>
      <c r="I41" s="341">
        <v>29458.333999999999</v>
      </c>
      <c r="J41" s="341">
        <v>30304.867999999999</v>
      </c>
      <c r="K41" s="341">
        <v>29568.268</v>
      </c>
      <c r="L41" s="341">
        <v>28163.302</v>
      </c>
      <c r="M41" s="341">
        <v>29595.411</v>
      </c>
      <c r="N41" s="341">
        <v>31067.802</v>
      </c>
      <c r="O41" s="337">
        <v>353440.78399999999</v>
      </c>
      <c r="P41" s="77"/>
      <c r="Q41" s="77" t="str">
        <f t="shared" si="4"/>
        <v>0045</v>
      </c>
      <c r="R41" s="77" t="str">
        <f t="shared" si="5"/>
        <v>51</v>
      </c>
      <c r="S41" s="77" t="str">
        <f t="shared" si="6"/>
        <v>004551</v>
      </c>
      <c r="T41" s="77">
        <f t="shared" si="7"/>
        <v>17</v>
      </c>
    </row>
    <row r="42" spans="1:20" ht="13.5" thickBot="1">
      <c r="A42" s="472"/>
      <c r="B42" s="367" t="s">
        <v>277</v>
      </c>
      <c r="C42" s="343">
        <v>31175.535</v>
      </c>
      <c r="D42" s="343">
        <v>28055.567999999999</v>
      </c>
      <c r="E42" s="343">
        <v>28024.328000000001</v>
      </c>
      <c r="F42" s="343">
        <v>29123.865000000002</v>
      </c>
      <c r="G42" s="343">
        <v>30794.067999999999</v>
      </c>
      <c r="H42" s="343">
        <v>28109.435000000001</v>
      </c>
      <c r="I42" s="343">
        <v>29458.333999999999</v>
      </c>
      <c r="J42" s="343">
        <v>30304.867999999999</v>
      </c>
      <c r="K42" s="343">
        <v>29568.268</v>
      </c>
      <c r="L42" s="343">
        <v>28163.302</v>
      </c>
      <c r="M42" s="343">
        <v>29595.411</v>
      </c>
      <c r="N42" s="343">
        <v>31067.802</v>
      </c>
      <c r="O42" s="339">
        <v>353440.78399999999</v>
      </c>
      <c r="P42" s="77"/>
      <c r="Q42" s="77" t="str">
        <f t="shared" si="4"/>
        <v>0045</v>
      </c>
      <c r="R42" s="77" t="str">
        <f t="shared" si="5"/>
        <v/>
      </c>
      <c r="S42" s="77" t="str">
        <f t="shared" si="6"/>
        <v>0045</v>
      </c>
      <c r="T42" s="77">
        <f t="shared" si="7"/>
        <v>17</v>
      </c>
    </row>
    <row r="43" spans="1:20" ht="13.5" thickBot="1">
      <c r="A43" s="470" t="s">
        <v>2401</v>
      </c>
      <c r="B43" s="366" t="s">
        <v>232</v>
      </c>
      <c r="C43" s="341">
        <v>85144.964999999997</v>
      </c>
      <c r="D43" s="341">
        <v>75546.933000000005</v>
      </c>
      <c r="E43" s="341">
        <v>75588.040999999997</v>
      </c>
      <c r="F43" s="341">
        <v>76859.145999999993</v>
      </c>
      <c r="G43" s="341">
        <v>82571.232000000004</v>
      </c>
      <c r="H43" s="341">
        <v>77555.032000000007</v>
      </c>
      <c r="I43" s="341">
        <v>81478.998999999996</v>
      </c>
      <c r="J43" s="341">
        <v>78087.032000000007</v>
      </c>
      <c r="K43" s="341">
        <v>80117.432000000001</v>
      </c>
      <c r="L43" s="341">
        <v>78953.532000000007</v>
      </c>
      <c r="M43" s="341">
        <v>77363.637000000002</v>
      </c>
      <c r="N43" s="341">
        <v>80041.87</v>
      </c>
      <c r="O43" s="337">
        <v>949307.85100000002</v>
      </c>
      <c r="P43" s="77"/>
      <c r="Q43" s="77" t="str">
        <f t="shared" si="4"/>
        <v>0046</v>
      </c>
      <c r="R43" s="77" t="str">
        <f t="shared" si="5"/>
        <v>51</v>
      </c>
      <c r="S43" s="77" t="str">
        <f t="shared" si="6"/>
        <v>004651</v>
      </c>
      <c r="T43" s="77">
        <f t="shared" si="7"/>
        <v>18</v>
      </c>
    </row>
    <row r="44" spans="1:20" ht="13.5" thickBot="1">
      <c r="A44" s="472"/>
      <c r="B44" s="367" t="s">
        <v>277</v>
      </c>
      <c r="C44" s="343">
        <v>85144.964999999997</v>
      </c>
      <c r="D44" s="343">
        <v>75546.933000000005</v>
      </c>
      <c r="E44" s="343">
        <v>75588.040999999997</v>
      </c>
      <c r="F44" s="343">
        <v>76859.145999999993</v>
      </c>
      <c r="G44" s="343">
        <v>82571.232000000004</v>
      </c>
      <c r="H44" s="343">
        <v>77555.032000000007</v>
      </c>
      <c r="I44" s="343">
        <v>81478.998999999996</v>
      </c>
      <c r="J44" s="343">
        <v>78087.032000000007</v>
      </c>
      <c r="K44" s="343">
        <v>80117.432000000001</v>
      </c>
      <c r="L44" s="343">
        <v>78953.532000000007</v>
      </c>
      <c r="M44" s="343">
        <v>77363.637000000002</v>
      </c>
      <c r="N44" s="343">
        <v>80041.87</v>
      </c>
      <c r="O44" s="339">
        <v>949307.85100000002</v>
      </c>
      <c r="P44" s="77"/>
      <c r="Q44" s="77" t="str">
        <f t="shared" si="4"/>
        <v>0046</v>
      </c>
      <c r="R44" s="77" t="str">
        <f t="shared" si="5"/>
        <v/>
      </c>
      <c r="S44" s="77" t="str">
        <f t="shared" si="6"/>
        <v>0046</v>
      </c>
      <c r="T44" s="77">
        <f t="shared" si="7"/>
        <v>18</v>
      </c>
    </row>
    <row r="45" spans="1:20" ht="13.5" thickBot="1">
      <c r="A45" s="470" t="s">
        <v>2402</v>
      </c>
      <c r="B45" s="366" t="s">
        <v>226</v>
      </c>
      <c r="C45" s="341">
        <v>44134.608</v>
      </c>
      <c r="D45" s="341">
        <v>40083.213000000003</v>
      </c>
      <c r="E45" s="341">
        <v>39711.889000000003</v>
      </c>
      <c r="F45" s="341">
        <v>41342.697</v>
      </c>
      <c r="G45" s="341">
        <v>-90.376059999999995</v>
      </c>
      <c r="H45" s="341">
        <v>39749.413999999997</v>
      </c>
      <c r="I45" s="341">
        <v>39917.417999999998</v>
      </c>
      <c r="J45" s="341">
        <v>39431.125999999997</v>
      </c>
      <c r="K45" s="341">
        <v>40405.703999999998</v>
      </c>
      <c r="L45" s="341">
        <v>36954.046000000002</v>
      </c>
      <c r="M45" s="341">
        <v>36616.197999999997</v>
      </c>
      <c r="N45" s="341">
        <v>39503.442000000003</v>
      </c>
      <c r="O45" s="337">
        <v>437759.37894000002</v>
      </c>
      <c r="P45" s="77"/>
      <c r="Q45" s="77" t="str">
        <f t="shared" si="4"/>
        <v>0047</v>
      </c>
      <c r="R45" s="77" t="str">
        <f t="shared" si="5"/>
        <v>21</v>
      </c>
      <c r="S45" s="77" t="str">
        <f t="shared" si="6"/>
        <v>004721</v>
      </c>
      <c r="T45" s="77">
        <f t="shared" si="7"/>
        <v>19</v>
      </c>
    </row>
    <row r="46" spans="1:20" ht="13.5" thickBot="1">
      <c r="A46" s="471"/>
      <c r="B46" s="366" t="s">
        <v>228</v>
      </c>
      <c r="C46" s="341">
        <v>1011.667</v>
      </c>
      <c r="D46" s="341">
        <v>1001.732</v>
      </c>
      <c r="E46" s="341">
        <v>988.94100000000003</v>
      </c>
      <c r="F46" s="341">
        <v>1059.8630000000001</v>
      </c>
      <c r="G46" s="341">
        <v>1048.5</v>
      </c>
      <c r="H46" s="341">
        <v>1033.3989999999999</v>
      </c>
      <c r="I46" s="341">
        <v>1062.2660000000001</v>
      </c>
      <c r="J46" s="341">
        <v>1035.7670000000001</v>
      </c>
      <c r="K46" s="341">
        <v>1078.0999999999999</v>
      </c>
      <c r="L46" s="341">
        <v>1016.533</v>
      </c>
      <c r="M46" s="341">
        <v>1021.11</v>
      </c>
      <c r="N46" s="341">
        <v>1106.32</v>
      </c>
      <c r="O46" s="337">
        <v>12464.198</v>
      </c>
      <c r="P46" s="77"/>
      <c r="Q46" s="77" t="str">
        <f t="shared" si="4"/>
        <v>0047</v>
      </c>
      <c r="R46" s="77" t="str">
        <f t="shared" si="5"/>
        <v>31</v>
      </c>
      <c r="S46" s="77" t="str">
        <f t="shared" si="6"/>
        <v>004731</v>
      </c>
      <c r="T46" s="77">
        <f t="shared" si="7"/>
        <v>19</v>
      </c>
    </row>
    <row r="47" spans="1:20" ht="13.5" thickBot="1">
      <c r="A47" s="472"/>
      <c r="B47" s="367" t="s">
        <v>277</v>
      </c>
      <c r="C47" s="343">
        <v>45146.275000000001</v>
      </c>
      <c r="D47" s="343">
        <v>41084.945</v>
      </c>
      <c r="E47" s="343">
        <v>40700.83</v>
      </c>
      <c r="F47" s="343">
        <v>42402.559999999998</v>
      </c>
      <c r="G47" s="343">
        <v>958.12393999999995</v>
      </c>
      <c r="H47" s="343">
        <v>40782.813000000002</v>
      </c>
      <c r="I47" s="343">
        <v>40979.684000000001</v>
      </c>
      <c r="J47" s="343">
        <v>40466.892999999996</v>
      </c>
      <c r="K47" s="343">
        <v>41483.803999999996</v>
      </c>
      <c r="L47" s="343">
        <v>37970.578999999998</v>
      </c>
      <c r="M47" s="343">
        <v>37637.307999999997</v>
      </c>
      <c r="N47" s="343">
        <v>40609.762000000002</v>
      </c>
      <c r="O47" s="339">
        <v>450223.57694</v>
      </c>
      <c r="P47" s="77"/>
      <c r="Q47" s="77" t="str">
        <f t="shared" si="4"/>
        <v>0047</v>
      </c>
      <c r="R47" s="77" t="str">
        <f t="shared" si="5"/>
        <v/>
      </c>
      <c r="S47" s="77" t="str">
        <f t="shared" si="6"/>
        <v>0047</v>
      </c>
      <c r="T47" s="77">
        <f t="shared" si="7"/>
        <v>19</v>
      </c>
    </row>
    <row r="48" spans="1:20" ht="13.5" thickBot="1">
      <c r="A48" s="470" t="s">
        <v>2403</v>
      </c>
      <c r="B48" s="366" t="s">
        <v>222</v>
      </c>
      <c r="C48" s="341">
        <v>92555.171000000002</v>
      </c>
      <c r="D48" s="341">
        <v>85478.251000000004</v>
      </c>
      <c r="E48" s="341">
        <v>84441.528000000006</v>
      </c>
      <c r="F48" s="341">
        <v>87294.956000000006</v>
      </c>
      <c r="G48" s="341">
        <v>85220.774999999994</v>
      </c>
      <c r="H48" s="341">
        <v>86864.987999999998</v>
      </c>
      <c r="I48" s="341">
        <v>85744.168000000005</v>
      </c>
      <c r="J48" s="341">
        <v>84570.558000000005</v>
      </c>
      <c r="K48" s="341">
        <v>87140.58</v>
      </c>
      <c r="L48" s="341">
        <v>81189.304000000004</v>
      </c>
      <c r="M48" s="341">
        <v>81035.201000000001</v>
      </c>
      <c r="N48" s="341">
        <v>87088.898010000004</v>
      </c>
      <c r="O48" s="337">
        <v>1028624.37801</v>
      </c>
      <c r="P48" s="77"/>
      <c r="Q48" s="77" t="str">
        <f t="shared" si="4"/>
        <v>0048</v>
      </c>
      <c r="R48" s="77" t="str">
        <f t="shared" si="5"/>
        <v>01</v>
      </c>
      <c r="S48" s="77" t="str">
        <f t="shared" si="6"/>
        <v>004801</v>
      </c>
      <c r="T48" s="77">
        <f t="shared" si="7"/>
        <v>20</v>
      </c>
    </row>
    <row r="49" spans="1:20" ht="13.5" thickBot="1">
      <c r="A49" s="472"/>
      <c r="B49" s="367" t="s">
        <v>277</v>
      </c>
      <c r="C49" s="343">
        <v>92555.171000000002</v>
      </c>
      <c r="D49" s="343">
        <v>85478.251000000004</v>
      </c>
      <c r="E49" s="343">
        <v>84441.528000000006</v>
      </c>
      <c r="F49" s="343">
        <v>87294.956000000006</v>
      </c>
      <c r="G49" s="343">
        <v>85220.774999999994</v>
      </c>
      <c r="H49" s="343">
        <v>86864.987999999998</v>
      </c>
      <c r="I49" s="343">
        <v>85744.168000000005</v>
      </c>
      <c r="J49" s="343">
        <v>84570.558000000005</v>
      </c>
      <c r="K49" s="343">
        <v>87140.58</v>
      </c>
      <c r="L49" s="343">
        <v>81189.304000000004</v>
      </c>
      <c r="M49" s="343">
        <v>81035.201000000001</v>
      </c>
      <c r="N49" s="343">
        <v>87088.898010000004</v>
      </c>
      <c r="O49" s="339">
        <v>1028624.37801</v>
      </c>
      <c r="P49" s="77"/>
      <c r="Q49" s="77" t="str">
        <f t="shared" si="4"/>
        <v>0048</v>
      </c>
      <c r="R49" s="77" t="str">
        <f t="shared" si="5"/>
        <v/>
      </c>
      <c r="S49" s="77" t="str">
        <f t="shared" si="6"/>
        <v>0048</v>
      </c>
      <c r="T49" s="77">
        <f t="shared" si="7"/>
        <v>20</v>
      </c>
    </row>
    <row r="50" spans="1:20" ht="13.5" thickBot="1">
      <c r="A50" s="470" t="s">
        <v>2414</v>
      </c>
      <c r="B50" s="366" t="s">
        <v>222</v>
      </c>
      <c r="C50" s="341">
        <v>-287.476</v>
      </c>
      <c r="D50" s="341">
        <v>0</v>
      </c>
      <c r="E50" s="341">
        <v>0</v>
      </c>
      <c r="F50" s="341">
        <v>0</v>
      </c>
      <c r="G50" s="341">
        <v>0</v>
      </c>
      <c r="H50" s="341">
        <v>0</v>
      </c>
      <c r="I50" s="341">
        <v>0</v>
      </c>
      <c r="J50" s="341">
        <v>0</v>
      </c>
      <c r="K50" s="341">
        <v>0</v>
      </c>
      <c r="L50" s="341">
        <v>0</v>
      </c>
      <c r="M50" s="341">
        <v>0</v>
      </c>
      <c r="N50" s="341">
        <v>0</v>
      </c>
      <c r="O50" s="337">
        <v>-287.476</v>
      </c>
      <c r="P50" s="77"/>
      <c r="Q50" s="77" t="str">
        <f t="shared" si="4"/>
        <v>0049</v>
      </c>
      <c r="R50" s="77" t="str">
        <f t="shared" si="5"/>
        <v>01</v>
      </c>
      <c r="S50" s="77" t="str">
        <f t="shared" si="6"/>
        <v>004901</v>
      </c>
      <c r="T50" s="77">
        <f t="shared" si="7"/>
        <v>21</v>
      </c>
    </row>
    <row r="51" spans="1:20" ht="13.5" thickBot="1">
      <c r="A51" s="471"/>
      <c r="B51" s="366" t="s">
        <v>226</v>
      </c>
      <c r="C51" s="341">
        <v>200352.85</v>
      </c>
      <c r="D51" s="341">
        <v>179292.0196</v>
      </c>
      <c r="E51" s="341">
        <v>183885.103</v>
      </c>
      <c r="F51" s="341">
        <v>190786.777</v>
      </c>
      <c r="G51" s="341">
        <v>187413.19200000001</v>
      </c>
      <c r="H51" s="341">
        <v>188756.65</v>
      </c>
      <c r="I51" s="341">
        <v>192952.41500000001</v>
      </c>
      <c r="J51" s="341">
        <v>187270.13399999999</v>
      </c>
      <c r="K51" s="341">
        <v>195352.77100000001</v>
      </c>
      <c r="L51" s="341">
        <v>182791.326</v>
      </c>
      <c r="M51" s="341">
        <v>181750.18299999999</v>
      </c>
      <c r="N51" s="341">
        <v>202172.742</v>
      </c>
      <c r="O51" s="337">
        <v>2272776.1625999999</v>
      </c>
      <c r="P51" s="77"/>
      <c r="Q51" s="77" t="str">
        <f t="shared" si="4"/>
        <v>0049</v>
      </c>
      <c r="R51" s="77" t="str">
        <f t="shared" si="5"/>
        <v>21</v>
      </c>
      <c r="S51" s="77" t="str">
        <f t="shared" si="6"/>
        <v>004921</v>
      </c>
      <c r="T51" s="77">
        <f t="shared" si="7"/>
        <v>21</v>
      </c>
    </row>
    <row r="52" spans="1:20" ht="13.5" thickBot="1">
      <c r="A52" s="471"/>
      <c r="B52" s="366" t="s">
        <v>228</v>
      </c>
      <c r="C52" s="341">
        <v>4942.5680000000002</v>
      </c>
      <c r="D52" s="341">
        <v>4504.7</v>
      </c>
      <c r="E52" s="341">
        <v>4489.9840000000004</v>
      </c>
      <c r="F52" s="341">
        <v>4817.5529999999999</v>
      </c>
      <c r="G52" s="341">
        <v>4572.6989999999996</v>
      </c>
      <c r="H52" s="341">
        <v>4608.2640000000001</v>
      </c>
      <c r="I52" s="341">
        <v>4764.2669999999998</v>
      </c>
      <c r="J52" s="341">
        <v>4607.6329999999998</v>
      </c>
      <c r="K52" s="341">
        <v>4715.8230000000003</v>
      </c>
      <c r="L52" s="341">
        <v>4566.9660000000003</v>
      </c>
      <c r="M52" s="341">
        <v>4482.1859999999997</v>
      </c>
      <c r="N52" s="341">
        <v>4872.4229999999998</v>
      </c>
      <c r="O52" s="337">
        <v>55945.065999999999</v>
      </c>
      <c r="P52" s="77"/>
      <c r="Q52" s="77" t="str">
        <f t="shared" si="4"/>
        <v>0049</v>
      </c>
      <c r="R52" s="77" t="str">
        <f t="shared" si="5"/>
        <v>31</v>
      </c>
      <c r="S52" s="77" t="str">
        <f t="shared" si="6"/>
        <v>004931</v>
      </c>
      <c r="T52" s="77">
        <f t="shared" si="7"/>
        <v>21</v>
      </c>
    </row>
    <row r="53" spans="1:20" ht="13.5" thickBot="1">
      <c r="A53" s="471"/>
      <c r="B53" s="366" t="s">
        <v>230</v>
      </c>
      <c r="C53" s="341">
        <v>44</v>
      </c>
      <c r="D53" s="341">
        <v>38.667000000000002</v>
      </c>
      <c r="E53" s="341">
        <v>38.610999999999997</v>
      </c>
      <c r="F53" s="341">
        <v>40</v>
      </c>
      <c r="G53" s="341">
        <v>41.332999999999998</v>
      </c>
      <c r="H53" s="341">
        <v>40</v>
      </c>
      <c r="I53" s="341">
        <v>40</v>
      </c>
      <c r="J53" s="341">
        <v>42.667000000000002</v>
      </c>
      <c r="K53" s="341">
        <v>40</v>
      </c>
      <c r="L53" s="341">
        <v>38.667000000000002</v>
      </c>
      <c r="M53" s="341">
        <v>41.389000000000003</v>
      </c>
      <c r="N53" s="341">
        <v>41.332999999999998</v>
      </c>
      <c r="O53" s="337">
        <v>486.66699999999997</v>
      </c>
      <c r="P53" s="77"/>
      <c r="Q53" s="77" t="str">
        <f t="shared" si="4"/>
        <v>0049</v>
      </c>
      <c r="R53" s="77" t="str">
        <f t="shared" si="5"/>
        <v>39</v>
      </c>
      <c r="S53" s="77" t="str">
        <f t="shared" si="6"/>
        <v>004939</v>
      </c>
      <c r="T53" s="77">
        <f t="shared" si="7"/>
        <v>21</v>
      </c>
    </row>
    <row r="54" spans="1:20" ht="13.5" thickBot="1">
      <c r="A54" s="471"/>
      <c r="B54" s="366" t="s">
        <v>236</v>
      </c>
      <c r="C54" s="341">
        <v>61.747</v>
      </c>
      <c r="D54" s="341">
        <v>80.203000000000003</v>
      </c>
      <c r="E54" s="341">
        <v>100.425</v>
      </c>
      <c r="F54" s="341">
        <v>110.03100000000001</v>
      </c>
      <c r="G54" s="341">
        <v>112.24299999999999</v>
      </c>
      <c r="H54" s="341">
        <v>125.666</v>
      </c>
      <c r="I54" s="341">
        <v>138.666</v>
      </c>
      <c r="J54" s="341">
        <v>129.13300000000001</v>
      </c>
      <c r="K54" s="341">
        <v>132.6</v>
      </c>
      <c r="L54" s="341">
        <v>132.6</v>
      </c>
      <c r="M54" s="341">
        <v>125.846</v>
      </c>
      <c r="N54" s="341">
        <v>146.46700000000001</v>
      </c>
      <c r="O54" s="337">
        <v>1395.627</v>
      </c>
      <c r="P54" s="77"/>
      <c r="Q54" s="77" t="str">
        <f t="shared" si="4"/>
        <v>0049</v>
      </c>
      <c r="R54" s="77" t="str">
        <f t="shared" si="5"/>
        <v>80</v>
      </c>
      <c r="S54" s="77" t="str">
        <f t="shared" si="6"/>
        <v>004980</v>
      </c>
      <c r="T54" s="77">
        <f t="shared" si="7"/>
        <v>21</v>
      </c>
    </row>
    <row r="55" spans="1:20" ht="13.5" thickBot="1">
      <c r="A55" s="472"/>
      <c r="B55" s="367" t="s">
        <v>277</v>
      </c>
      <c r="C55" s="343">
        <v>205113.68900000001</v>
      </c>
      <c r="D55" s="343">
        <v>183915.58960000001</v>
      </c>
      <c r="E55" s="343">
        <v>188514.12299999999</v>
      </c>
      <c r="F55" s="343">
        <v>195754.361</v>
      </c>
      <c r="G55" s="343">
        <v>192139.467</v>
      </c>
      <c r="H55" s="343">
        <v>193530.58</v>
      </c>
      <c r="I55" s="343">
        <v>197895.348</v>
      </c>
      <c r="J55" s="343">
        <v>192049.56700000001</v>
      </c>
      <c r="K55" s="343">
        <v>200241.19399999999</v>
      </c>
      <c r="L55" s="343">
        <v>187529.55900000001</v>
      </c>
      <c r="M55" s="343">
        <v>186399.60399999999</v>
      </c>
      <c r="N55" s="343">
        <v>207232.965</v>
      </c>
      <c r="O55" s="339">
        <v>2330316.0466</v>
      </c>
      <c r="P55" s="77"/>
      <c r="Q55" s="77" t="str">
        <f t="shared" si="4"/>
        <v>0049</v>
      </c>
      <c r="R55" s="77" t="str">
        <f t="shared" si="5"/>
        <v/>
      </c>
      <c r="S55" s="77" t="str">
        <f t="shared" si="6"/>
        <v>0049</v>
      </c>
      <c r="T55" s="77">
        <f t="shared" si="7"/>
        <v>21</v>
      </c>
    </row>
    <row r="56" spans="1:20" ht="13.5" thickBot="1">
      <c r="A56" s="470" t="s">
        <v>2404</v>
      </c>
      <c r="B56" s="366" t="s">
        <v>222</v>
      </c>
      <c r="C56" s="341">
        <v>0</v>
      </c>
      <c r="D56" s="341">
        <v>0</v>
      </c>
      <c r="E56" s="341">
        <v>0</v>
      </c>
      <c r="F56" s="341">
        <v>0</v>
      </c>
      <c r="G56" s="341">
        <v>0</v>
      </c>
      <c r="H56" s="341">
        <v>0</v>
      </c>
      <c r="I56" s="341">
        <v>0</v>
      </c>
      <c r="J56" s="341">
        <v>0</v>
      </c>
      <c r="K56" s="341">
        <v>0</v>
      </c>
      <c r="L56" s="341">
        <v>0</v>
      </c>
      <c r="M56" s="341">
        <v>0</v>
      </c>
      <c r="N56" s="341">
        <v>0</v>
      </c>
      <c r="O56" s="337">
        <v>0</v>
      </c>
      <c r="P56" s="77"/>
      <c r="Q56" s="77" t="str">
        <f t="shared" si="4"/>
        <v>0058</v>
      </c>
      <c r="R56" s="77" t="str">
        <f t="shared" si="5"/>
        <v>01</v>
      </c>
      <c r="S56" s="77" t="str">
        <f t="shared" si="6"/>
        <v>005801</v>
      </c>
      <c r="T56" s="77">
        <f t="shared" si="7"/>
        <v>22</v>
      </c>
    </row>
    <row r="57" spans="1:20" ht="13.5" thickBot="1">
      <c r="A57" s="471"/>
      <c r="B57" s="366" t="s">
        <v>226</v>
      </c>
      <c r="C57" s="341">
        <v>0</v>
      </c>
      <c r="D57" s="341">
        <v>0</v>
      </c>
      <c r="E57" s="341">
        <v>0</v>
      </c>
      <c r="F57" s="341">
        <v>0</v>
      </c>
      <c r="G57" s="341">
        <v>0</v>
      </c>
      <c r="H57" s="341">
        <v>0</v>
      </c>
      <c r="I57" s="341">
        <v>0</v>
      </c>
      <c r="J57" s="341">
        <v>0</v>
      </c>
      <c r="K57" s="341">
        <v>0</v>
      </c>
      <c r="L57" s="341">
        <v>0</v>
      </c>
      <c r="M57" s="341">
        <v>0</v>
      </c>
      <c r="N57" s="341">
        <v>0</v>
      </c>
      <c r="O57" s="337">
        <v>0</v>
      </c>
      <c r="P57" s="77"/>
      <c r="Q57" s="77" t="str">
        <f t="shared" si="4"/>
        <v>0058</v>
      </c>
      <c r="R57" s="77" t="str">
        <f t="shared" si="5"/>
        <v>21</v>
      </c>
      <c r="S57" s="77" t="str">
        <f t="shared" si="6"/>
        <v>005821</v>
      </c>
      <c r="T57" s="77">
        <f t="shared" si="7"/>
        <v>22</v>
      </c>
    </row>
    <row r="58" spans="1:20" ht="13.5" thickBot="1">
      <c r="A58" s="471"/>
      <c r="B58" s="366" t="s">
        <v>228</v>
      </c>
      <c r="C58" s="341">
        <v>0</v>
      </c>
      <c r="D58" s="341">
        <v>0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N58" s="341">
        <v>0</v>
      </c>
      <c r="O58" s="337">
        <v>0</v>
      </c>
      <c r="P58" s="77"/>
      <c r="Q58" s="77" t="str">
        <f t="shared" si="4"/>
        <v>0058</v>
      </c>
      <c r="R58" s="77" t="str">
        <f t="shared" si="5"/>
        <v>31</v>
      </c>
      <c r="S58" s="77" t="str">
        <f t="shared" si="6"/>
        <v>005831</v>
      </c>
      <c r="T58" s="77">
        <f t="shared" si="7"/>
        <v>22</v>
      </c>
    </row>
    <row r="59" spans="1:20" ht="13.5" thickBot="1">
      <c r="A59" s="471"/>
      <c r="B59" s="366" t="s">
        <v>230</v>
      </c>
      <c r="C59" s="341">
        <v>0</v>
      </c>
      <c r="D59" s="341">
        <v>0</v>
      </c>
      <c r="E59" s="341">
        <v>0</v>
      </c>
      <c r="F59" s="341">
        <v>0</v>
      </c>
      <c r="G59" s="341">
        <v>0</v>
      </c>
      <c r="H59" s="341">
        <v>0</v>
      </c>
      <c r="I59" s="341">
        <v>0</v>
      </c>
      <c r="J59" s="341">
        <v>0</v>
      </c>
      <c r="K59" s="341">
        <v>0</v>
      </c>
      <c r="L59" s="341">
        <v>0</v>
      </c>
      <c r="M59" s="341">
        <v>0</v>
      </c>
      <c r="N59" s="341">
        <v>0</v>
      </c>
      <c r="O59" s="337">
        <v>0</v>
      </c>
      <c r="P59" s="77"/>
      <c r="Q59" s="77" t="str">
        <f t="shared" si="4"/>
        <v>0058</v>
      </c>
      <c r="R59" s="77" t="str">
        <f t="shared" si="5"/>
        <v>39</v>
      </c>
      <c r="S59" s="77" t="str">
        <f t="shared" si="6"/>
        <v>005839</v>
      </c>
      <c r="T59" s="77">
        <f t="shared" si="7"/>
        <v>22</v>
      </c>
    </row>
    <row r="60" spans="1:20" ht="13.5" thickBot="1">
      <c r="A60" s="471"/>
      <c r="B60" s="366" t="s">
        <v>232</v>
      </c>
      <c r="C60" s="341">
        <v>0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N60" s="341">
        <v>0</v>
      </c>
      <c r="O60" s="337">
        <v>0</v>
      </c>
      <c r="P60" s="77"/>
      <c r="Q60" s="77" t="str">
        <f t="shared" si="4"/>
        <v>0058</v>
      </c>
      <c r="R60" s="77" t="str">
        <f t="shared" si="5"/>
        <v>51</v>
      </c>
      <c r="S60" s="77" t="str">
        <f t="shared" si="6"/>
        <v>005851</v>
      </c>
      <c r="T60" s="77">
        <f t="shared" si="7"/>
        <v>22</v>
      </c>
    </row>
    <row r="61" spans="1:20" ht="13.5" thickBot="1">
      <c r="A61" s="471"/>
      <c r="B61" s="366" t="s">
        <v>240</v>
      </c>
      <c r="C61" s="341">
        <v>0</v>
      </c>
      <c r="D61" s="341">
        <v>0</v>
      </c>
      <c r="E61" s="341">
        <v>0</v>
      </c>
      <c r="F61" s="341">
        <v>0</v>
      </c>
      <c r="G61" s="341">
        <v>0</v>
      </c>
      <c r="H61" s="341">
        <v>0</v>
      </c>
      <c r="I61" s="341">
        <v>0</v>
      </c>
      <c r="J61" s="341">
        <v>0</v>
      </c>
      <c r="K61" s="341">
        <v>0</v>
      </c>
      <c r="L61" s="341">
        <v>0</v>
      </c>
      <c r="M61" s="341">
        <v>0</v>
      </c>
      <c r="N61" s="341">
        <v>0</v>
      </c>
      <c r="O61" s="337">
        <v>0</v>
      </c>
      <c r="P61" s="77"/>
      <c r="Q61" s="77" t="str">
        <f t="shared" si="4"/>
        <v>0058</v>
      </c>
      <c r="R61" s="77" t="str">
        <f t="shared" si="5"/>
        <v>85</v>
      </c>
      <c r="S61" s="77" t="str">
        <f t="shared" si="6"/>
        <v>005885</v>
      </c>
      <c r="T61" s="77">
        <f t="shared" si="7"/>
        <v>22</v>
      </c>
    </row>
    <row r="62" spans="1:20" ht="13.5" thickBot="1">
      <c r="A62" s="472"/>
      <c r="B62" s="367" t="s">
        <v>277</v>
      </c>
      <c r="C62" s="343">
        <v>0</v>
      </c>
      <c r="D62" s="343">
        <v>0</v>
      </c>
      <c r="E62" s="343">
        <v>0</v>
      </c>
      <c r="F62" s="343">
        <v>0</v>
      </c>
      <c r="G62" s="343">
        <v>0</v>
      </c>
      <c r="H62" s="343">
        <v>0</v>
      </c>
      <c r="I62" s="343">
        <v>0</v>
      </c>
      <c r="J62" s="343">
        <v>0</v>
      </c>
      <c r="K62" s="343">
        <v>0</v>
      </c>
      <c r="L62" s="343">
        <v>0</v>
      </c>
      <c r="M62" s="343">
        <v>0</v>
      </c>
      <c r="N62" s="343">
        <v>0</v>
      </c>
      <c r="O62" s="339">
        <v>0</v>
      </c>
      <c r="P62" s="77"/>
      <c r="Q62" s="77" t="str">
        <f t="shared" si="4"/>
        <v>0058</v>
      </c>
      <c r="R62" s="77" t="str">
        <f t="shared" si="5"/>
        <v/>
      </c>
      <c r="S62" s="77" t="str">
        <f t="shared" si="6"/>
        <v>0058</v>
      </c>
      <c r="T62" s="77">
        <f t="shared" si="7"/>
        <v>22</v>
      </c>
    </row>
    <row r="63" spans="1:20" ht="13.5" thickBot="1">
      <c r="A63" s="470" t="s">
        <v>2406</v>
      </c>
      <c r="B63" s="366" t="s">
        <v>222</v>
      </c>
      <c r="C63" s="341">
        <v>0</v>
      </c>
      <c r="D63" s="341">
        <v>0</v>
      </c>
      <c r="E63" s="341">
        <v>0</v>
      </c>
      <c r="F63" s="341">
        <v>0</v>
      </c>
      <c r="G63" s="341">
        <v>0</v>
      </c>
      <c r="H63" s="341">
        <v>0</v>
      </c>
      <c r="I63" s="341">
        <v>0</v>
      </c>
      <c r="J63" s="341">
        <v>0</v>
      </c>
      <c r="K63" s="341">
        <v>0</v>
      </c>
      <c r="L63" s="341">
        <v>0</v>
      </c>
      <c r="M63" s="341">
        <v>0</v>
      </c>
      <c r="N63" s="341">
        <v>0</v>
      </c>
      <c r="O63" s="337">
        <v>0</v>
      </c>
      <c r="P63" s="77"/>
      <c r="Q63" s="77" t="str">
        <f t="shared" si="4"/>
        <v>0095</v>
      </c>
      <c r="R63" s="77" t="str">
        <f t="shared" si="5"/>
        <v>01</v>
      </c>
      <c r="S63" s="77" t="str">
        <f t="shared" si="6"/>
        <v>009501</v>
      </c>
      <c r="T63" s="77">
        <f t="shared" si="7"/>
        <v>26</v>
      </c>
    </row>
    <row r="64" spans="1:20" ht="13.5" thickBot="1">
      <c r="A64" s="471"/>
      <c r="B64" s="366" t="s">
        <v>226</v>
      </c>
      <c r="C64" s="341">
        <v>0</v>
      </c>
      <c r="D64" s="341">
        <v>0</v>
      </c>
      <c r="E64" s="341">
        <v>0</v>
      </c>
      <c r="F64" s="341">
        <v>0</v>
      </c>
      <c r="G64" s="341">
        <v>0</v>
      </c>
      <c r="H64" s="341">
        <v>0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  <c r="N64" s="341">
        <v>0</v>
      </c>
      <c r="O64" s="337">
        <v>0</v>
      </c>
      <c r="P64" s="77"/>
      <c r="Q64" s="77" t="str">
        <f t="shared" si="4"/>
        <v>0095</v>
      </c>
      <c r="R64" s="77" t="str">
        <f t="shared" si="5"/>
        <v>21</v>
      </c>
      <c r="S64" s="77" t="str">
        <f t="shared" si="6"/>
        <v>009521</v>
      </c>
      <c r="T64" s="77">
        <f t="shared" si="7"/>
        <v>26</v>
      </c>
    </row>
    <row r="65" spans="1:20" ht="13.5" thickBot="1">
      <c r="A65" s="472"/>
      <c r="B65" s="367" t="s">
        <v>277</v>
      </c>
      <c r="C65" s="343">
        <v>0</v>
      </c>
      <c r="D65" s="343">
        <v>0</v>
      </c>
      <c r="E65" s="343">
        <v>0</v>
      </c>
      <c r="F65" s="343">
        <v>0</v>
      </c>
      <c r="G65" s="343">
        <v>0</v>
      </c>
      <c r="H65" s="343">
        <v>0</v>
      </c>
      <c r="I65" s="343">
        <v>0</v>
      </c>
      <c r="J65" s="343">
        <v>0</v>
      </c>
      <c r="K65" s="343">
        <v>0</v>
      </c>
      <c r="L65" s="343">
        <v>0</v>
      </c>
      <c r="M65" s="343">
        <v>0</v>
      </c>
      <c r="N65" s="343">
        <v>0</v>
      </c>
      <c r="O65" s="339">
        <v>0</v>
      </c>
      <c r="P65" s="77"/>
      <c r="Q65" s="77" t="str">
        <f t="shared" si="4"/>
        <v>0095</v>
      </c>
      <c r="R65" s="77" t="str">
        <f t="shared" si="5"/>
        <v/>
      </c>
      <c r="S65" s="77" t="str">
        <f t="shared" si="6"/>
        <v>0095</v>
      </c>
      <c r="T65" s="77">
        <f t="shared" si="7"/>
        <v>26</v>
      </c>
    </row>
    <row r="66" spans="1:20" ht="13.5" thickBot="1">
      <c r="A66" s="470" t="s">
        <v>2407</v>
      </c>
      <c r="B66" s="366" t="s">
        <v>238</v>
      </c>
      <c r="C66" s="341">
        <v>0</v>
      </c>
      <c r="D66" s="341">
        <v>0</v>
      </c>
      <c r="E66" s="341">
        <v>0</v>
      </c>
      <c r="F66" s="341">
        <v>0</v>
      </c>
      <c r="G66" s="341">
        <v>0</v>
      </c>
      <c r="H66" s="341">
        <v>0</v>
      </c>
      <c r="I66" s="341">
        <v>0</v>
      </c>
      <c r="J66" s="341">
        <v>0</v>
      </c>
      <c r="K66" s="341">
        <v>0</v>
      </c>
      <c r="L66" s="341">
        <v>0</v>
      </c>
      <c r="M66" s="341">
        <v>0</v>
      </c>
      <c r="N66" s="341">
        <v>0</v>
      </c>
      <c r="O66" s="337">
        <v>0</v>
      </c>
      <c r="P66" s="77"/>
      <c r="Q66" s="77" t="str">
        <f t="shared" si="4"/>
        <v>0099</v>
      </c>
      <c r="R66" s="77" t="str">
        <f t="shared" si="5"/>
        <v>83</v>
      </c>
      <c r="S66" s="77" t="str">
        <f t="shared" si="6"/>
        <v>009983</v>
      </c>
      <c r="T66" s="77">
        <f t="shared" si="7"/>
        <v>27</v>
      </c>
    </row>
    <row r="67" spans="1:20" ht="13.5" thickBot="1">
      <c r="A67" s="471"/>
      <c r="B67" s="366" t="s">
        <v>240</v>
      </c>
      <c r="C67" s="341">
        <v>0</v>
      </c>
      <c r="D67" s="341">
        <v>0</v>
      </c>
      <c r="E67" s="341">
        <v>0</v>
      </c>
      <c r="F67" s="341">
        <v>0</v>
      </c>
      <c r="G67" s="341">
        <v>0</v>
      </c>
      <c r="H67" s="341">
        <v>0</v>
      </c>
      <c r="I67" s="341">
        <v>0</v>
      </c>
      <c r="J67" s="341">
        <v>0</v>
      </c>
      <c r="K67" s="341">
        <v>0</v>
      </c>
      <c r="L67" s="341">
        <v>0</v>
      </c>
      <c r="M67" s="341">
        <v>0</v>
      </c>
      <c r="N67" s="341">
        <v>0</v>
      </c>
      <c r="O67" s="337">
        <v>0</v>
      </c>
      <c r="P67" s="77"/>
      <c r="Q67" s="77" t="str">
        <f t="shared" si="4"/>
        <v>0099</v>
      </c>
      <c r="R67" s="77" t="str">
        <f t="shared" si="5"/>
        <v>85</v>
      </c>
      <c r="S67" s="77" t="str">
        <f t="shared" si="6"/>
        <v>009985</v>
      </c>
      <c r="T67" s="77">
        <f t="shared" si="7"/>
        <v>27</v>
      </c>
    </row>
    <row r="68" spans="1:20" ht="13.5" thickBot="1">
      <c r="A68" s="472"/>
      <c r="B68" s="367" t="s">
        <v>277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>
        <v>0</v>
      </c>
      <c r="J68" s="343">
        <v>0</v>
      </c>
      <c r="K68" s="343">
        <v>0</v>
      </c>
      <c r="L68" s="343">
        <v>0</v>
      </c>
      <c r="M68" s="343">
        <v>0</v>
      </c>
      <c r="N68" s="343">
        <v>0</v>
      </c>
      <c r="O68" s="339">
        <v>0</v>
      </c>
      <c r="P68" s="77"/>
      <c r="Q68" s="77" t="str">
        <f t="shared" si="4"/>
        <v>0099</v>
      </c>
      <c r="R68" s="77" t="str">
        <f t="shared" si="5"/>
        <v/>
      </c>
      <c r="S68" s="77" t="str">
        <f t="shared" si="6"/>
        <v>0099</v>
      </c>
      <c r="T68" s="77">
        <f t="shared" si="7"/>
        <v>27</v>
      </c>
    </row>
    <row r="69" spans="1:20" ht="13.5" thickBot="1">
      <c r="A69" s="470" t="s">
        <v>2408</v>
      </c>
      <c r="B69" s="366" t="s">
        <v>228</v>
      </c>
      <c r="C69" s="341">
        <v>0</v>
      </c>
      <c r="D69" s="341">
        <v>0</v>
      </c>
      <c r="E69" s="341">
        <v>0</v>
      </c>
      <c r="F69" s="341">
        <v>0</v>
      </c>
      <c r="G69" s="341">
        <v>0</v>
      </c>
      <c r="H69" s="341">
        <v>0</v>
      </c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37">
        <v>0</v>
      </c>
      <c r="P69" s="77"/>
      <c r="Q69" s="77" t="str">
        <f t="shared" si="4"/>
        <v>025B</v>
      </c>
      <c r="R69" s="77" t="str">
        <f t="shared" si="5"/>
        <v>31</v>
      </c>
      <c r="S69" s="77" t="str">
        <f t="shared" si="6"/>
        <v>025B31</v>
      </c>
      <c r="T69" s="77" t="e">
        <f t="shared" si="7"/>
        <v>#N/A</v>
      </c>
    </row>
    <row r="70" spans="1:20" ht="13.5" thickBot="1">
      <c r="A70" s="472"/>
      <c r="B70" s="367" t="s">
        <v>277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>
        <v>0</v>
      </c>
      <c r="J70" s="343">
        <v>0</v>
      </c>
      <c r="K70" s="343">
        <v>0</v>
      </c>
      <c r="L70" s="343">
        <v>0</v>
      </c>
      <c r="M70" s="343">
        <v>0</v>
      </c>
      <c r="N70" s="343">
        <v>0</v>
      </c>
      <c r="O70" s="339">
        <v>0</v>
      </c>
      <c r="P70" s="77"/>
      <c r="Q70" s="77" t="str">
        <f t="shared" si="4"/>
        <v>025B</v>
      </c>
      <c r="R70" s="77" t="str">
        <f t="shared" si="5"/>
        <v/>
      </c>
      <c r="S70" s="77" t="str">
        <f t="shared" si="6"/>
        <v>025B</v>
      </c>
      <c r="T70" s="77" t="e">
        <f t="shared" si="7"/>
        <v>#N/A</v>
      </c>
    </row>
    <row r="71" spans="1:20" ht="13.5" thickBot="1">
      <c r="A71" s="470" t="s">
        <v>376</v>
      </c>
      <c r="B71" s="366" t="s">
        <v>228</v>
      </c>
      <c r="C71" s="341">
        <v>34319970</v>
      </c>
      <c r="D71" s="341">
        <v>35210010</v>
      </c>
      <c r="E71" s="341">
        <v>30823170</v>
      </c>
      <c r="F71" s="341">
        <v>35740380</v>
      </c>
      <c r="G71" s="341">
        <v>31016760</v>
      </c>
      <c r="H71" s="341">
        <v>32290770</v>
      </c>
      <c r="I71" s="341">
        <v>29648650</v>
      </c>
      <c r="J71" s="341">
        <v>32657540</v>
      </c>
      <c r="K71" s="341">
        <v>39269540</v>
      </c>
      <c r="L71" s="341">
        <v>31549600</v>
      </c>
      <c r="M71" s="341">
        <v>29938810</v>
      </c>
      <c r="N71" s="341">
        <v>29702540</v>
      </c>
      <c r="O71" s="337">
        <v>392167740</v>
      </c>
      <c r="P71" s="77"/>
      <c r="Q71" s="77" t="str">
        <f t="shared" si="4"/>
        <v>025P</v>
      </c>
      <c r="R71" s="77" t="str">
        <f t="shared" si="5"/>
        <v>31</v>
      </c>
      <c r="S71" s="77" t="str">
        <f t="shared" si="6"/>
        <v>025P31</v>
      </c>
      <c r="T71" s="77">
        <f t="shared" si="7"/>
        <v>7</v>
      </c>
    </row>
    <row r="72" spans="1:20" ht="13.5" thickBot="1">
      <c r="A72" s="472"/>
      <c r="B72" s="367" t="s">
        <v>277</v>
      </c>
      <c r="C72" s="343">
        <v>34319970</v>
      </c>
      <c r="D72" s="343">
        <v>35210010</v>
      </c>
      <c r="E72" s="343">
        <v>30823170</v>
      </c>
      <c r="F72" s="343">
        <v>35740380</v>
      </c>
      <c r="G72" s="343">
        <v>31016760</v>
      </c>
      <c r="H72" s="343">
        <v>32290770</v>
      </c>
      <c r="I72" s="343">
        <v>29648650</v>
      </c>
      <c r="J72" s="343">
        <v>32657540</v>
      </c>
      <c r="K72" s="343">
        <v>39269540</v>
      </c>
      <c r="L72" s="343">
        <v>31549600</v>
      </c>
      <c r="M72" s="343">
        <v>29938810</v>
      </c>
      <c r="N72" s="343">
        <v>29702540</v>
      </c>
      <c r="O72" s="339">
        <v>392167740</v>
      </c>
      <c r="P72" s="77"/>
      <c r="Q72" s="77" t="str">
        <f t="shared" si="4"/>
        <v>025P</v>
      </c>
      <c r="R72" s="77" t="str">
        <f t="shared" si="5"/>
        <v/>
      </c>
      <c r="S72" s="77" t="str">
        <f t="shared" ref="S72" si="8">Q72&amp;R72</f>
        <v>025P</v>
      </c>
      <c r="T72" s="77">
        <f t="shared" si="7"/>
        <v>7</v>
      </c>
    </row>
    <row r="73" spans="1:20" ht="13.5" thickBot="1">
      <c r="A73" s="470" t="s">
        <v>2521</v>
      </c>
      <c r="B73" s="366" t="s">
        <v>228</v>
      </c>
      <c r="C73" s="344"/>
      <c r="D73" s="344"/>
      <c r="E73" s="344"/>
      <c r="F73" s="341">
        <v>35226000</v>
      </c>
      <c r="G73" s="341">
        <v>34560000</v>
      </c>
      <c r="H73" s="341">
        <v>38765000</v>
      </c>
      <c r="I73" s="341">
        <v>34845000</v>
      </c>
      <c r="J73" s="341">
        <v>37966000</v>
      </c>
      <c r="K73" s="341">
        <v>32628000</v>
      </c>
      <c r="L73" s="341">
        <v>25108000</v>
      </c>
      <c r="M73" s="341">
        <v>40272000</v>
      </c>
      <c r="N73" s="341">
        <v>38741000</v>
      </c>
      <c r="O73" s="337">
        <v>318111000</v>
      </c>
      <c r="P73" s="77"/>
      <c r="Q73" s="77" t="str">
        <f t="shared" ref="Q73:Q74" si="9">IF(ISBLANK(A73),Q72,TRIM(A73))</f>
        <v>025PG</v>
      </c>
      <c r="R73" s="77" t="str">
        <f t="shared" ref="R73:R74" si="10">IF(ISBLANK(B73),"",IF(CODE(LEFT(B73,1))&gt;57,"",LEFT(B73,2)))</f>
        <v>31</v>
      </c>
      <c r="S73" s="77" t="str">
        <f t="shared" ref="S73:S74" si="11">Q73&amp;R73</f>
        <v>025PG31</v>
      </c>
      <c r="T73" s="77">
        <f t="shared" si="7"/>
        <v>8</v>
      </c>
    </row>
    <row r="74" spans="1:20" ht="13.5" thickBot="1">
      <c r="A74" s="472"/>
      <c r="B74" s="367" t="s">
        <v>277</v>
      </c>
      <c r="C74" s="368"/>
      <c r="D74" s="368"/>
      <c r="E74" s="368"/>
      <c r="F74" s="343">
        <v>35226000</v>
      </c>
      <c r="G74" s="343">
        <v>34560000</v>
      </c>
      <c r="H74" s="343">
        <v>38765000</v>
      </c>
      <c r="I74" s="343">
        <v>34845000</v>
      </c>
      <c r="J74" s="343">
        <v>37966000</v>
      </c>
      <c r="K74" s="343">
        <v>32628000</v>
      </c>
      <c r="L74" s="343">
        <v>25108000</v>
      </c>
      <c r="M74" s="343">
        <v>40272000</v>
      </c>
      <c r="N74" s="343">
        <v>38741000</v>
      </c>
      <c r="O74" s="339">
        <v>318111000</v>
      </c>
      <c r="P74" s="77"/>
      <c r="Q74" s="77" t="str">
        <f t="shared" si="9"/>
        <v>025PG</v>
      </c>
      <c r="R74" s="77" t="str">
        <f t="shared" si="10"/>
        <v/>
      </c>
      <c r="S74" s="77" t="str">
        <f t="shared" si="11"/>
        <v>025PG</v>
      </c>
      <c r="T74" s="77">
        <f t="shared" si="7"/>
        <v>8</v>
      </c>
    </row>
    <row r="75" spans="1:20" ht="13.5" thickBot="1">
      <c r="A75" s="473" t="s">
        <v>277</v>
      </c>
      <c r="B75" s="474"/>
      <c r="C75" s="343">
        <v>290699988.07700002</v>
      </c>
      <c r="D75" s="343">
        <v>285985748.16863</v>
      </c>
      <c r="E75" s="343">
        <v>283300557.52398998</v>
      </c>
      <c r="F75" s="343">
        <v>281178844.87501001</v>
      </c>
      <c r="G75" s="343">
        <v>250421143.12393999</v>
      </c>
      <c r="H75" s="343">
        <v>256350077.03</v>
      </c>
      <c r="I75" s="343">
        <v>258109432.567</v>
      </c>
      <c r="J75" s="343">
        <v>280130403.54611999</v>
      </c>
      <c r="K75" s="343">
        <v>273075283.91381001</v>
      </c>
      <c r="L75" s="343">
        <v>241903217.11700001</v>
      </c>
      <c r="M75" s="343">
        <v>284752662.31699997</v>
      </c>
      <c r="N75" s="343">
        <v>322573893.73864001</v>
      </c>
      <c r="O75" s="339">
        <v>3308481251.9981399</v>
      </c>
      <c r="P75" s="77"/>
      <c r="Q75" s="77" t="str">
        <f t="shared" ref="Q75" si="12">IF(ISBLANK(A75),Q74,TRIM(A75))</f>
        <v>Total</v>
      </c>
      <c r="R75" s="77" t="str">
        <f t="shared" ref="R75" si="13">IF(ISBLANK(B75),"",IF(CODE(LEFT(B75,1))&gt;57,"",LEFT(B75,2)))</f>
        <v/>
      </c>
      <c r="S75" s="77" t="str">
        <f t="shared" ref="S75" si="14">Q75&amp;R75</f>
        <v>Total</v>
      </c>
      <c r="T75" s="77" t="e">
        <f t="shared" si="7"/>
        <v>#N/A</v>
      </c>
    </row>
    <row r="76" spans="1:20"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77"/>
      <c r="Q76" s="77"/>
      <c r="R76" s="77"/>
      <c r="S76" s="77"/>
      <c r="T76" s="77"/>
    </row>
    <row r="77" spans="1:20">
      <c r="A77" s="61" t="s">
        <v>2504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</row>
    <row r="78" spans="1:20">
      <c r="A78" s="77" t="s">
        <v>2517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</row>
    <row r="79" spans="1:20">
      <c r="A79" s="241" t="s">
        <v>2522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</row>
    <row r="80" spans="1:20">
      <c r="A80" s="77" t="s">
        <v>2518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pans="1:20" ht="13.5" thickBot="1">
      <c r="A81" s="242"/>
      <c r="B81" s="243"/>
      <c r="C81" s="244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  <c r="P81" s="77"/>
      <c r="Q81" s="77"/>
      <c r="R81" s="77"/>
      <c r="S81" s="77"/>
      <c r="T81" s="77"/>
    </row>
    <row r="82" spans="1:20" ht="13.5" thickBot="1">
      <c r="A82" s="475" t="s">
        <v>2490</v>
      </c>
      <c r="B82" s="476"/>
      <c r="C82" s="334" t="s">
        <v>2478</v>
      </c>
      <c r="D82" s="334" t="s">
        <v>2479</v>
      </c>
      <c r="E82" s="334" t="s">
        <v>2480</v>
      </c>
      <c r="F82" s="334" t="s">
        <v>2481</v>
      </c>
      <c r="G82" s="334" t="s">
        <v>2482</v>
      </c>
      <c r="H82" s="334" t="s">
        <v>2483</v>
      </c>
      <c r="I82" s="334" t="s">
        <v>2484</v>
      </c>
      <c r="J82" s="334" t="s">
        <v>2485</v>
      </c>
      <c r="K82" s="334" t="s">
        <v>2486</v>
      </c>
      <c r="L82" s="334" t="s">
        <v>2487</v>
      </c>
      <c r="M82" s="334" t="s">
        <v>2488</v>
      </c>
      <c r="N82" s="334" t="s">
        <v>2489</v>
      </c>
      <c r="O82" s="335" t="s">
        <v>277</v>
      </c>
      <c r="P82" s="77"/>
      <c r="Q82" s="77"/>
      <c r="R82" s="77"/>
      <c r="S82" s="77"/>
      <c r="T82" s="77"/>
    </row>
    <row r="83" spans="1:20" ht="13.5" thickBot="1">
      <c r="A83" s="334" t="s">
        <v>407</v>
      </c>
      <c r="B83" s="334" t="s">
        <v>62</v>
      </c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5"/>
      <c r="P83" s="77"/>
      <c r="Q83" s="77"/>
      <c r="R83" s="77"/>
      <c r="S83" s="77"/>
      <c r="T83" s="77"/>
    </row>
    <row r="84" spans="1:20" ht="13.5" thickBot="1">
      <c r="A84" s="470" t="s">
        <v>2388</v>
      </c>
      <c r="B84" s="366" t="s">
        <v>222</v>
      </c>
      <c r="C84" s="336">
        <v>25874.83</v>
      </c>
      <c r="D84" s="338">
        <v>32581</v>
      </c>
      <c r="E84" s="338">
        <v>30786</v>
      </c>
      <c r="F84" s="338">
        <v>21318</v>
      </c>
      <c r="G84" s="338">
        <v>13135</v>
      </c>
      <c r="H84" s="338">
        <v>8570</v>
      </c>
      <c r="I84" s="336">
        <v>6940.4030000000002</v>
      </c>
      <c r="J84" s="338">
        <v>7229</v>
      </c>
      <c r="K84" s="338">
        <v>6687</v>
      </c>
      <c r="L84" s="338">
        <v>13088</v>
      </c>
      <c r="M84" s="336">
        <v>19551.213</v>
      </c>
      <c r="N84" s="338">
        <v>22318</v>
      </c>
      <c r="O84" s="337">
        <v>208078.446</v>
      </c>
      <c r="P84" s="77"/>
      <c r="Q84" s="77" t="str">
        <f t="shared" ref="Q84:Q89" si="15">IF(ISBLANK(A84),Q83,TRIM(A84))</f>
        <v>0001</v>
      </c>
      <c r="R84" s="77" t="str">
        <f t="shared" ref="R84:R89" si="16">IF(ISBLANK(B84),"",IF(CODE(LEFT(B84,1))&gt;57,"",LEFT(B84,2)))</f>
        <v>01</v>
      </c>
      <c r="S84" s="77" t="str">
        <f t="shared" ref="S84:S89" si="17">Q84&amp;R84</f>
        <v>000101</v>
      </c>
      <c r="T84" s="77">
        <f t="shared" ref="T84:T89" si="18">MATCH(Q84,$A$103:$A$129,0)</f>
        <v>1</v>
      </c>
    </row>
    <row r="85" spans="1:20" ht="13.5" thickBot="1">
      <c r="A85" s="471"/>
      <c r="B85" s="366" t="s">
        <v>236</v>
      </c>
      <c r="C85" s="336">
        <v>9051.9959999999992</v>
      </c>
      <c r="D85" s="338">
        <v>10507</v>
      </c>
      <c r="E85" s="338">
        <v>10996</v>
      </c>
      <c r="F85" s="338">
        <v>8003</v>
      </c>
      <c r="G85" s="338">
        <v>4190</v>
      </c>
      <c r="H85" s="338">
        <v>1514</v>
      </c>
      <c r="I85" s="338">
        <v>593</v>
      </c>
      <c r="J85" s="336">
        <v>801.59699999999998</v>
      </c>
      <c r="K85" s="338">
        <v>782</v>
      </c>
      <c r="L85" s="338">
        <v>6625</v>
      </c>
      <c r="M85" s="336">
        <v>10252.787</v>
      </c>
      <c r="N85" s="338">
        <v>12056</v>
      </c>
      <c r="O85" s="337">
        <v>75372.38</v>
      </c>
      <c r="P85" s="77"/>
      <c r="Q85" s="77" t="str">
        <f t="shared" si="15"/>
        <v>0001</v>
      </c>
      <c r="R85" s="77" t="str">
        <f t="shared" si="16"/>
        <v>80</v>
      </c>
      <c r="S85" s="77" t="str">
        <f t="shared" si="17"/>
        <v>000180</v>
      </c>
      <c r="T85" s="77">
        <f t="shared" si="18"/>
        <v>1</v>
      </c>
    </row>
    <row r="86" spans="1:20" ht="13.5" thickBot="1">
      <c r="A86" s="472"/>
      <c r="B86" s="367" t="s">
        <v>277</v>
      </c>
      <c r="C86" s="339">
        <v>34926.826000000001</v>
      </c>
      <c r="D86" s="339">
        <v>43088</v>
      </c>
      <c r="E86" s="339">
        <v>41782</v>
      </c>
      <c r="F86" s="339">
        <v>29321</v>
      </c>
      <c r="G86" s="339">
        <v>17325</v>
      </c>
      <c r="H86" s="339">
        <v>10084</v>
      </c>
      <c r="I86" s="339">
        <v>7533.4030000000002</v>
      </c>
      <c r="J86" s="339">
        <v>8030.5969999999998</v>
      </c>
      <c r="K86" s="339">
        <v>7469</v>
      </c>
      <c r="L86" s="339">
        <v>19713</v>
      </c>
      <c r="M86" s="339">
        <v>29804</v>
      </c>
      <c r="N86" s="339">
        <v>34374</v>
      </c>
      <c r="O86" s="339">
        <v>283450.826</v>
      </c>
      <c r="P86" s="77"/>
      <c r="Q86" s="77" t="str">
        <f t="shared" si="15"/>
        <v>0001</v>
      </c>
      <c r="R86" s="77" t="str">
        <f t="shared" si="16"/>
        <v/>
      </c>
      <c r="S86" s="77" t="str">
        <f t="shared" si="17"/>
        <v>0001</v>
      </c>
      <c r="T86" s="77">
        <f t="shared" si="18"/>
        <v>1</v>
      </c>
    </row>
    <row r="87" spans="1:20" ht="13.5" thickBot="1">
      <c r="A87" s="470" t="s">
        <v>2389</v>
      </c>
      <c r="B87" s="366" t="s">
        <v>226</v>
      </c>
      <c r="C87" s="338">
        <v>63072</v>
      </c>
      <c r="D87" s="338">
        <v>55381</v>
      </c>
      <c r="E87" s="338">
        <v>55084</v>
      </c>
      <c r="F87" s="338">
        <v>36393</v>
      </c>
      <c r="G87" s="338">
        <v>23309</v>
      </c>
      <c r="H87" s="338">
        <v>11848</v>
      </c>
      <c r="I87" s="338">
        <v>11551</v>
      </c>
      <c r="J87" s="338">
        <v>12486</v>
      </c>
      <c r="K87" s="338">
        <v>13356</v>
      </c>
      <c r="L87" s="338">
        <v>17347</v>
      </c>
      <c r="M87" s="338">
        <v>27884</v>
      </c>
      <c r="N87" s="338">
        <v>27321</v>
      </c>
      <c r="O87" s="337">
        <v>355032</v>
      </c>
      <c r="P87" s="77"/>
      <c r="Q87" s="77" t="str">
        <f t="shared" si="15"/>
        <v>0011</v>
      </c>
      <c r="R87" s="77" t="str">
        <f t="shared" si="16"/>
        <v>21</v>
      </c>
      <c r="S87" s="77" t="str">
        <f t="shared" si="17"/>
        <v>001121</v>
      </c>
      <c r="T87" s="77">
        <f t="shared" si="18"/>
        <v>2</v>
      </c>
    </row>
    <row r="88" spans="1:20" ht="13.5" thickBot="1">
      <c r="A88" s="471"/>
      <c r="B88" s="366" t="s">
        <v>236</v>
      </c>
      <c r="C88" s="338">
        <v>27473</v>
      </c>
      <c r="D88" s="338">
        <v>30535</v>
      </c>
      <c r="E88" s="338">
        <v>31678</v>
      </c>
      <c r="F88" s="338">
        <v>19248</v>
      </c>
      <c r="G88" s="338">
        <v>8144</v>
      </c>
      <c r="H88" s="338">
        <v>4957</v>
      </c>
      <c r="I88" s="338">
        <v>4483</v>
      </c>
      <c r="J88" s="338">
        <v>4912</v>
      </c>
      <c r="K88" s="338">
        <v>4842</v>
      </c>
      <c r="L88" s="338">
        <v>13208</v>
      </c>
      <c r="M88" s="338">
        <v>22212</v>
      </c>
      <c r="N88" s="338">
        <v>26710</v>
      </c>
      <c r="O88" s="337">
        <v>198402</v>
      </c>
      <c r="P88" s="77"/>
      <c r="Q88" s="77" t="str">
        <f t="shared" si="15"/>
        <v>0011</v>
      </c>
      <c r="R88" s="77" t="str">
        <f t="shared" si="16"/>
        <v>80</v>
      </c>
      <c r="S88" s="77" t="str">
        <f t="shared" si="17"/>
        <v>001180</v>
      </c>
      <c r="T88" s="77">
        <f t="shared" si="18"/>
        <v>2</v>
      </c>
    </row>
    <row r="89" spans="1:20" ht="13.5" thickBot="1">
      <c r="A89" s="472"/>
      <c r="B89" s="367" t="s">
        <v>277</v>
      </c>
      <c r="C89" s="339">
        <v>90545</v>
      </c>
      <c r="D89" s="339">
        <v>85916</v>
      </c>
      <c r="E89" s="339">
        <v>86762</v>
      </c>
      <c r="F89" s="339">
        <v>55641</v>
      </c>
      <c r="G89" s="339">
        <v>31453</v>
      </c>
      <c r="H89" s="339">
        <v>16805</v>
      </c>
      <c r="I89" s="339">
        <v>16034</v>
      </c>
      <c r="J89" s="339">
        <v>17398</v>
      </c>
      <c r="K89" s="339">
        <v>18198</v>
      </c>
      <c r="L89" s="339">
        <v>30555</v>
      </c>
      <c r="M89" s="339">
        <v>50096</v>
      </c>
      <c r="N89" s="339">
        <v>54031</v>
      </c>
      <c r="O89" s="339">
        <v>553434</v>
      </c>
      <c r="P89" s="77"/>
      <c r="Q89" s="77" t="str">
        <f t="shared" si="15"/>
        <v>0011</v>
      </c>
      <c r="R89" s="77" t="str">
        <f t="shared" si="16"/>
        <v/>
      </c>
      <c r="S89" s="77" t="str">
        <f t="shared" si="17"/>
        <v>0011</v>
      </c>
      <c r="T89" s="77">
        <f t="shared" si="18"/>
        <v>2</v>
      </c>
    </row>
    <row r="90" spans="1:20" ht="13.5" thickBot="1">
      <c r="A90" s="470" t="s">
        <v>2391</v>
      </c>
      <c r="B90" s="366" t="s">
        <v>236</v>
      </c>
      <c r="C90" s="338">
        <v>27920</v>
      </c>
      <c r="D90" s="338">
        <v>31800</v>
      </c>
      <c r="E90" s="338">
        <v>30960</v>
      </c>
      <c r="F90" s="338">
        <v>24640</v>
      </c>
      <c r="G90" s="338">
        <v>7880</v>
      </c>
      <c r="H90" s="338">
        <v>1800</v>
      </c>
      <c r="I90" s="338">
        <v>2120</v>
      </c>
      <c r="J90" s="338">
        <v>2200</v>
      </c>
      <c r="K90" s="338">
        <v>1640</v>
      </c>
      <c r="L90" s="338">
        <v>13440</v>
      </c>
      <c r="M90" s="338">
        <v>18840</v>
      </c>
      <c r="N90" s="338">
        <v>23160</v>
      </c>
      <c r="O90" s="337">
        <v>186400</v>
      </c>
      <c r="P90" s="77"/>
      <c r="Q90" s="77" t="str">
        <f t="shared" ref="Q90:Q92" si="19">IF(ISBLANK(A90),Q89,TRIM(A90))</f>
        <v>0021</v>
      </c>
      <c r="R90" s="77" t="str">
        <f t="shared" ref="R90:R92" si="20">IF(ISBLANK(B90),"",IF(CODE(LEFT(B90,1))&gt;57,"",LEFT(B90,2)))</f>
        <v>80</v>
      </c>
      <c r="S90" s="77" t="str">
        <f t="shared" ref="S90:S92" si="21">Q90&amp;R90</f>
        <v>002180</v>
      </c>
      <c r="T90" s="77">
        <f t="shared" ref="T90:T92" si="22">MATCH(Q90,$A$103:$A$129,0)</f>
        <v>4</v>
      </c>
    </row>
    <row r="91" spans="1:20" ht="13.5" thickBot="1">
      <c r="A91" s="472"/>
      <c r="B91" s="367" t="s">
        <v>277</v>
      </c>
      <c r="C91" s="339">
        <v>27920</v>
      </c>
      <c r="D91" s="339">
        <v>31800</v>
      </c>
      <c r="E91" s="339">
        <v>30960</v>
      </c>
      <c r="F91" s="339">
        <v>24640</v>
      </c>
      <c r="G91" s="339">
        <v>7880</v>
      </c>
      <c r="H91" s="339">
        <v>1800</v>
      </c>
      <c r="I91" s="339">
        <v>2120</v>
      </c>
      <c r="J91" s="339">
        <v>2200</v>
      </c>
      <c r="K91" s="339">
        <v>1640</v>
      </c>
      <c r="L91" s="339">
        <v>13440</v>
      </c>
      <c r="M91" s="339">
        <v>18840</v>
      </c>
      <c r="N91" s="339">
        <v>23160</v>
      </c>
      <c r="O91" s="339">
        <v>186400</v>
      </c>
      <c r="Q91" s="77" t="str">
        <f t="shared" si="19"/>
        <v>0021</v>
      </c>
      <c r="R91" s="77" t="str">
        <f t="shared" si="20"/>
        <v/>
      </c>
      <c r="S91" s="77" t="str">
        <f t="shared" si="21"/>
        <v>0021</v>
      </c>
      <c r="T91" s="77">
        <f t="shared" si="22"/>
        <v>4</v>
      </c>
    </row>
    <row r="92" spans="1:20" ht="13.5" thickBot="1">
      <c r="A92" s="473" t="s">
        <v>277</v>
      </c>
      <c r="B92" s="474"/>
      <c r="C92" s="339">
        <v>153391.826</v>
      </c>
      <c r="D92" s="339">
        <v>160804</v>
      </c>
      <c r="E92" s="339">
        <v>159504</v>
      </c>
      <c r="F92" s="339">
        <v>109602</v>
      </c>
      <c r="G92" s="339">
        <v>56658</v>
      </c>
      <c r="H92" s="339">
        <v>28689</v>
      </c>
      <c r="I92" s="339">
        <v>25687.402999999998</v>
      </c>
      <c r="J92" s="339">
        <v>27628.597000000002</v>
      </c>
      <c r="K92" s="339">
        <v>27307</v>
      </c>
      <c r="L92" s="339">
        <v>63708</v>
      </c>
      <c r="M92" s="339">
        <v>98740</v>
      </c>
      <c r="N92" s="339">
        <v>111565</v>
      </c>
      <c r="O92" s="339">
        <v>1023284.826</v>
      </c>
      <c r="P92" s="77"/>
      <c r="Q92" s="77" t="str">
        <f t="shared" si="19"/>
        <v>Total</v>
      </c>
      <c r="R92" s="77" t="str">
        <f t="shared" si="20"/>
        <v/>
      </c>
      <c r="S92" s="77" t="str">
        <f t="shared" si="21"/>
        <v>Total</v>
      </c>
      <c r="T92" s="77" t="e">
        <f t="shared" si="22"/>
        <v>#N/A</v>
      </c>
    </row>
    <row r="93" spans="1:20">
      <c r="A93" s="201"/>
      <c r="B93" s="201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77"/>
      <c r="Q93" s="77"/>
      <c r="R93" s="77"/>
      <c r="S93" s="77"/>
      <c r="T93" s="77"/>
    </row>
    <row r="94" spans="1:20">
      <c r="A94" s="201"/>
      <c r="B94" s="201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77"/>
      <c r="Q94" s="77"/>
      <c r="R94" s="77"/>
      <c r="S94" s="77"/>
      <c r="T94" s="77"/>
    </row>
    <row r="95" spans="1:20">
      <c r="P95" s="77"/>
      <c r="Q95" s="77"/>
      <c r="R95" s="77"/>
      <c r="S95" s="77"/>
      <c r="T95" s="77"/>
    </row>
    <row r="96" spans="1:20">
      <c r="P96" s="77"/>
      <c r="Q96" s="77"/>
      <c r="R96" s="77"/>
      <c r="S96" s="77"/>
      <c r="T96" s="77"/>
    </row>
    <row r="97" spans="1:20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</row>
    <row r="98" spans="1:20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</row>
    <row r="99" spans="1:20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pans="1:2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</row>
    <row r="101" spans="1:20">
      <c r="A101" s="134" t="s">
        <v>219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</row>
    <row r="102" spans="1:20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</row>
    <row r="103" spans="1:20">
      <c r="A103" s="131" t="s">
        <v>2388</v>
      </c>
      <c r="B103" s="77"/>
      <c r="C103" s="106">
        <f>SUMIF($S$7:$S$75,$A103,C$7:C$75)</f>
        <v>131885941.13937999</v>
      </c>
      <c r="D103" s="106">
        <f t="shared" ref="D103:O118" si="23">SUMIF($S$7:$S$75,$A103,D$7:D$75)</f>
        <v>127275890.10202</v>
      </c>
      <c r="E103" s="106">
        <f t="shared" si="23"/>
        <v>129822480.66500001</v>
      </c>
      <c r="F103" s="106">
        <f t="shared" si="23"/>
        <v>95819172.144999996</v>
      </c>
      <c r="G103" s="106">
        <f t="shared" si="23"/>
        <v>77579003.510000005</v>
      </c>
      <c r="H103" s="106">
        <f t="shared" si="23"/>
        <v>75122988.096000001</v>
      </c>
      <c r="I103" s="106">
        <f t="shared" si="23"/>
        <v>79439350.732999995</v>
      </c>
      <c r="J103" s="106">
        <f t="shared" si="23"/>
        <v>88420337.603</v>
      </c>
      <c r="K103" s="106">
        <f t="shared" si="23"/>
        <v>81379911.718999997</v>
      </c>
      <c r="L103" s="106">
        <f t="shared" si="23"/>
        <v>79340284.357999995</v>
      </c>
      <c r="M103" s="106">
        <f t="shared" si="23"/>
        <v>101496942.133</v>
      </c>
      <c r="N103" s="106">
        <f t="shared" si="23"/>
        <v>129051443.88415</v>
      </c>
      <c r="O103" s="106">
        <f t="shared" si="23"/>
        <v>1196633746.0875499</v>
      </c>
      <c r="P103" s="77"/>
      <c r="Q103" s="77"/>
      <c r="R103" s="77"/>
      <c r="S103" s="77"/>
      <c r="T103" s="77"/>
    </row>
    <row r="104" spans="1:20">
      <c r="A104" s="131" t="s">
        <v>2389</v>
      </c>
      <c r="B104" s="77"/>
      <c r="C104" s="106">
        <f t="shared" ref="C104:N129" si="24">SUMIF($S$7:$S$75,$A104,C$7:C$75)</f>
        <v>34555949.332170002</v>
      </c>
      <c r="D104" s="106">
        <f t="shared" si="24"/>
        <v>33599322.446000002</v>
      </c>
      <c r="E104" s="106">
        <f t="shared" si="24"/>
        <v>33993712.770999998</v>
      </c>
      <c r="F104" s="106">
        <f t="shared" si="24"/>
        <v>28523748.962000001</v>
      </c>
      <c r="G104" s="106">
        <f t="shared" si="24"/>
        <v>25735693.214000002</v>
      </c>
      <c r="H104" s="106">
        <f t="shared" si="24"/>
        <v>26351263.636</v>
      </c>
      <c r="I104" s="106">
        <f t="shared" si="24"/>
        <v>27830358.642000001</v>
      </c>
      <c r="J104" s="106">
        <f t="shared" si="24"/>
        <v>30322306.905000001</v>
      </c>
      <c r="K104" s="106">
        <f t="shared" si="24"/>
        <v>29439100.022999998</v>
      </c>
      <c r="L104" s="106">
        <f t="shared" si="24"/>
        <v>26138910.818</v>
      </c>
      <c r="M104" s="106">
        <f t="shared" si="24"/>
        <v>29267295.116999999</v>
      </c>
      <c r="N104" s="106">
        <f t="shared" si="24"/>
        <v>35086711.07841</v>
      </c>
      <c r="O104" s="106">
        <f t="shared" si="23"/>
        <v>360844372.94458002</v>
      </c>
      <c r="P104" s="77"/>
      <c r="Q104" s="77"/>
      <c r="R104" s="77"/>
      <c r="S104" s="77"/>
      <c r="T104" s="77"/>
    </row>
    <row r="105" spans="1:20">
      <c r="A105" s="131" t="s">
        <v>2390</v>
      </c>
      <c r="B105" s="77"/>
      <c r="C105" s="106">
        <f t="shared" si="24"/>
        <v>3182204.9354400001</v>
      </c>
      <c r="D105" s="106">
        <f t="shared" si="24"/>
        <v>3163347.9480099999</v>
      </c>
      <c r="E105" s="106">
        <f t="shared" si="24"/>
        <v>3245374.4539899998</v>
      </c>
      <c r="F105" s="106">
        <f t="shared" si="24"/>
        <v>2334203.13601</v>
      </c>
      <c r="G105" s="106">
        <f t="shared" si="24"/>
        <v>1798831.4539999999</v>
      </c>
      <c r="H105" s="106">
        <f t="shared" si="24"/>
        <v>1632204.52</v>
      </c>
      <c r="I105" s="106">
        <f t="shared" si="24"/>
        <v>1717841.946</v>
      </c>
      <c r="J105" s="106">
        <f t="shared" si="24"/>
        <v>1848844.1810000001</v>
      </c>
      <c r="K105" s="106">
        <f t="shared" si="24"/>
        <v>1864064.5649999999</v>
      </c>
      <c r="L105" s="106">
        <f t="shared" si="24"/>
        <v>1932585.9939999999</v>
      </c>
      <c r="M105" s="106">
        <f t="shared" si="24"/>
        <v>2472069.787</v>
      </c>
      <c r="N105" s="106">
        <f t="shared" si="24"/>
        <v>3142789.3150499999</v>
      </c>
      <c r="O105" s="106">
        <f t="shared" si="23"/>
        <v>28334362.2355</v>
      </c>
      <c r="P105" s="77"/>
      <c r="Q105" s="77"/>
      <c r="R105" s="77"/>
      <c r="S105" s="77"/>
      <c r="T105" s="77"/>
    </row>
    <row r="106" spans="1:20">
      <c r="A106" s="131" t="s">
        <v>2391</v>
      </c>
      <c r="B106" s="77"/>
      <c r="C106" s="106">
        <f t="shared" si="24"/>
        <v>54474658.799999997</v>
      </c>
      <c r="D106" s="106">
        <f t="shared" si="24"/>
        <v>53824129.399999999</v>
      </c>
      <c r="E106" s="106">
        <f t="shared" si="24"/>
        <v>54124831.200000003</v>
      </c>
      <c r="F106" s="106">
        <f t="shared" si="24"/>
        <v>50810900.600000001</v>
      </c>
      <c r="G106" s="106">
        <f t="shared" si="24"/>
        <v>48188263.200000003</v>
      </c>
      <c r="H106" s="106">
        <f t="shared" si="24"/>
        <v>49432501.799999997</v>
      </c>
      <c r="I106" s="106">
        <f t="shared" si="24"/>
        <v>50436679.600000001</v>
      </c>
      <c r="J106" s="106">
        <f t="shared" si="24"/>
        <v>53052829</v>
      </c>
      <c r="K106" s="106">
        <f t="shared" si="24"/>
        <v>53632915.200000003</v>
      </c>
      <c r="L106" s="106">
        <f t="shared" si="24"/>
        <v>48086332.200000003</v>
      </c>
      <c r="M106" s="106">
        <f t="shared" si="24"/>
        <v>49825591.399999999</v>
      </c>
      <c r="N106" s="106">
        <f t="shared" si="24"/>
        <v>56465384.799999997</v>
      </c>
      <c r="O106" s="106">
        <f t="shared" si="23"/>
        <v>622355017.20000005</v>
      </c>
      <c r="P106" s="77"/>
      <c r="Q106" s="77"/>
      <c r="R106" s="77"/>
      <c r="S106" s="77"/>
      <c r="T106" s="77"/>
    </row>
    <row r="107" spans="1:20">
      <c r="A107" s="131" t="s">
        <v>2392</v>
      </c>
      <c r="B107" s="77"/>
      <c r="C107" s="106">
        <f t="shared" si="24"/>
        <v>752160</v>
      </c>
      <c r="D107" s="106">
        <f t="shared" si="24"/>
        <v>723160</v>
      </c>
      <c r="E107" s="106">
        <f t="shared" si="24"/>
        <v>800960</v>
      </c>
      <c r="F107" s="106">
        <f t="shared" si="24"/>
        <v>585000</v>
      </c>
      <c r="G107" s="106">
        <f t="shared" si="24"/>
        <v>488120</v>
      </c>
      <c r="H107" s="106">
        <f t="shared" si="24"/>
        <v>473520</v>
      </c>
      <c r="I107" s="106">
        <f t="shared" si="24"/>
        <v>504800</v>
      </c>
      <c r="J107" s="106">
        <f t="shared" si="24"/>
        <v>563040</v>
      </c>
      <c r="K107" s="106">
        <f t="shared" si="24"/>
        <v>571880</v>
      </c>
      <c r="L107" s="106">
        <f t="shared" si="24"/>
        <v>479000</v>
      </c>
      <c r="M107" s="106">
        <f t="shared" si="24"/>
        <v>559600</v>
      </c>
      <c r="N107" s="106">
        <f t="shared" si="24"/>
        <v>679240</v>
      </c>
      <c r="O107" s="106">
        <f t="shared" si="23"/>
        <v>7180480</v>
      </c>
      <c r="P107" s="77"/>
      <c r="Q107" s="77"/>
      <c r="R107" s="77"/>
      <c r="S107" s="77"/>
      <c r="T107" s="77"/>
    </row>
    <row r="108" spans="1:20">
      <c r="A108" s="131" t="s">
        <v>2393</v>
      </c>
      <c r="B108" s="77"/>
      <c r="C108" s="106">
        <f t="shared" si="24"/>
        <v>26991875.749000002</v>
      </c>
      <c r="D108" s="106">
        <f t="shared" si="24"/>
        <v>27653410.079999998</v>
      </c>
      <c r="E108" s="106">
        <f t="shared" si="24"/>
        <v>26114251.850000001</v>
      </c>
      <c r="F108" s="106">
        <f t="shared" si="24"/>
        <v>27633923.989999998</v>
      </c>
      <c r="G108" s="106">
        <f t="shared" si="24"/>
        <v>25802164.09</v>
      </c>
      <c r="H108" s="106">
        <f t="shared" si="24"/>
        <v>25029523.640000001</v>
      </c>
      <c r="I108" s="106">
        <f t="shared" si="24"/>
        <v>24676992.609999999</v>
      </c>
      <c r="J108" s="106">
        <f t="shared" si="24"/>
        <v>25470885.170000002</v>
      </c>
      <c r="K108" s="106">
        <f t="shared" si="24"/>
        <v>25961908.239999998</v>
      </c>
      <c r="L108" s="106">
        <f t="shared" si="24"/>
        <v>24286387.699999999</v>
      </c>
      <c r="M108" s="106">
        <f t="shared" si="24"/>
        <v>26943892.890000001</v>
      </c>
      <c r="N108" s="106">
        <f t="shared" si="24"/>
        <v>24885078.809999999</v>
      </c>
      <c r="O108" s="106">
        <f t="shared" si="23"/>
        <v>311450294.81900001</v>
      </c>
      <c r="P108" s="77"/>
      <c r="Q108" s="77"/>
      <c r="R108" s="77"/>
      <c r="S108" s="77"/>
      <c r="T108" s="77"/>
    </row>
    <row r="109" spans="1:20">
      <c r="A109" s="131" t="s">
        <v>376</v>
      </c>
      <c r="B109" s="77"/>
      <c r="C109" s="106">
        <f t="shared" si="24"/>
        <v>34319970</v>
      </c>
      <c r="D109" s="106">
        <f t="shared" si="24"/>
        <v>35210010</v>
      </c>
      <c r="E109" s="106">
        <f t="shared" si="24"/>
        <v>30823170</v>
      </c>
      <c r="F109" s="106">
        <f t="shared" si="24"/>
        <v>35740380</v>
      </c>
      <c r="G109" s="106">
        <f t="shared" si="24"/>
        <v>31016760</v>
      </c>
      <c r="H109" s="106">
        <f t="shared" si="24"/>
        <v>32290770</v>
      </c>
      <c r="I109" s="106">
        <f t="shared" si="24"/>
        <v>29648650</v>
      </c>
      <c r="J109" s="106">
        <f t="shared" si="24"/>
        <v>32657540</v>
      </c>
      <c r="K109" s="106">
        <f t="shared" si="24"/>
        <v>39269540</v>
      </c>
      <c r="L109" s="106">
        <f t="shared" si="24"/>
        <v>31549600</v>
      </c>
      <c r="M109" s="106">
        <f t="shared" si="24"/>
        <v>29938810</v>
      </c>
      <c r="N109" s="106">
        <f t="shared" si="24"/>
        <v>29702540</v>
      </c>
      <c r="O109" s="106">
        <f t="shared" si="23"/>
        <v>392167740</v>
      </c>
      <c r="P109" s="77"/>
      <c r="Q109" s="77"/>
      <c r="R109" s="77"/>
      <c r="S109" s="77"/>
      <c r="T109" s="77"/>
    </row>
    <row r="110" spans="1:20">
      <c r="A110" s="131" t="s">
        <v>2521</v>
      </c>
      <c r="B110" s="77"/>
      <c r="C110" s="106">
        <f t="shared" si="24"/>
        <v>0</v>
      </c>
      <c r="D110" s="106">
        <f t="shared" si="24"/>
        <v>0</v>
      </c>
      <c r="E110" s="106">
        <f t="shared" si="24"/>
        <v>0</v>
      </c>
      <c r="F110" s="106">
        <f t="shared" si="24"/>
        <v>35226000</v>
      </c>
      <c r="G110" s="106">
        <f t="shared" si="24"/>
        <v>34560000</v>
      </c>
      <c r="H110" s="106">
        <f t="shared" si="24"/>
        <v>38765000</v>
      </c>
      <c r="I110" s="106">
        <f t="shared" si="24"/>
        <v>34845000</v>
      </c>
      <c r="J110" s="106">
        <f t="shared" si="24"/>
        <v>37966000</v>
      </c>
      <c r="K110" s="106">
        <f t="shared" si="24"/>
        <v>32628000</v>
      </c>
      <c r="L110" s="106">
        <f t="shared" si="24"/>
        <v>25108000</v>
      </c>
      <c r="M110" s="106">
        <f t="shared" si="24"/>
        <v>40272000</v>
      </c>
      <c r="N110" s="106">
        <f t="shared" si="24"/>
        <v>38741000</v>
      </c>
      <c r="O110" s="106">
        <f t="shared" si="23"/>
        <v>318111000</v>
      </c>
      <c r="P110" s="77"/>
      <c r="Q110" s="77"/>
      <c r="R110" s="77"/>
      <c r="S110" s="77"/>
      <c r="T110" s="77"/>
    </row>
    <row r="111" spans="1:20">
      <c r="A111" s="131" t="s">
        <v>2409</v>
      </c>
      <c r="B111" s="77"/>
      <c r="C111" s="106">
        <f t="shared" si="24"/>
        <v>0</v>
      </c>
      <c r="D111" s="106">
        <f t="shared" si="24"/>
        <v>0</v>
      </c>
      <c r="E111" s="106">
        <f t="shared" si="24"/>
        <v>0</v>
      </c>
      <c r="F111" s="106">
        <f t="shared" si="24"/>
        <v>0</v>
      </c>
      <c r="G111" s="106">
        <f t="shared" si="24"/>
        <v>0</v>
      </c>
      <c r="H111" s="106">
        <f t="shared" si="24"/>
        <v>0</v>
      </c>
      <c r="I111" s="106">
        <f t="shared" si="24"/>
        <v>0</v>
      </c>
      <c r="J111" s="106">
        <f t="shared" si="24"/>
        <v>0</v>
      </c>
      <c r="K111" s="106">
        <f t="shared" si="24"/>
        <v>0</v>
      </c>
      <c r="L111" s="106">
        <f t="shared" si="24"/>
        <v>0</v>
      </c>
      <c r="M111" s="106">
        <f t="shared" si="24"/>
        <v>0</v>
      </c>
      <c r="N111" s="106">
        <f t="shared" si="24"/>
        <v>0</v>
      </c>
      <c r="O111" s="106">
        <f t="shared" si="23"/>
        <v>0</v>
      </c>
      <c r="P111" s="77"/>
      <c r="Q111" s="77"/>
      <c r="R111" s="77"/>
      <c r="S111" s="77"/>
      <c r="T111" s="77"/>
    </row>
    <row r="112" spans="1:20">
      <c r="A112" s="131" t="s">
        <v>2394</v>
      </c>
      <c r="B112" s="77"/>
      <c r="C112" s="106">
        <f t="shared" si="24"/>
        <v>0</v>
      </c>
      <c r="D112" s="106">
        <f t="shared" si="24"/>
        <v>0</v>
      </c>
      <c r="E112" s="106">
        <f t="shared" si="24"/>
        <v>0</v>
      </c>
      <c r="F112" s="106">
        <f t="shared" si="24"/>
        <v>0</v>
      </c>
      <c r="G112" s="106">
        <f t="shared" si="24"/>
        <v>0</v>
      </c>
      <c r="H112" s="106">
        <f t="shared" si="24"/>
        <v>0</v>
      </c>
      <c r="I112" s="106">
        <f t="shared" si="24"/>
        <v>0</v>
      </c>
      <c r="J112" s="106">
        <f t="shared" si="24"/>
        <v>0</v>
      </c>
      <c r="K112" s="106">
        <f t="shared" si="24"/>
        <v>0</v>
      </c>
      <c r="L112" s="106">
        <f t="shared" si="24"/>
        <v>0</v>
      </c>
      <c r="M112" s="106">
        <f t="shared" si="24"/>
        <v>0</v>
      </c>
      <c r="N112" s="106">
        <f t="shared" si="24"/>
        <v>0</v>
      </c>
      <c r="O112" s="106">
        <f t="shared" si="23"/>
        <v>0</v>
      </c>
      <c r="P112" s="77"/>
      <c r="Q112" s="77"/>
      <c r="R112" s="77"/>
      <c r="S112" s="77"/>
      <c r="T112" s="77"/>
    </row>
    <row r="113" spans="1:20">
      <c r="A113" s="131" t="s">
        <v>2395</v>
      </c>
      <c r="B113" s="77"/>
      <c r="C113" s="106">
        <f t="shared" si="24"/>
        <v>3331418.8600099999</v>
      </c>
      <c r="D113" s="106">
        <f t="shared" si="24"/>
        <v>3424829.92</v>
      </c>
      <c r="E113" s="106">
        <f t="shared" si="24"/>
        <v>3253017.07</v>
      </c>
      <c r="F113" s="106">
        <f t="shared" si="24"/>
        <v>3386018.65</v>
      </c>
      <c r="G113" s="106">
        <f t="shared" si="24"/>
        <v>4057773.33</v>
      </c>
      <c r="H113" s="106">
        <f t="shared" si="24"/>
        <v>5815727.3399999999</v>
      </c>
      <c r="I113" s="106">
        <f t="shared" si="24"/>
        <v>7166873.1799999997</v>
      </c>
      <c r="J113" s="106">
        <f t="shared" si="24"/>
        <v>7971056.21</v>
      </c>
      <c r="K113" s="106">
        <f t="shared" si="24"/>
        <v>7044914.1500000004</v>
      </c>
      <c r="L113" s="106">
        <f t="shared" si="24"/>
        <v>3892340.88</v>
      </c>
      <c r="M113" s="106">
        <f t="shared" si="24"/>
        <v>2944531.28</v>
      </c>
      <c r="N113" s="106">
        <f t="shared" si="24"/>
        <v>3607352.6100099999</v>
      </c>
      <c r="O113" s="106">
        <f t="shared" si="23"/>
        <v>55895853.480020002</v>
      </c>
      <c r="P113" s="77"/>
      <c r="Q113" s="77"/>
      <c r="R113" s="77"/>
      <c r="S113" s="77"/>
      <c r="T113" s="77"/>
    </row>
    <row r="114" spans="1:20">
      <c r="A114" s="131" t="s">
        <v>2396</v>
      </c>
      <c r="B114" s="77"/>
      <c r="C114" s="106">
        <f t="shared" si="24"/>
        <v>221790.14</v>
      </c>
      <c r="D114" s="106">
        <f t="shared" si="24"/>
        <v>221702.85</v>
      </c>
      <c r="E114" s="106">
        <f t="shared" si="24"/>
        <v>228627.88</v>
      </c>
      <c r="F114" s="106">
        <f t="shared" si="24"/>
        <v>185227.01</v>
      </c>
      <c r="G114" s="106">
        <f t="shared" si="24"/>
        <v>306725.24</v>
      </c>
      <c r="H114" s="106">
        <f t="shared" si="24"/>
        <v>524256.45</v>
      </c>
      <c r="I114" s="106">
        <f t="shared" si="24"/>
        <v>899303.924</v>
      </c>
      <c r="J114" s="106">
        <f t="shared" si="24"/>
        <v>945026.82</v>
      </c>
      <c r="K114" s="106">
        <f t="shared" si="24"/>
        <v>354039.41</v>
      </c>
      <c r="L114" s="106">
        <f t="shared" si="24"/>
        <v>186064.83</v>
      </c>
      <c r="M114" s="106">
        <f t="shared" si="24"/>
        <v>171065.22</v>
      </c>
      <c r="N114" s="106">
        <f t="shared" si="24"/>
        <v>212083.05001000001</v>
      </c>
      <c r="O114" s="106">
        <f t="shared" si="23"/>
        <v>4455912.8240099996</v>
      </c>
      <c r="P114" s="77"/>
      <c r="Q114" s="77"/>
      <c r="R114" s="77"/>
      <c r="S114" s="77"/>
      <c r="T114" s="77"/>
    </row>
    <row r="115" spans="1:20">
      <c r="A115" s="131" t="s">
        <v>2397</v>
      </c>
      <c r="B115" s="77"/>
      <c r="C115" s="106">
        <f t="shared" si="24"/>
        <v>2013.3330000000001</v>
      </c>
      <c r="D115" s="106">
        <f t="shared" si="24"/>
        <v>1752.001</v>
      </c>
      <c r="E115" s="106">
        <f t="shared" si="24"/>
        <v>1711.778</v>
      </c>
      <c r="F115" s="106">
        <f t="shared" si="24"/>
        <v>1805.778</v>
      </c>
      <c r="G115" s="106">
        <f t="shared" si="24"/>
        <v>1813.3340000000001</v>
      </c>
      <c r="H115" s="106">
        <f t="shared" si="24"/>
        <v>1717.3340000000001</v>
      </c>
      <c r="I115" s="106">
        <f t="shared" si="24"/>
        <v>1866.6669999999999</v>
      </c>
      <c r="J115" s="106">
        <f t="shared" si="24"/>
        <v>1701.3340000000001</v>
      </c>
      <c r="K115" s="106">
        <f t="shared" si="24"/>
        <v>1936</v>
      </c>
      <c r="L115" s="106">
        <f t="shared" si="24"/>
        <v>1701.3340000000001</v>
      </c>
      <c r="M115" s="106">
        <f t="shared" si="24"/>
        <v>1703.778</v>
      </c>
      <c r="N115" s="106">
        <f t="shared" si="24"/>
        <v>1936</v>
      </c>
      <c r="O115" s="106">
        <f t="shared" si="23"/>
        <v>21658.670999999998</v>
      </c>
      <c r="P115" s="77"/>
      <c r="Q115" s="77"/>
      <c r="R115" s="77"/>
      <c r="S115" s="77"/>
      <c r="T115" s="77"/>
    </row>
    <row r="116" spans="1:20">
      <c r="A116" s="131" t="s">
        <v>2398</v>
      </c>
      <c r="B116" s="77"/>
      <c r="C116" s="106">
        <f t="shared" si="24"/>
        <v>499631.51899999997</v>
      </c>
      <c r="D116" s="106">
        <f t="shared" si="24"/>
        <v>453250.63500000001</v>
      </c>
      <c r="E116" s="106">
        <f t="shared" si="24"/>
        <v>454870.46500000003</v>
      </c>
      <c r="F116" s="106">
        <f t="shared" si="24"/>
        <v>478405.96100000001</v>
      </c>
      <c r="G116" s="106">
        <f t="shared" si="24"/>
        <v>473126.95199999999</v>
      </c>
      <c r="H116" s="106">
        <f t="shared" si="24"/>
        <v>462325.86700000003</v>
      </c>
      <c r="I116" s="106">
        <f t="shared" si="24"/>
        <v>483981.3</v>
      </c>
      <c r="J116" s="106">
        <f t="shared" si="24"/>
        <v>464049.47112</v>
      </c>
      <c r="K116" s="106">
        <f t="shared" si="24"/>
        <v>466611.56180999998</v>
      </c>
      <c r="L116" s="106">
        <f t="shared" si="24"/>
        <v>466216.12699999998</v>
      </c>
      <c r="M116" s="106">
        <f t="shared" si="24"/>
        <v>426466.95699999999</v>
      </c>
      <c r="N116" s="106">
        <f t="shared" si="24"/>
        <v>528608.71600000001</v>
      </c>
      <c r="O116" s="106">
        <f t="shared" si="23"/>
        <v>5657545.5319299996</v>
      </c>
      <c r="P116" s="77"/>
      <c r="Q116" s="77"/>
      <c r="R116" s="77"/>
      <c r="S116" s="77"/>
      <c r="T116" s="77"/>
    </row>
    <row r="117" spans="1:20">
      <c r="A117" s="131" t="s">
        <v>2413</v>
      </c>
      <c r="B117" s="77"/>
      <c r="C117" s="106">
        <f t="shared" si="24"/>
        <v>0</v>
      </c>
      <c r="D117" s="106">
        <f t="shared" si="24"/>
        <v>0</v>
      </c>
      <c r="E117" s="106">
        <f t="shared" si="24"/>
        <v>0</v>
      </c>
      <c r="F117" s="106">
        <f t="shared" si="24"/>
        <v>0</v>
      </c>
      <c r="G117" s="106">
        <f t="shared" si="24"/>
        <v>0</v>
      </c>
      <c r="H117" s="106">
        <f t="shared" si="24"/>
        <v>0</v>
      </c>
      <c r="I117" s="106">
        <f t="shared" si="24"/>
        <v>0</v>
      </c>
      <c r="J117" s="106">
        <f t="shared" si="24"/>
        <v>0</v>
      </c>
      <c r="K117" s="106">
        <f t="shared" si="24"/>
        <v>0</v>
      </c>
      <c r="L117" s="106">
        <f t="shared" si="24"/>
        <v>0</v>
      </c>
      <c r="M117" s="106">
        <f t="shared" si="24"/>
        <v>0</v>
      </c>
      <c r="N117" s="106">
        <f t="shared" si="24"/>
        <v>0</v>
      </c>
      <c r="O117" s="106">
        <f t="shared" si="23"/>
        <v>0</v>
      </c>
      <c r="P117" s="77"/>
      <c r="Q117" s="77"/>
      <c r="R117" s="77"/>
      <c r="S117" s="77"/>
      <c r="T117" s="77"/>
    </row>
    <row r="118" spans="1:20">
      <c r="A118" s="131" t="s">
        <v>2399</v>
      </c>
      <c r="B118" s="77"/>
      <c r="C118" s="106">
        <f t="shared" si="24"/>
        <v>23238.633999999998</v>
      </c>
      <c r="D118" s="106">
        <f t="shared" si="24"/>
        <v>20861.5</v>
      </c>
      <c r="E118" s="106">
        <f t="shared" si="24"/>
        <v>20280.541000000001</v>
      </c>
      <c r="F118" s="106">
        <f t="shared" si="24"/>
        <v>22623.755000000001</v>
      </c>
      <c r="G118" s="106">
        <f t="shared" si="24"/>
        <v>21185.133999999998</v>
      </c>
      <c r="H118" s="106">
        <f t="shared" si="24"/>
        <v>21435.499</v>
      </c>
      <c r="I118" s="106">
        <f t="shared" si="24"/>
        <v>22177.432000000001</v>
      </c>
      <c r="J118" s="106">
        <f t="shared" si="24"/>
        <v>21307.934000000001</v>
      </c>
      <c r="K118" s="106">
        <f t="shared" si="24"/>
        <v>21911.767</v>
      </c>
      <c r="L118" s="106">
        <f t="shared" si="24"/>
        <v>21986.6</v>
      </c>
      <c r="M118" s="106">
        <f t="shared" si="24"/>
        <v>20662.594000000001</v>
      </c>
      <c r="N118" s="106">
        <f t="shared" si="24"/>
        <v>23684.178</v>
      </c>
      <c r="O118" s="106">
        <f t="shared" si="23"/>
        <v>261355.568</v>
      </c>
      <c r="P118" s="77"/>
      <c r="Q118" s="77"/>
      <c r="R118" s="77"/>
      <c r="S118" s="77"/>
      <c r="T118" s="77"/>
    </row>
    <row r="119" spans="1:20">
      <c r="A119" s="131" t="s">
        <v>2400</v>
      </c>
      <c r="B119" s="77"/>
      <c r="C119" s="106">
        <f t="shared" si="24"/>
        <v>31175.535</v>
      </c>
      <c r="D119" s="106">
        <f t="shared" si="24"/>
        <v>28055.567999999999</v>
      </c>
      <c r="E119" s="106">
        <f t="shared" si="24"/>
        <v>28024.328000000001</v>
      </c>
      <c r="F119" s="106">
        <f t="shared" si="24"/>
        <v>29123.865000000002</v>
      </c>
      <c r="G119" s="106">
        <f t="shared" si="24"/>
        <v>30794.067999999999</v>
      </c>
      <c r="H119" s="106">
        <f t="shared" si="24"/>
        <v>28109.435000000001</v>
      </c>
      <c r="I119" s="106">
        <f t="shared" si="24"/>
        <v>29458.333999999999</v>
      </c>
      <c r="J119" s="106">
        <f t="shared" si="24"/>
        <v>30304.867999999999</v>
      </c>
      <c r="K119" s="106">
        <f t="shared" si="24"/>
        <v>29568.268</v>
      </c>
      <c r="L119" s="106">
        <f t="shared" si="24"/>
        <v>28163.302</v>
      </c>
      <c r="M119" s="106">
        <f t="shared" si="24"/>
        <v>29595.411</v>
      </c>
      <c r="N119" s="106">
        <f t="shared" si="24"/>
        <v>31067.802</v>
      </c>
      <c r="O119" s="106">
        <f t="shared" ref="O119:O123" si="25">SUMIF($S$7:$S$75,$A119,O$7:O$75)</f>
        <v>353440.78399999999</v>
      </c>
      <c r="P119" s="77"/>
      <c r="Q119" s="77"/>
      <c r="R119" s="77"/>
      <c r="S119" s="77"/>
      <c r="T119" s="77"/>
    </row>
    <row r="120" spans="1:20">
      <c r="A120" s="131" t="s">
        <v>2401</v>
      </c>
      <c r="B120" s="77"/>
      <c r="C120" s="106">
        <f t="shared" si="24"/>
        <v>85144.964999999997</v>
      </c>
      <c r="D120" s="106">
        <f t="shared" si="24"/>
        <v>75546.933000000005</v>
      </c>
      <c r="E120" s="106">
        <f t="shared" si="24"/>
        <v>75588.040999999997</v>
      </c>
      <c r="F120" s="106">
        <f t="shared" si="24"/>
        <v>76859.145999999993</v>
      </c>
      <c r="G120" s="106">
        <f t="shared" si="24"/>
        <v>82571.232000000004</v>
      </c>
      <c r="H120" s="106">
        <f t="shared" si="24"/>
        <v>77555.032000000007</v>
      </c>
      <c r="I120" s="106">
        <f t="shared" si="24"/>
        <v>81478.998999999996</v>
      </c>
      <c r="J120" s="106">
        <f t="shared" si="24"/>
        <v>78087.032000000007</v>
      </c>
      <c r="K120" s="106">
        <f t="shared" si="24"/>
        <v>80117.432000000001</v>
      </c>
      <c r="L120" s="106">
        <f t="shared" si="24"/>
        <v>78953.532000000007</v>
      </c>
      <c r="M120" s="106">
        <f t="shared" si="24"/>
        <v>77363.637000000002</v>
      </c>
      <c r="N120" s="106">
        <f t="shared" si="24"/>
        <v>80041.87</v>
      </c>
      <c r="O120" s="106">
        <f t="shared" si="25"/>
        <v>949307.85100000002</v>
      </c>
      <c r="P120" s="77"/>
      <c r="Q120" s="77"/>
      <c r="R120" s="77"/>
      <c r="S120" s="77"/>
      <c r="T120" s="77"/>
    </row>
    <row r="121" spans="1:20">
      <c r="A121" s="131" t="s">
        <v>2402</v>
      </c>
      <c r="B121" s="77"/>
      <c r="C121" s="106">
        <f t="shared" si="24"/>
        <v>45146.275000000001</v>
      </c>
      <c r="D121" s="106">
        <f t="shared" si="24"/>
        <v>41084.945</v>
      </c>
      <c r="E121" s="106">
        <f t="shared" si="24"/>
        <v>40700.83</v>
      </c>
      <c r="F121" s="106">
        <f t="shared" si="24"/>
        <v>42402.559999999998</v>
      </c>
      <c r="G121" s="106">
        <f t="shared" si="24"/>
        <v>958.12393999999995</v>
      </c>
      <c r="H121" s="106">
        <f t="shared" si="24"/>
        <v>40782.813000000002</v>
      </c>
      <c r="I121" s="106">
        <f t="shared" si="24"/>
        <v>40979.684000000001</v>
      </c>
      <c r="J121" s="106">
        <f t="shared" si="24"/>
        <v>40466.892999999996</v>
      </c>
      <c r="K121" s="106">
        <f t="shared" si="24"/>
        <v>41483.803999999996</v>
      </c>
      <c r="L121" s="106">
        <f t="shared" si="24"/>
        <v>37970.578999999998</v>
      </c>
      <c r="M121" s="106">
        <f t="shared" si="24"/>
        <v>37637.307999999997</v>
      </c>
      <c r="N121" s="106">
        <f t="shared" si="24"/>
        <v>40609.762000000002</v>
      </c>
      <c r="O121" s="106">
        <f t="shared" si="25"/>
        <v>450223.57694</v>
      </c>
      <c r="P121" s="77"/>
      <c r="Q121" s="77"/>
      <c r="R121" s="77"/>
      <c r="S121" s="77"/>
      <c r="T121" s="77"/>
    </row>
    <row r="122" spans="1:20">
      <c r="A122" s="131" t="s">
        <v>2403</v>
      </c>
      <c r="B122" s="77"/>
      <c r="C122" s="106">
        <f t="shared" si="24"/>
        <v>92555.171000000002</v>
      </c>
      <c r="D122" s="106">
        <f t="shared" si="24"/>
        <v>85478.251000000004</v>
      </c>
      <c r="E122" s="106">
        <f t="shared" si="24"/>
        <v>84441.528000000006</v>
      </c>
      <c r="F122" s="106">
        <f t="shared" si="24"/>
        <v>87294.956000000006</v>
      </c>
      <c r="G122" s="106">
        <f t="shared" si="24"/>
        <v>85220.774999999994</v>
      </c>
      <c r="H122" s="106">
        <f t="shared" si="24"/>
        <v>86864.987999999998</v>
      </c>
      <c r="I122" s="106">
        <f t="shared" si="24"/>
        <v>85744.168000000005</v>
      </c>
      <c r="J122" s="106">
        <f t="shared" si="24"/>
        <v>84570.558000000005</v>
      </c>
      <c r="K122" s="106">
        <f t="shared" si="24"/>
        <v>87140.58</v>
      </c>
      <c r="L122" s="106">
        <f t="shared" si="24"/>
        <v>81189.304000000004</v>
      </c>
      <c r="M122" s="106">
        <f t="shared" si="24"/>
        <v>81035.201000000001</v>
      </c>
      <c r="N122" s="106">
        <f t="shared" si="24"/>
        <v>87088.898010000004</v>
      </c>
      <c r="O122" s="106">
        <f t="shared" si="25"/>
        <v>1028624.37801</v>
      </c>
      <c r="P122" s="77"/>
      <c r="Q122" s="77"/>
      <c r="R122" s="77"/>
      <c r="S122" s="77"/>
      <c r="T122" s="77"/>
    </row>
    <row r="123" spans="1:20">
      <c r="A123" s="131" t="s">
        <v>2414</v>
      </c>
      <c r="B123" s="77"/>
      <c r="C123" s="106">
        <f t="shared" si="24"/>
        <v>205113.68900000001</v>
      </c>
      <c r="D123" s="106">
        <f t="shared" si="24"/>
        <v>183915.58960000001</v>
      </c>
      <c r="E123" s="106">
        <f t="shared" si="24"/>
        <v>188514.12299999999</v>
      </c>
      <c r="F123" s="106">
        <f t="shared" si="24"/>
        <v>195754.361</v>
      </c>
      <c r="G123" s="106">
        <f t="shared" si="24"/>
        <v>192139.467</v>
      </c>
      <c r="H123" s="106">
        <f t="shared" si="24"/>
        <v>193530.58</v>
      </c>
      <c r="I123" s="106">
        <f t="shared" si="24"/>
        <v>197895.348</v>
      </c>
      <c r="J123" s="106">
        <f t="shared" si="24"/>
        <v>192049.56700000001</v>
      </c>
      <c r="K123" s="106">
        <f t="shared" si="24"/>
        <v>200241.19399999999</v>
      </c>
      <c r="L123" s="106">
        <f t="shared" si="24"/>
        <v>187529.55900000001</v>
      </c>
      <c r="M123" s="106">
        <f t="shared" si="24"/>
        <v>186399.60399999999</v>
      </c>
      <c r="N123" s="106">
        <f t="shared" si="24"/>
        <v>207232.965</v>
      </c>
      <c r="O123" s="106">
        <f t="shared" si="25"/>
        <v>2330316.0466</v>
      </c>
      <c r="P123" s="77"/>
      <c r="Q123" s="77"/>
      <c r="R123" s="77"/>
      <c r="S123" s="77"/>
      <c r="T123" s="77"/>
    </row>
    <row r="124" spans="1:20">
      <c r="A124" s="131" t="s">
        <v>2404</v>
      </c>
      <c r="B124" s="77"/>
      <c r="C124" s="106">
        <f t="shared" si="24"/>
        <v>0</v>
      </c>
      <c r="D124" s="106">
        <f t="shared" si="24"/>
        <v>0</v>
      </c>
      <c r="E124" s="106">
        <f t="shared" si="24"/>
        <v>0</v>
      </c>
      <c r="F124" s="106">
        <f t="shared" si="24"/>
        <v>0</v>
      </c>
      <c r="G124" s="106">
        <f t="shared" si="24"/>
        <v>0</v>
      </c>
      <c r="H124" s="106">
        <f t="shared" si="24"/>
        <v>0</v>
      </c>
      <c r="I124" s="106">
        <f t="shared" si="24"/>
        <v>0</v>
      </c>
      <c r="J124" s="106">
        <f t="shared" si="24"/>
        <v>0</v>
      </c>
      <c r="K124" s="106">
        <f t="shared" si="24"/>
        <v>0</v>
      </c>
      <c r="L124" s="106">
        <f t="shared" si="24"/>
        <v>0</v>
      </c>
      <c r="M124" s="106">
        <f t="shared" ref="D124:O129" si="26">SUMIF($S$7:$S$75,$A124,M$7:M$75)</f>
        <v>0</v>
      </c>
      <c r="N124" s="106">
        <f t="shared" si="26"/>
        <v>0</v>
      </c>
      <c r="O124" s="106">
        <f t="shared" si="26"/>
        <v>0</v>
      </c>
      <c r="P124" s="77"/>
      <c r="Q124" s="77"/>
      <c r="R124" s="77"/>
      <c r="S124" s="77"/>
      <c r="T124" s="77"/>
    </row>
    <row r="125" spans="1:20">
      <c r="A125" s="131" t="s">
        <v>377</v>
      </c>
      <c r="B125" s="77"/>
      <c r="C125" s="106">
        <f t="shared" si="24"/>
        <v>0</v>
      </c>
      <c r="D125" s="106">
        <f t="shared" si="26"/>
        <v>0</v>
      </c>
      <c r="E125" s="106">
        <f t="shared" si="26"/>
        <v>0</v>
      </c>
      <c r="F125" s="106">
        <f t="shared" si="26"/>
        <v>0</v>
      </c>
      <c r="G125" s="106">
        <f t="shared" si="26"/>
        <v>0</v>
      </c>
      <c r="H125" s="106">
        <f t="shared" si="26"/>
        <v>0</v>
      </c>
      <c r="I125" s="106">
        <f t="shared" si="26"/>
        <v>0</v>
      </c>
      <c r="J125" s="106">
        <f t="shared" si="26"/>
        <v>0</v>
      </c>
      <c r="K125" s="106">
        <f t="shared" si="26"/>
        <v>0</v>
      </c>
      <c r="L125" s="106">
        <f t="shared" si="26"/>
        <v>0</v>
      </c>
      <c r="M125" s="106">
        <f t="shared" si="26"/>
        <v>0</v>
      </c>
      <c r="N125" s="106">
        <f t="shared" si="26"/>
        <v>0</v>
      </c>
      <c r="O125" s="106">
        <f t="shared" si="26"/>
        <v>0</v>
      </c>
      <c r="P125" s="77"/>
      <c r="Q125" s="77"/>
      <c r="R125" s="77"/>
      <c r="S125" s="77"/>
      <c r="T125" s="77"/>
    </row>
    <row r="126" spans="1:20">
      <c r="A126" s="131" t="s">
        <v>2411</v>
      </c>
      <c r="B126" s="77"/>
      <c r="C126" s="106">
        <f t="shared" si="24"/>
        <v>0</v>
      </c>
      <c r="D126" s="106">
        <f t="shared" si="26"/>
        <v>0</v>
      </c>
      <c r="E126" s="106">
        <f t="shared" si="26"/>
        <v>0</v>
      </c>
      <c r="F126" s="106">
        <f t="shared" si="26"/>
        <v>0</v>
      </c>
      <c r="G126" s="106">
        <f t="shared" si="26"/>
        <v>0</v>
      </c>
      <c r="H126" s="106">
        <f t="shared" si="26"/>
        <v>0</v>
      </c>
      <c r="I126" s="106">
        <f t="shared" si="26"/>
        <v>0</v>
      </c>
      <c r="J126" s="106">
        <f t="shared" si="26"/>
        <v>0</v>
      </c>
      <c r="K126" s="106">
        <f t="shared" si="26"/>
        <v>0</v>
      </c>
      <c r="L126" s="106">
        <f t="shared" si="26"/>
        <v>0</v>
      </c>
      <c r="M126" s="106">
        <f t="shared" si="26"/>
        <v>0</v>
      </c>
      <c r="N126" s="106">
        <f t="shared" si="26"/>
        <v>0</v>
      </c>
      <c r="O126" s="106">
        <f t="shared" si="26"/>
        <v>0</v>
      </c>
      <c r="P126" s="77"/>
      <c r="Q126" s="77"/>
      <c r="R126" s="77"/>
      <c r="S126" s="77"/>
      <c r="T126" s="77"/>
    </row>
    <row r="127" spans="1:20">
      <c r="A127" s="131" t="s">
        <v>2412</v>
      </c>
      <c r="B127" s="77"/>
      <c r="C127" s="106">
        <f t="shared" si="24"/>
        <v>0</v>
      </c>
      <c r="D127" s="106">
        <f t="shared" si="26"/>
        <v>0</v>
      </c>
      <c r="E127" s="106">
        <f t="shared" si="26"/>
        <v>0</v>
      </c>
      <c r="F127" s="106">
        <f t="shared" si="26"/>
        <v>0</v>
      </c>
      <c r="G127" s="106">
        <f t="shared" si="26"/>
        <v>0</v>
      </c>
      <c r="H127" s="106">
        <f t="shared" si="26"/>
        <v>0</v>
      </c>
      <c r="I127" s="106">
        <f t="shared" si="26"/>
        <v>0</v>
      </c>
      <c r="J127" s="106">
        <f t="shared" si="26"/>
        <v>0</v>
      </c>
      <c r="K127" s="106">
        <f t="shared" si="26"/>
        <v>0</v>
      </c>
      <c r="L127" s="106">
        <f t="shared" si="26"/>
        <v>0</v>
      </c>
      <c r="M127" s="106">
        <f t="shared" si="26"/>
        <v>0</v>
      </c>
      <c r="N127" s="106">
        <f t="shared" si="26"/>
        <v>0</v>
      </c>
      <c r="O127" s="106">
        <f t="shared" si="26"/>
        <v>0</v>
      </c>
      <c r="P127" s="77"/>
      <c r="Q127" s="77"/>
      <c r="R127" s="77"/>
      <c r="S127" s="77"/>
      <c r="T127" s="77"/>
    </row>
    <row r="128" spans="1:20">
      <c r="A128" s="131" t="s">
        <v>2406</v>
      </c>
      <c r="B128" s="77"/>
      <c r="C128" s="106">
        <f t="shared" si="24"/>
        <v>0</v>
      </c>
      <c r="D128" s="106">
        <f t="shared" si="26"/>
        <v>0</v>
      </c>
      <c r="E128" s="106">
        <f t="shared" si="26"/>
        <v>0</v>
      </c>
      <c r="F128" s="106">
        <f t="shared" si="26"/>
        <v>0</v>
      </c>
      <c r="G128" s="106">
        <f t="shared" si="26"/>
        <v>0</v>
      </c>
      <c r="H128" s="106">
        <f t="shared" si="26"/>
        <v>0</v>
      </c>
      <c r="I128" s="106">
        <f t="shared" si="26"/>
        <v>0</v>
      </c>
      <c r="J128" s="106">
        <f t="shared" si="26"/>
        <v>0</v>
      </c>
      <c r="K128" s="106">
        <f t="shared" si="26"/>
        <v>0</v>
      </c>
      <c r="L128" s="106">
        <f t="shared" si="26"/>
        <v>0</v>
      </c>
      <c r="M128" s="106">
        <f t="shared" si="26"/>
        <v>0</v>
      </c>
      <c r="N128" s="106">
        <f t="shared" si="26"/>
        <v>0</v>
      </c>
      <c r="O128" s="106">
        <f t="shared" si="26"/>
        <v>0</v>
      </c>
      <c r="P128" s="77"/>
      <c r="Q128" s="77"/>
      <c r="R128" s="77"/>
      <c r="S128" s="77"/>
      <c r="T128" s="77"/>
    </row>
    <row r="129" spans="1:20">
      <c r="A129" s="131" t="s">
        <v>2407</v>
      </c>
      <c r="B129" s="77"/>
      <c r="C129" s="106">
        <f t="shared" si="24"/>
        <v>0</v>
      </c>
      <c r="D129" s="106">
        <f t="shared" si="26"/>
        <v>0</v>
      </c>
      <c r="E129" s="106">
        <f t="shared" si="26"/>
        <v>0</v>
      </c>
      <c r="F129" s="106">
        <f t="shared" si="26"/>
        <v>0</v>
      </c>
      <c r="G129" s="106">
        <f t="shared" si="26"/>
        <v>0</v>
      </c>
      <c r="H129" s="106">
        <f t="shared" si="26"/>
        <v>0</v>
      </c>
      <c r="I129" s="106">
        <f t="shared" si="26"/>
        <v>0</v>
      </c>
      <c r="J129" s="106">
        <f t="shared" si="26"/>
        <v>0</v>
      </c>
      <c r="K129" s="106">
        <f t="shared" si="26"/>
        <v>0</v>
      </c>
      <c r="L129" s="106">
        <f t="shared" si="26"/>
        <v>0</v>
      </c>
      <c r="M129" s="106">
        <f t="shared" si="26"/>
        <v>0</v>
      </c>
      <c r="N129" s="106">
        <f t="shared" si="26"/>
        <v>0</v>
      </c>
      <c r="O129" s="106">
        <f t="shared" si="26"/>
        <v>0</v>
      </c>
      <c r="P129" s="77"/>
      <c r="Q129" s="77"/>
      <c r="R129" s="77"/>
      <c r="S129" s="77"/>
      <c r="T129" s="77"/>
    </row>
    <row r="130" spans="1:20">
      <c r="A130" s="131"/>
      <c r="B130" s="77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77"/>
      <c r="Q130" s="77"/>
      <c r="R130" s="77"/>
      <c r="S130" s="77"/>
      <c r="T130" s="77"/>
    </row>
    <row r="131" spans="1:20">
      <c r="A131" s="77"/>
      <c r="B131" s="77"/>
      <c r="C131" s="100">
        <f t="shared" ref="C131:N131" si="27">SUM(C103:C130)</f>
        <v>290699988.07700002</v>
      </c>
      <c r="D131" s="100">
        <f t="shared" si="27"/>
        <v>285985748.16863006</v>
      </c>
      <c r="E131" s="100">
        <f t="shared" si="27"/>
        <v>283300557.52399004</v>
      </c>
      <c r="F131" s="100">
        <f t="shared" si="27"/>
        <v>281178844.87501001</v>
      </c>
      <c r="G131" s="100">
        <f t="shared" si="27"/>
        <v>250421143.12394002</v>
      </c>
      <c r="H131" s="100">
        <f t="shared" si="27"/>
        <v>256350077.03</v>
      </c>
      <c r="I131" s="100">
        <f t="shared" si="27"/>
        <v>258109432.56700003</v>
      </c>
      <c r="J131" s="100">
        <f t="shared" si="27"/>
        <v>280130403.54611999</v>
      </c>
      <c r="K131" s="100">
        <f t="shared" si="27"/>
        <v>273075283.91381007</v>
      </c>
      <c r="L131" s="100">
        <f t="shared" si="27"/>
        <v>241903217.11699995</v>
      </c>
      <c r="M131" s="100">
        <f t="shared" si="27"/>
        <v>284752662.31700003</v>
      </c>
      <c r="N131" s="100">
        <f t="shared" si="27"/>
        <v>322573893.73864007</v>
      </c>
      <c r="O131" s="100">
        <f>IF(ROUND(SUM(O103:O130),3)&lt;&gt;ROUND(SUM(C131:N131),3),#VALUE!,SUM(C131:N131))</f>
        <v>3308481251.9981403</v>
      </c>
      <c r="P131" s="77"/>
      <c r="Q131" s="77"/>
      <c r="R131" s="77"/>
      <c r="S131" s="77"/>
      <c r="T131" s="77"/>
    </row>
    <row r="132" spans="1:20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106">
        <f>O131-O75</f>
        <v>0</v>
      </c>
      <c r="P132" s="77"/>
      <c r="Q132" s="77"/>
      <c r="R132" s="77"/>
      <c r="S132" s="77"/>
      <c r="T132" s="77"/>
    </row>
    <row r="133" spans="1:20" ht="14.45" customHeight="1">
      <c r="A133" s="18" t="s">
        <v>421</v>
      </c>
      <c r="B133" t="s">
        <v>201</v>
      </c>
      <c r="C133" s="403">
        <v>4715108.3990000002</v>
      </c>
      <c r="D133" s="403">
        <v>4672729</v>
      </c>
      <c r="E133" s="403">
        <v>4724630</v>
      </c>
      <c r="F133" s="403">
        <v>4342575</v>
      </c>
      <c r="G133" s="403">
        <v>4011486</v>
      </c>
      <c r="H133" s="403">
        <v>3918481</v>
      </c>
      <c r="I133" s="403">
        <v>3707672</v>
      </c>
      <c r="J133" s="403">
        <v>3988303</v>
      </c>
      <c r="K133" s="403">
        <v>4010254</v>
      </c>
      <c r="L133" s="403">
        <v>3655132</v>
      </c>
      <c r="M133" s="403">
        <v>3950445</v>
      </c>
      <c r="N133" s="403">
        <v>4485171</v>
      </c>
      <c r="O133" s="17">
        <f>SUM(C133:N133)</f>
        <v>50181986.399000004</v>
      </c>
      <c r="P133" s="77"/>
      <c r="Q133" s="77"/>
      <c r="R133" s="77"/>
      <c r="S133" s="77"/>
      <c r="T133" s="77"/>
    </row>
    <row r="134" spans="1:20" hidden="1">
      <c r="A134" s="15" t="s">
        <v>158</v>
      </c>
      <c r="B134" t="s">
        <v>202</v>
      </c>
      <c r="C134" s="150">
        <v>0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  <c r="I134" s="150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7">
        <f>SUM(C134:N134)</f>
        <v>0</v>
      </c>
      <c r="P134" s="77"/>
      <c r="Q134" s="77"/>
      <c r="R134" s="77"/>
      <c r="S134" s="77"/>
      <c r="T134" s="77"/>
    </row>
    <row r="135" spans="1:20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142">
        <f>O133/(O106+O107)</f>
        <v>7.9712719333851087E-2</v>
      </c>
      <c r="P135" s="77"/>
      <c r="Q135" s="77"/>
      <c r="R135" s="77"/>
      <c r="S135" s="77"/>
      <c r="T135" s="77"/>
    </row>
    <row r="136" spans="1:20">
      <c r="A136" s="134" t="s">
        <v>220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</row>
    <row r="137" spans="1:20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20">
      <c r="A138" s="77" t="s">
        <v>221</v>
      </c>
      <c r="B138" s="135" t="s">
        <v>222</v>
      </c>
      <c r="C138" s="106">
        <f>SUMIF($R$7:$R$75,$B138,C$7:C$75)</f>
        <v>136102194.23981997</v>
      </c>
      <c r="D138" s="106">
        <f t="shared" ref="D138:O138" si="28">SUMIF($R$7:$R$75,$B138,D$7:D$75)</f>
        <v>131436223.44103</v>
      </c>
      <c r="E138" s="106">
        <f t="shared" si="28"/>
        <v>134150493.58698998</v>
      </c>
      <c r="F138" s="106">
        <f t="shared" si="28"/>
        <v>98997259.927010015</v>
      </c>
      <c r="G138" s="106">
        <f t="shared" si="28"/>
        <v>80136781.498999998</v>
      </c>
      <c r="H138" s="106">
        <f t="shared" si="28"/>
        <v>77555445.144000009</v>
      </c>
      <c r="I138" s="106">
        <f t="shared" si="28"/>
        <v>82043414.260999992</v>
      </c>
      <c r="J138" s="106">
        <f t="shared" si="28"/>
        <v>91263240.51199998</v>
      </c>
      <c r="K138" s="106">
        <f t="shared" si="28"/>
        <v>84182491.16399999</v>
      </c>
      <c r="L138" s="106">
        <f t="shared" si="28"/>
        <v>81988454.986000001</v>
      </c>
      <c r="M138" s="106">
        <f t="shared" si="28"/>
        <v>104759804.83600001</v>
      </c>
      <c r="N138" s="106">
        <f t="shared" si="28"/>
        <v>133139982.54722001</v>
      </c>
      <c r="O138" s="106">
        <f t="shared" si="28"/>
        <v>1235755786.1440699</v>
      </c>
      <c r="P138" s="77"/>
      <c r="Q138" s="77"/>
      <c r="R138" s="77"/>
      <c r="S138" s="77"/>
      <c r="T138" s="77"/>
    </row>
    <row r="139" spans="1:20">
      <c r="A139" s="77" t="s">
        <v>223</v>
      </c>
      <c r="B139" s="135" t="s">
        <v>224</v>
      </c>
      <c r="C139" s="106">
        <f t="shared" ref="C139:O148" si="29">SUMIF($R$7:$R$75,$B139,C$7:C$75)</f>
        <v>0</v>
      </c>
      <c r="D139" s="106">
        <f t="shared" si="29"/>
        <v>0</v>
      </c>
      <c r="E139" s="106">
        <f t="shared" si="29"/>
        <v>0</v>
      </c>
      <c r="F139" s="106">
        <f t="shared" si="29"/>
        <v>0</v>
      </c>
      <c r="G139" s="106">
        <f t="shared" si="29"/>
        <v>0</v>
      </c>
      <c r="H139" s="106">
        <f t="shared" si="29"/>
        <v>0</v>
      </c>
      <c r="I139" s="106">
        <f t="shared" si="29"/>
        <v>0</v>
      </c>
      <c r="J139" s="106">
        <f t="shared" si="29"/>
        <v>0</v>
      </c>
      <c r="K139" s="106">
        <f t="shared" si="29"/>
        <v>0</v>
      </c>
      <c r="L139" s="106">
        <f t="shared" si="29"/>
        <v>0</v>
      </c>
      <c r="M139" s="106">
        <f t="shared" si="29"/>
        <v>0</v>
      </c>
      <c r="N139" s="106">
        <f t="shared" si="29"/>
        <v>0</v>
      </c>
      <c r="O139" s="106">
        <f t="shared" si="29"/>
        <v>0</v>
      </c>
      <c r="P139" s="77"/>
      <c r="Q139" s="77"/>
      <c r="R139" s="77"/>
      <c r="S139" s="77"/>
      <c r="T139" s="77"/>
    </row>
    <row r="140" spans="1:20">
      <c r="A140" s="77" t="s">
        <v>225</v>
      </c>
      <c r="B140" s="135" t="s">
        <v>226</v>
      </c>
      <c r="C140" s="106">
        <f t="shared" si="29"/>
        <v>91324486.429179996</v>
      </c>
      <c r="D140" s="106">
        <f t="shared" si="29"/>
        <v>89175974.528600007</v>
      </c>
      <c r="E140" s="106">
        <f t="shared" si="29"/>
        <v>89270435.362999991</v>
      </c>
      <c r="F140" s="106">
        <f t="shared" si="29"/>
        <v>80608360.775999978</v>
      </c>
      <c r="G140" s="106">
        <f t="shared" si="29"/>
        <v>75671094.189940006</v>
      </c>
      <c r="H140" s="106">
        <f t="shared" si="29"/>
        <v>78684527.930000022</v>
      </c>
      <c r="I140" s="106">
        <f t="shared" si="29"/>
        <v>82048703.015000001</v>
      </c>
      <c r="J140" s="106">
        <f t="shared" si="29"/>
        <v>87727042.825000003</v>
      </c>
      <c r="K140" s="106">
        <f t="shared" si="29"/>
        <v>87369551.557999998</v>
      </c>
      <c r="L140" s="106">
        <f t="shared" si="29"/>
        <v>75947124.260000005</v>
      </c>
      <c r="M140" s="106">
        <f t="shared" si="29"/>
        <v>79501750.577999994</v>
      </c>
      <c r="N140" s="106">
        <f t="shared" si="29"/>
        <v>90869161.862409994</v>
      </c>
      <c r="O140" s="106">
        <f t="shared" si="29"/>
        <v>1008198213.3151301</v>
      </c>
      <c r="P140" s="77"/>
      <c r="Q140" s="77"/>
      <c r="R140" s="77"/>
      <c r="S140" s="77"/>
      <c r="T140" s="77"/>
    </row>
    <row r="141" spans="1:20">
      <c r="A141" s="77" t="s">
        <v>227</v>
      </c>
      <c r="B141" s="135" t="s">
        <v>228</v>
      </c>
      <c r="C141" s="106">
        <f t="shared" si="29"/>
        <v>62042092.685000002</v>
      </c>
      <c r="D141" s="106">
        <f t="shared" si="29"/>
        <v>64195373.952</v>
      </c>
      <c r="E141" s="106">
        <f t="shared" si="29"/>
        <v>58761271.185000002</v>
      </c>
      <c r="F141" s="106">
        <f t="shared" si="29"/>
        <v>100453915.46600001</v>
      </c>
      <c r="G141" s="106">
        <f t="shared" si="29"/>
        <v>93124106.349000007</v>
      </c>
      <c r="H141" s="106">
        <f t="shared" si="29"/>
        <v>98059313.193000004</v>
      </c>
      <c r="I141" s="106">
        <f t="shared" si="29"/>
        <v>91612502.763000011</v>
      </c>
      <c r="J141" s="106">
        <f t="shared" si="29"/>
        <v>98625986.120000005</v>
      </c>
      <c r="K141" s="106">
        <f t="shared" si="29"/>
        <v>100163211.64300001</v>
      </c>
      <c r="L141" s="106">
        <f t="shared" si="29"/>
        <v>82855626.958999991</v>
      </c>
      <c r="M141" s="106">
        <f t="shared" si="29"/>
        <v>99468742.066</v>
      </c>
      <c r="N141" s="106">
        <f t="shared" si="29"/>
        <v>97375282.763009995</v>
      </c>
      <c r="O141" s="106">
        <f t="shared" si="29"/>
        <v>1046737425.1440101</v>
      </c>
      <c r="P141" s="77"/>
      <c r="Q141" s="77"/>
      <c r="R141" s="77"/>
      <c r="S141" s="77"/>
      <c r="T141" s="77"/>
    </row>
    <row r="142" spans="1:20">
      <c r="A142" s="77" t="s">
        <v>229</v>
      </c>
      <c r="B142" s="135" t="s">
        <v>230</v>
      </c>
      <c r="C142" s="106">
        <f t="shared" si="29"/>
        <v>311667.09000000003</v>
      </c>
      <c r="D142" s="106">
        <f t="shared" si="29"/>
        <v>324709.93700000003</v>
      </c>
      <c r="E142" s="106">
        <f t="shared" si="29"/>
        <v>277118.571</v>
      </c>
      <c r="F142" s="106">
        <f t="shared" si="29"/>
        <v>313335.37</v>
      </c>
      <c r="G142" s="106">
        <f t="shared" si="29"/>
        <v>721102.89300000004</v>
      </c>
      <c r="H142" s="106">
        <f t="shared" si="29"/>
        <v>1265468.27</v>
      </c>
      <c r="I142" s="106">
        <f t="shared" si="29"/>
        <v>1578105.65</v>
      </c>
      <c r="J142" s="106">
        <f t="shared" si="29"/>
        <v>1684003.757</v>
      </c>
      <c r="K142" s="106">
        <f t="shared" si="29"/>
        <v>621394.30000000005</v>
      </c>
      <c r="L142" s="106">
        <f t="shared" si="29"/>
        <v>364864.15700000001</v>
      </c>
      <c r="M142" s="106">
        <f t="shared" si="29"/>
        <v>256153.16899999999</v>
      </c>
      <c r="N142" s="106">
        <f t="shared" si="29"/>
        <v>266944.783</v>
      </c>
      <c r="O142" s="106">
        <f t="shared" si="29"/>
        <v>7984867.9470000006</v>
      </c>
      <c r="P142" s="77"/>
      <c r="Q142" s="77"/>
      <c r="R142" s="77"/>
      <c r="S142" s="77"/>
      <c r="T142" s="77"/>
    </row>
    <row r="143" spans="1:20">
      <c r="A143" s="77" t="s">
        <v>231</v>
      </c>
      <c r="B143" s="135" t="s">
        <v>232</v>
      </c>
      <c r="C143" s="106">
        <f t="shared" si="29"/>
        <v>641203.98599999992</v>
      </c>
      <c r="D143" s="106">
        <f t="shared" si="29"/>
        <v>579466.63699999999</v>
      </c>
      <c r="E143" s="106">
        <f t="shared" si="29"/>
        <v>580475.15300000005</v>
      </c>
      <c r="F143" s="106">
        <f t="shared" si="29"/>
        <v>608818.505</v>
      </c>
      <c r="G143" s="106">
        <f t="shared" si="29"/>
        <v>609490.72</v>
      </c>
      <c r="H143" s="106">
        <f t="shared" si="29"/>
        <v>591143.16700000002</v>
      </c>
      <c r="I143" s="106">
        <f t="shared" si="29"/>
        <v>618962.73199999996</v>
      </c>
      <c r="J143" s="106">
        <f t="shared" si="29"/>
        <v>595450.63911999995</v>
      </c>
      <c r="K143" s="106">
        <f t="shared" si="29"/>
        <v>600145.02880999993</v>
      </c>
      <c r="L143" s="106">
        <f t="shared" si="29"/>
        <v>597020.89500000002</v>
      </c>
      <c r="M143" s="106">
        <f t="shared" si="29"/>
        <v>555792.37699999998</v>
      </c>
      <c r="N143" s="106">
        <f t="shared" si="29"/>
        <v>665338.56599999999</v>
      </c>
      <c r="O143" s="106">
        <f t="shared" si="29"/>
        <v>7243308.4059299994</v>
      </c>
      <c r="P143" s="77"/>
      <c r="Q143" s="77"/>
      <c r="R143" s="77"/>
      <c r="S143" s="77"/>
      <c r="T143" s="77"/>
    </row>
    <row r="144" spans="1:20">
      <c r="A144" s="77" t="s">
        <v>233</v>
      </c>
      <c r="B144" s="135" t="s">
        <v>234</v>
      </c>
      <c r="C144" s="106">
        <f t="shared" si="29"/>
        <v>0</v>
      </c>
      <c r="D144" s="106">
        <f t="shared" si="29"/>
        <v>0</v>
      </c>
      <c r="E144" s="106">
        <f t="shared" si="29"/>
        <v>0</v>
      </c>
      <c r="F144" s="106">
        <f t="shared" si="29"/>
        <v>0</v>
      </c>
      <c r="G144" s="106">
        <f t="shared" si="29"/>
        <v>0</v>
      </c>
      <c r="H144" s="106">
        <f t="shared" si="29"/>
        <v>0</v>
      </c>
      <c r="I144" s="106">
        <f t="shared" si="29"/>
        <v>0</v>
      </c>
      <c r="J144" s="106">
        <f t="shared" si="29"/>
        <v>0</v>
      </c>
      <c r="K144" s="106">
        <f t="shared" si="29"/>
        <v>0</v>
      </c>
      <c r="L144" s="106">
        <f t="shared" si="29"/>
        <v>0</v>
      </c>
      <c r="M144" s="106">
        <f t="shared" si="29"/>
        <v>0</v>
      </c>
      <c r="N144" s="106">
        <f t="shared" si="29"/>
        <v>0</v>
      </c>
      <c r="O144" s="106">
        <f t="shared" si="29"/>
        <v>0</v>
      </c>
      <c r="P144" s="77"/>
      <c r="Q144" s="77"/>
      <c r="R144" s="77"/>
      <c r="S144" s="77"/>
      <c r="T144" s="77"/>
    </row>
    <row r="145" spans="1:20">
      <c r="A145" s="77" t="s">
        <v>235</v>
      </c>
      <c r="B145" s="135" t="s">
        <v>236</v>
      </c>
      <c r="C145" s="106">
        <f t="shared" si="29"/>
        <v>278343.647</v>
      </c>
      <c r="D145" s="106">
        <f t="shared" si="29"/>
        <v>273999.67299999995</v>
      </c>
      <c r="E145" s="106">
        <f t="shared" si="29"/>
        <v>260763.66499999998</v>
      </c>
      <c r="F145" s="106">
        <f t="shared" si="29"/>
        <v>197154.83099999998</v>
      </c>
      <c r="G145" s="106">
        <f t="shared" si="29"/>
        <v>158567.473</v>
      </c>
      <c r="H145" s="106">
        <f t="shared" si="29"/>
        <v>194179.326</v>
      </c>
      <c r="I145" s="106">
        <f t="shared" si="29"/>
        <v>207744.14600000001</v>
      </c>
      <c r="J145" s="106">
        <f t="shared" si="29"/>
        <v>234679.693</v>
      </c>
      <c r="K145" s="106">
        <f t="shared" si="29"/>
        <v>138490.22</v>
      </c>
      <c r="L145" s="106">
        <f t="shared" si="29"/>
        <v>150125.86000000002</v>
      </c>
      <c r="M145" s="106">
        <f t="shared" si="29"/>
        <v>210419.291</v>
      </c>
      <c r="N145" s="106">
        <f t="shared" si="29"/>
        <v>257183.217</v>
      </c>
      <c r="O145" s="106">
        <f t="shared" si="29"/>
        <v>2561651.0419999999</v>
      </c>
      <c r="P145" s="77"/>
      <c r="Q145" s="77"/>
      <c r="R145" s="77"/>
      <c r="S145" s="77"/>
      <c r="T145" s="77"/>
    </row>
    <row r="146" spans="1:20">
      <c r="A146" s="77" t="s">
        <v>237</v>
      </c>
      <c r="B146" s="135" t="s">
        <v>238</v>
      </c>
      <c r="C146" s="106">
        <f t="shared" si="29"/>
        <v>0</v>
      </c>
      <c r="D146" s="106">
        <f t="shared" si="29"/>
        <v>0</v>
      </c>
      <c r="E146" s="106">
        <f t="shared" si="29"/>
        <v>0</v>
      </c>
      <c r="F146" s="106">
        <f t="shared" si="29"/>
        <v>0</v>
      </c>
      <c r="G146" s="106">
        <f t="shared" si="29"/>
        <v>0</v>
      </c>
      <c r="H146" s="106">
        <f t="shared" si="29"/>
        <v>0</v>
      </c>
      <c r="I146" s="106">
        <f t="shared" si="29"/>
        <v>0</v>
      </c>
      <c r="J146" s="106">
        <f t="shared" si="29"/>
        <v>0</v>
      </c>
      <c r="K146" s="106">
        <f t="shared" si="29"/>
        <v>0</v>
      </c>
      <c r="L146" s="106">
        <f t="shared" si="29"/>
        <v>0</v>
      </c>
      <c r="M146" s="106">
        <f t="shared" si="29"/>
        <v>0</v>
      </c>
      <c r="N146" s="106">
        <f t="shared" si="29"/>
        <v>0</v>
      </c>
      <c r="O146" s="106">
        <f t="shared" si="29"/>
        <v>0</v>
      </c>
      <c r="P146" s="77"/>
      <c r="Q146" s="77"/>
      <c r="R146" s="77"/>
      <c r="S146" s="77"/>
      <c r="T146" s="77"/>
    </row>
    <row r="147" spans="1:20">
      <c r="A147" s="77" t="s">
        <v>239</v>
      </c>
      <c r="B147" s="135" t="s">
        <v>240</v>
      </c>
      <c r="C147" s="106">
        <f t="shared" si="29"/>
        <v>0</v>
      </c>
      <c r="D147" s="106">
        <f t="shared" si="29"/>
        <v>0</v>
      </c>
      <c r="E147" s="106">
        <f t="shared" si="29"/>
        <v>0</v>
      </c>
      <c r="F147" s="106">
        <f t="shared" si="29"/>
        <v>0</v>
      </c>
      <c r="G147" s="106">
        <f t="shared" si="29"/>
        <v>0</v>
      </c>
      <c r="H147" s="106">
        <f t="shared" si="29"/>
        <v>0</v>
      </c>
      <c r="I147" s="106">
        <f t="shared" si="29"/>
        <v>0</v>
      </c>
      <c r="J147" s="106">
        <f t="shared" si="29"/>
        <v>0</v>
      </c>
      <c r="K147" s="106">
        <f t="shared" si="29"/>
        <v>0</v>
      </c>
      <c r="L147" s="106">
        <f t="shared" si="29"/>
        <v>0</v>
      </c>
      <c r="M147" s="106">
        <f t="shared" si="29"/>
        <v>0</v>
      </c>
      <c r="N147" s="106">
        <f t="shared" si="29"/>
        <v>0</v>
      </c>
      <c r="O147" s="106">
        <f t="shared" si="29"/>
        <v>0</v>
      </c>
      <c r="P147" s="77"/>
      <c r="Q147" s="77"/>
      <c r="R147" s="77"/>
      <c r="S147" s="77"/>
      <c r="T147" s="77"/>
    </row>
    <row r="148" spans="1:20">
      <c r="A148" s="77" t="s">
        <v>241</v>
      </c>
      <c r="B148" s="135" t="s">
        <v>242</v>
      </c>
      <c r="C148" s="106">
        <f t="shared" si="29"/>
        <v>0</v>
      </c>
      <c r="D148" s="106">
        <f t="shared" si="29"/>
        <v>0</v>
      </c>
      <c r="E148" s="106">
        <f t="shared" si="29"/>
        <v>0</v>
      </c>
      <c r="F148" s="106">
        <f t="shared" si="29"/>
        <v>0</v>
      </c>
      <c r="G148" s="106">
        <f t="shared" si="29"/>
        <v>0</v>
      </c>
      <c r="H148" s="106">
        <f t="shared" si="29"/>
        <v>0</v>
      </c>
      <c r="I148" s="106">
        <f t="shared" si="29"/>
        <v>0</v>
      </c>
      <c r="J148" s="106">
        <f t="shared" si="29"/>
        <v>0</v>
      </c>
      <c r="K148" s="106">
        <f t="shared" si="29"/>
        <v>0</v>
      </c>
      <c r="L148" s="106">
        <f t="shared" si="29"/>
        <v>0</v>
      </c>
      <c r="M148" s="106">
        <f t="shared" si="29"/>
        <v>0</v>
      </c>
      <c r="N148" s="106">
        <f t="shared" si="29"/>
        <v>0</v>
      </c>
      <c r="O148" s="106">
        <f t="shared" si="29"/>
        <v>0</v>
      </c>
      <c r="P148" s="77"/>
      <c r="Q148" s="77"/>
      <c r="R148" s="77"/>
      <c r="S148" s="77"/>
      <c r="T148" s="77"/>
    </row>
    <row r="149" spans="1:20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</row>
    <row r="150" spans="1:20">
      <c r="A150" s="77"/>
      <c r="B150" s="77"/>
      <c r="C150" s="100">
        <f t="shared" ref="C150:N150" si="30">SUM(C138:C149)</f>
        <v>290699988.07699996</v>
      </c>
      <c r="D150" s="100">
        <f t="shared" si="30"/>
        <v>285985748.16863</v>
      </c>
      <c r="E150" s="100">
        <f t="shared" si="30"/>
        <v>283300557.52398998</v>
      </c>
      <c r="F150" s="100">
        <f t="shared" si="30"/>
        <v>281178844.87500995</v>
      </c>
      <c r="G150" s="100">
        <f t="shared" si="30"/>
        <v>250421143.12393999</v>
      </c>
      <c r="H150" s="100">
        <f t="shared" si="30"/>
        <v>256350077.03000003</v>
      </c>
      <c r="I150" s="100">
        <f t="shared" si="30"/>
        <v>258109432.567</v>
      </c>
      <c r="J150" s="100">
        <f t="shared" si="30"/>
        <v>280130403.54612005</v>
      </c>
      <c r="K150" s="100">
        <f t="shared" si="30"/>
        <v>273075283.91381007</v>
      </c>
      <c r="L150" s="100">
        <f t="shared" si="30"/>
        <v>241903217.11700001</v>
      </c>
      <c r="M150" s="100">
        <f t="shared" si="30"/>
        <v>284752662.31700003</v>
      </c>
      <c r="N150" s="100">
        <f t="shared" si="30"/>
        <v>322573893.73863995</v>
      </c>
      <c r="O150" s="100">
        <f>IF(ROUND(SUM(O138:O149),3)&lt;&gt;ROUND(SUM(C150:N150),3),#VALUE!,SUM(C150:N150))</f>
        <v>3308481251.9981399</v>
      </c>
      <c r="P150" s="77"/>
      <c r="Q150" s="77"/>
      <c r="R150" s="77"/>
      <c r="S150" s="77"/>
      <c r="T150" s="77"/>
    </row>
    <row r="151" spans="1:20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106">
        <f>O150-O131</f>
        <v>0</v>
      </c>
      <c r="P151" s="77"/>
      <c r="Q151" s="77"/>
      <c r="R151" s="77"/>
      <c r="S151" s="77"/>
      <c r="T151" s="77"/>
    </row>
    <row r="152" spans="1:20">
      <c r="A152" s="137" t="s">
        <v>203</v>
      </c>
    </row>
    <row r="153" spans="1:20">
      <c r="A153" t="s">
        <v>215</v>
      </c>
      <c r="B153" t="s">
        <v>206</v>
      </c>
      <c r="C153" s="106">
        <f ca="1">SUMIF($S$6:$S$75,$A153,C$6:C$73)</f>
        <v>0</v>
      </c>
      <c r="D153" s="106">
        <f t="shared" ref="D153:O153" ca="1" si="31">SUMIF($S$6:$S$75,$A153,D$6:D$73)</f>
        <v>0</v>
      </c>
      <c r="E153" s="106">
        <f t="shared" ca="1" si="31"/>
        <v>0</v>
      </c>
      <c r="F153" s="106">
        <f t="shared" ca="1" si="31"/>
        <v>0</v>
      </c>
      <c r="G153" s="106">
        <f t="shared" ca="1" si="31"/>
        <v>0</v>
      </c>
      <c r="H153" s="106">
        <f t="shared" ca="1" si="31"/>
        <v>0</v>
      </c>
      <c r="I153" s="106">
        <f t="shared" ca="1" si="31"/>
        <v>0</v>
      </c>
      <c r="J153" s="106">
        <f t="shared" ca="1" si="31"/>
        <v>0</v>
      </c>
      <c r="K153" s="106">
        <f t="shared" ca="1" si="31"/>
        <v>0</v>
      </c>
      <c r="L153" s="106">
        <f t="shared" ca="1" si="31"/>
        <v>0</v>
      </c>
      <c r="M153" s="106">
        <f t="shared" ca="1" si="31"/>
        <v>0</v>
      </c>
      <c r="N153" s="106">
        <f t="shared" ca="1" si="31"/>
        <v>0</v>
      </c>
      <c r="O153" s="106">
        <f t="shared" ca="1" si="31"/>
        <v>0</v>
      </c>
    </row>
    <row r="154" spans="1:20">
      <c r="A154" t="s">
        <v>216</v>
      </c>
      <c r="B154" t="s">
        <v>204</v>
      </c>
      <c r="C154" s="106">
        <f t="shared" ref="C154:O156" ca="1" si="32">SUMIF($S$6:$S$75,$A154,C$6:C$73)</f>
        <v>33916099.84217</v>
      </c>
      <c r="D154" s="106">
        <f t="shared" ca="1" si="32"/>
        <v>32992152.796</v>
      </c>
      <c r="E154" s="106">
        <f t="shared" ca="1" si="32"/>
        <v>33409475.271000002</v>
      </c>
      <c r="F154" s="106">
        <f t="shared" ca="1" si="32"/>
        <v>27982086.171999998</v>
      </c>
      <c r="G154" s="106">
        <f t="shared" ca="1" si="32"/>
        <v>25273148.884</v>
      </c>
      <c r="H154" s="106">
        <f t="shared" ca="1" si="32"/>
        <v>25862658.596000001</v>
      </c>
      <c r="I154" s="106">
        <f t="shared" ca="1" si="32"/>
        <v>27369346.011999998</v>
      </c>
      <c r="J154" s="106">
        <f t="shared" ca="1" si="32"/>
        <v>29844645.675000001</v>
      </c>
      <c r="K154" s="106">
        <f t="shared" ca="1" si="32"/>
        <v>28946515.543000001</v>
      </c>
      <c r="L154" s="106">
        <f t="shared" ca="1" si="32"/>
        <v>25701604.918000001</v>
      </c>
      <c r="M154" s="106">
        <f t="shared" ca="1" si="32"/>
        <v>28767562.956999999</v>
      </c>
      <c r="N154" s="106">
        <f t="shared" ca="1" si="32"/>
        <v>34533110.248410001</v>
      </c>
      <c r="O154" s="106">
        <f t="shared" ca="1" si="32"/>
        <v>354598406.91457999</v>
      </c>
    </row>
    <row r="155" spans="1:20">
      <c r="A155" t="s">
        <v>217</v>
      </c>
      <c r="B155" t="s">
        <v>205</v>
      </c>
      <c r="C155" s="106">
        <f t="shared" ca="1" si="32"/>
        <v>3182204.9354400001</v>
      </c>
      <c r="D155" s="106">
        <f t="shared" ca="1" si="32"/>
        <v>3163347.9480099999</v>
      </c>
      <c r="E155" s="106">
        <f t="shared" ca="1" si="32"/>
        <v>3245374.4539899998</v>
      </c>
      <c r="F155" s="106">
        <f t="shared" ca="1" si="32"/>
        <v>2334203.13601</v>
      </c>
      <c r="G155" s="106">
        <f t="shared" ca="1" si="32"/>
        <v>1798831.4539999999</v>
      </c>
      <c r="H155" s="106">
        <f t="shared" ca="1" si="32"/>
        <v>1632204.52</v>
      </c>
      <c r="I155" s="106">
        <f t="shared" ca="1" si="32"/>
        <v>1717841.946</v>
      </c>
      <c r="J155" s="106">
        <f t="shared" ca="1" si="32"/>
        <v>1848844.1810000001</v>
      </c>
      <c r="K155" s="106">
        <f t="shared" ca="1" si="32"/>
        <v>1864064.5649999999</v>
      </c>
      <c r="L155" s="106">
        <f t="shared" ca="1" si="32"/>
        <v>1932585.9939999999</v>
      </c>
      <c r="M155" s="106">
        <f t="shared" ca="1" si="32"/>
        <v>2472069.787</v>
      </c>
      <c r="N155" s="106">
        <f t="shared" ca="1" si="32"/>
        <v>3142789.3150499999</v>
      </c>
      <c r="O155" s="106">
        <f t="shared" ca="1" si="32"/>
        <v>28334362.2355</v>
      </c>
    </row>
    <row r="156" spans="1:20">
      <c r="A156" s="77" t="s">
        <v>207</v>
      </c>
      <c r="B156" t="s">
        <v>208</v>
      </c>
      <c r="C156" s="106">
        <f t="shared" ca="1" si="32"/>
        <v>0</v>
      </c>
      <c r="D156" s="106">
        <f t="shared" ca="1" si="32"/>
        <v>0</v>
      </c>
      <c r="E156" s="106">
        <f t="shared" ca="1" si="32"/>
        <v>0</v>
      </c>
      <c r="F156" s="106">
        <f t="shared" ca="1" si="32"/>
        <v>0</v>
      </c>
      <c r="G156" s="106">
        <f t="shared" ca="1" si="32"/>
        <v>0</v>
      </c>
      <c r="H156" s="106">
        <f t="shared" ca="1" si="32"/>
        <v>0</v>
      </c>
      <c r="I156" s="106">
        <f t="shared" ca="1" si="32"/>
        <v>0</v>
      </c>
      <c r="J156" s="106">
        <f t="shared" ca="1" si="32"/>
        <v>0</v>
      </c>
      <c r="K156" s="106">
        <f t="shared" ca="1" si="32"/>
        <v>0</v>
      </c>
      <c r="L156" s="106">
        <f t="shared" ca="1" si="32"/>
        <v>0</v>
      </c>
      <c r="M156" s="106">
        <f t="shared" ca="1" si="32"/>
        <v>0</v>
      </c>
      <c r="N156" s="106">
        <f t="shared" ca="1" si="32"/>
        <v>0</v>
      </c>
      <c r="O156" s="106">
        <f t="shared" ca="1" si="32"/>
        <v>0</v>
      </c>
    </row>
    <row r="157" spans="1:20">
      <c r="C157" s="133">
        <f ca="1">SUM(C153:C156)</f>
        <v>37098304.777610004</v>
      </c>
      <c r="D157" s="133">
        <f t="shared" ref="D157:N157" ca="1" si="33">SUM(D153:D156)</f>
        <v>36155500.744010001</v>
      </c>
      <c r="E157" s="133">
        <f t="shared" ca="1" si="33"/>
        <v>36654849.724990003</v>
      </c>
      <c r="F157" s="133">
        <f t="shared" ca="1" si="33"/>
        <v>30316289.308009997</v>
      </c>
      <c r="G157" s="133">
        <f t="shared" ca="1" si="33"/>
        <v>27071980.338</v>
      </c>
      <c r="H157" s="133">
        <f t="shared" ca="1" si="33"/>
        <v>27494863.116</v>
      </c>
      <c r="I157" s="133">
        <f t="shared" ca="1" si="33"/>
        <v>29087187.957999997</v>
      </c>
      <c r="J157" s="133">
        <f t="shared" ca="1" si="33"/>
        <v>31693489.856000002</v>
      </c>
      <c r="K157" s="133">
        <f t="shared" ca="1" si="33"/>
        <v>30810580.108000003</v>
      </c>
      <c r="L157" s="133">
        <f t="shared" ca="1" si="33"/>
        <v>27634190.912</v>
      </c>
      <c r="M157" s="133">
        <f t="shared" ca="1" si="33"/>
        <v>31239632.743999999</v>
      </c>
      <c r="N157" s="133">
        <f t="shared" ca="1" si="33"/>
        <v>37675899.56346</v>
      </c>
      <c r="O157" s="133">
        <f ca="1">IF(ROUND(SUM(O153:O156),3)&lt;&gt;ROUND(SUM(C157:N157),3),#VALUE!,SUM(C157:N157))</f>
        <v>382932769.15008003</v>
      </c>
    </row>
    <row r="159" spans="1:20">
      <c r="B159" t="s">
        <v>209</v>
      </c>
      <c r="C159" s="132">
        <f>SUM(C104:C105)</f>
        <v>37738154.267609999</v>
      </c>
      <c r="D159" s="132">
        <f t="shared" ref="D159:N159" si="34">SUM(D104:D105)</f>
        <v>36762670.39401</v>
      </c>
      <c r="E159" s="132">
        <f t="shared" si="34"/>
        <v>37239087.224989995</v>
      </c>
      <c r="F159" s="132">
        <f t="shared" si="34"/>
        <v>30857952.09801</v>
      </c>
      <c r="G159" s="132">
        <f t="shared" si="34"/>
        <v>27534524.668000001</v>
      </c>
      <c r="H159" s="132">
        <f t="shared" si="34"/>
        <v>27983468.155999999</v>
      </c>
      <c r="I159" s="132">
        <f t="shared" si="34"/>
        <v>29548200.588</v>
      </c>
      <c r="J159" s="132">
        <f t="shared" si="34"/>
        <v>32171151.086000003</v>
      </c>
      <c r="K159" s="132">
        <f t="shared" si="34"/>
        <v>31303164.588</v>
      </c>
      <c r="L159" s="132">
        <f t="shared" si="34"/>
        <v>28071496.811999999</v>
      </c>
      <c r="M159" s="132">
        <f t="shared" si="34"/>
        <v>31739364.903999999</v>
      </c>
      <c r="N159" s="132">
        <f t="shared" si="34"/>
        <v>38229500.393459998</v>
      </c>
      <c r="O159" s="132">
        <f>SUM(O104:O105)</f>
        <v>389178735.18008</v>
      </c>
    </row>
    <row r="160" spans="1:20">
      <c r="B160" t="s">
        <v>210</v>
      </c>
      <c r="C160" s="132">
        <f ca="1">C157</f>
        <v>37098304.777610004</v>
      </c>
      <c r="D160" s="132">
        <f t="shared" ref="D160:N160" ca="1" si="35">D157</f>
        <v>36155500.744010001</v>
      </c>
      <c r="E160" s="132">
        <f t="shared" ca="1" si="35"/>
        <v>36654849.724990003</v>
      </c>
      <c r="F160" s="132">
        <f t="shared" ca="1" si="35"/>
        <v>30316289.308009997</v>
      </c>
      <c r="G160" s="132">
        <f t="shared" ca="1" si="35"/>
        <v>27071980.338</v>
      </c>
      <c r="H160" s="132">
        <f t="shared" ca="1" si="35"/>
        <v>27494863.116</v>
      </c>
      <c r="I160" s="132">
        <f t="shared" ca="1" si="35"/>
        <v>29087187.957999997</v>
      </c>
      <c r="J160" s="132">
        <f t="shared" ca="1" si="35"/>
        <v>31693489.856000002</v>
      </c>
      <c r="K160" s="132">
        <f t="shared" ca="1" si="35"/>
        <v>30810580.108000003</v>
      </c>
      <c r="L160" s="132">
        <f t="shared" ca="1" si="35"/>
        <v>27634190.912</v>
      </c>
      <c r="M160" s="132">
        <f t="shared" ca="1" si="35"/>
        <v>31239632.743999999</v>
      </c>
      <c r="N160" s="132">
        <f t="shared" ca="1" si="35"/>
        <v>37675899.56346</v>
      </c>
      <c r="O160" s="132">
        <f ca="1">O157</f>
        <v>382932769.15008003</v>
      </c>
    </row>
    <row r="161" spans="1:15">
      <c r="B161" t="s">
        <v>211</v>
      </c>
      <c r="C161" s="133">
        <f ca="1">C159-C160</f>
        <v>639849.48999999464</v>
      </c>
      <c r="D161" s="133">
        <f t="shared" ref="D161:N161" ca="1" si="36">D159-D160</f>
        <v>607169.64999999851</v>
      </c>
      <c r="E161" s="133">
        <f t="shared" ca="1" si="36"/>
        <v>584237.49999999255</v>
      </c>
      <c r="F161" s="133">
        <f t="shared" ca="1" si="36"/>
        <v>541662.79000000283</v>
      </c>
      <c r="G161" s="133">
        <f t="shared" ca="1" si="36"/>
        <v>462544.33000000194</v>
      </c>
      <c r="H161" s="133">
        <f t="shared" ca="1" si="36"/>
        <v>488605.03999999911</v>
      </c>
      <c r="I161" s="133">
        <f t="shared" ca="1" si="36"/>
        <v>461012.63000000268</v>
      </c>
      <c r="J161" s="133">
        <f t="shared" ca="1" si="36"/>
        <v>477661.23000000045</v>
      </c>
      <c r="K161" s="133">
        <f t="shared" ca="1" si="36"/>
        <v>492584.47999999672</v>
      </c>
      <c r="L161" s="133">
        <f t="shared" ca="1" si="36"/>
        <v>437305.89999999851</v>
      </c>
      <c r="M161" s="133">
        <f t="shared" ca="1" si="36"/>
        <v>499732.16000000015</v>
      </c>
      <c r="N161" s="133">
        <f t="shared" ca="1" si="36"/>
        <v>553600.82999999821</v>
      </c>
      <c r="O161" s="133">
        <f ca="1">IF(ROUND(O159-O160,3)&lt;&gt;ROUND(SUM(C161:N161),3),#VALUE!,SUM(C161:N161))</f>
        <v>6245966.0299999863</v>
      </c>
    </row>
    <row r="163" spans="1:15">
      <c r="A163" s="137" t="s">
        <v>203</v>
      </c>
    </row>
    <row r="164" spans="1:15">
      <c r="A164" s="233" t="s">
        <v>2424</v>
      </c>
      <c r="B164" t="s">
        <v>2428</v>
      </c>
      <c r="C164" s="106">
        <f t="shared" ref="C164:O169" si="37">SUMIF($S$6:$S$76,$A164,C$6:C$76)</f>
        <v>0</v>
      </c>
      <c r="D164" s="106">
        <f t="shared" si="37"/>
        <v>0</v>
      </c>
      <c r="E164" s="106">
        <f t="shared" si="37"/>
        <v>0</v>
      </c>
      <c r="F164" s="106">
        <f t="shared" si="37"/>
        <v>0</v>
      </c>
      <c r="G164" s="106">
        <f t="shared" si="37"/>
        <v>0</v>
      </c>
      <c r="H164" s="106">
        <f t="shared" si="37"/>
        <v>0</v>
      </c>
      <c r="I164" s="106">
        <f t="shared" si="37"/>
        <v>0</v>
      </c>
      <c r="J164" s="106">
        <f t="shared" si="37"/>
        <v>0</v>
      </c>
      <c r="K164" s="106">
        <f t="shared" si="37"/>
        <v>0</v>
      </c>
      <c r="L164" s="106">
        <f t="shared" si="37"/>
        <v>0</v>
      </c>
      <c r="M164" s="106">
        <f t="shared" si="37"/>
        <v>0</v>
      </c>
      <c r="N164" s="106">
        <f t="shared" si="37"/>
        <v>0</v>
      </c>
      <c r="O164" s="106">
        <f t="shared" si="37"/>
        <v>0</v>
      </c>
    </row>
    <row r="165" spans="1:15">
      <c r="A165" s="233" t="s">
        <v>2425</v>
      </c>
      <c r="B165" t="s">
        <v>2429</v>
      </c>
      <c r="C165" s="106">
        <f t="shared" si="37"/>
        <v>49177593.200000003</v>
      </c>
      <c r="D165" s="106">
        <f t="shared" si="37"/>
        <v>48543077</v>
      </c>
      <c r="E165" s="106">
        <f t="shared" si="37"/>
        <v>48726004.799999997</v>
      </c>
      <c r="F165" s="106">
        <f t="shared" si="37"/>
        <v>45139709</v>
      </c>
      <c r="G165" s="106">
        <f t="shared" si="37"/>
        <v>42934362.399999999</v>
      </c>
      <c r="H165" s="106">
        <f t="shared" si="37"/>
        <v>44193745.600000001</v>
      </c>
      <c r="I165" s="106">
        <f t="shared" si="37"/>
        <v>45370861.200000003</v>
      </c>
      <c r="J165" s="106">
        <f t="shared" si="37"/>
        <v>47713056</v>
      </c>
      <c r="K165" s="106">
        <f t="shared" si="37"/>
        <v>48264094.399999999</v>
      </c>
      <c r="L165" s="106">
        <f t="shared" si="37"/>
        <v>42341437.799999997</v>
      </c>
      <c r="M165" s="106">
        <f t="shared" si="37"/>
        <v>43530184.600000001</v>
      </c>
      <c r="N165" s="106">
        <f t="shared" si="37"/>
        <v>49127741.200000003</v>
      </c>
      <c r="O165" s="106">
        <f t="shared" si="37"/>
        <v>555061867.20000005</v>
      </c>
    </row>
    <row r="166" spans="1:15">
      <c r="A166" s="237" t="s">
        <v>2442</v>
      </c>
      <c r="B166" s="19" t="s">
        <v>2441</v>
      </c>
      <c r="C166" s="106">
        <f t="shared" si="37"/>
        <v>5145585.5999999996</v>
      </c>
      <c r="D166" s="106">
        <f t="shared" si="37"/>
        <v>5138972.4000000004</v>
      </c>
      <c r="E166" s="106">
        <f t="shared" si="37"/>
        <v>5259026.4000000004</v>
      </c>
      <c r="F166" s="106">
        <f t="shared" si="37"/>
        <v>5567991.5999999996</v>
      </c>
      <c r="G166" s="106">
        <f t="shared" si="37"/>
        <v>5171980.8</v>
      </c>
      <c r="H166" s="106">
        <f t="shared" si="37"/>
        <v>5171756.2</v>
      </c>
      <c r="I166" s="106">
        <f t="shared" si="37"/>
        <v>5001058.4000000004</v>
      </c>
      <c r="J166" s="106">
        <f t="shared" si="37"/>
        <v>5271853</v>
      </c>
      <c r="K166" s="106">
        <f t="shared" si="37"/>
        <v>5301180.8</v>
      </c>
      <c r="L166" s="106">
        <f t="shared" si="37"/>
        <v>5661574.4000000004</v>
      </c>
      <c r="M166" s="106">
        <f t="shared" si="37"/>
        <v>6181766.7999999998</v>
      </c>
      <c r="N166" s="106">
        <f t="shared" si="37"/>
        <v>7204563.5999999996</v>
      </c>
      <c r="O166" s="106">
        <f t="shared" si="37"/>
        <v>66077310</v>
      </c>
    </row>
    <row r="167" spans="1:15">
      <c r="A167" s="233" t="s">
        <v>2426</v>
      </c>
      <c r="B167" t="s">
        <v>2430</v>
      </c>
      <c r="C167" s="106">
        <f t="shared" si="37"/>
        <v>752160</v>
      </c>
      <c r="D167" s="106">
        <f t="shared" si="37"/>
        <v>723160</v>
      </c>
      <c r="E167" s="106">
        <f t="shared" si="37"/>
        <v>800960</v>
      </c>
      <c r="F167" s="106">
        <f t="shared" si="37"/>
        <v>585000</v>
      </c>
      <c r="G167" s="106">
        <f t="shared" si="37"/>
        <v>488120</v>
      </c>
      <c r="H167" s="106">
        <f t="shared" si="37"/>
        <v>473520</v>
      </c>
      <c r="I167" s="106">
        <f t="shared" si="37"/>
        <v>504800</v>
      </c>
      <c r="J167" s="106">
        <f t="shared" si="37"/>
        <v>563040</v>
      </c>
      <c r="K167" s="106">
        <f t="shared" si="37"/>
        <v>571880</v>
      </c>
      <c r="L167" s="106">
        <f t="shared" si="37"/>
        <v>479000</v>
      </c>
      <c r="M167" s="106">
        <f t="shared" si="37"/>
        <v>559600</v>
      </c>
      <c r="N167" s="106">
        <f t="shared" si="37"/>
        <v>679240</v>
      </c>
      <c r="O167" s="106">
        <f t="shared" si="37"/>
        <v>7180480</v>
      </c>
    </row>
    <row r="168" spans="1:15">
      <c r="A168" s="135" t="s">
        <v>2427</v>
      </c>
      <c r="B168" t="s">
        <v>2431</v>
      </c>
      <c r="C168" s="106">
        <f t="shared" si="37"/>
        <v>0</v>
      </c>
      <c r="D168" s="106">
        <f t="shared" si="37"/>
        <v>0</v>
      </c>
      <c r="E168" s="106">
        <f t="shared" si="37"/>
        <v>0</v>
      </c>
      <c r="F168" s="106">
        <f t="shared" si="37"/>
        <v>0</v>
      </c>
      <c r="G168" s="106">
        <f t="shared" si="37"/>
        <v>0</v>
      </c>
      <c r="H168" s="106">
        <f t="shared" si="37"/>
        <v>0</v>
      </c>
      <c r="I168" s="106">
        <f t="shared" si="37"/>
        <v>0</v>
      </c>
      <c r="J168" s="106">
        <f t="shared" si="37"/>
        <v>0</v>
      </c>
      <c r="K168" s="106">
        <f t="shared" si="37"/>
        <v>0</v>
      </c>
      <c r="L168" s="106">
        <f t="shared" si="37"/>
        <v>0</v>
      </c>
      <c r="M168" s="106">
        <f t="shared" si="37"/>
        <v>0</v>
      </c>
      <c r="N168" s="106">
        <f t="shared" si="37"/>
        <v>0</v>
      </c>
      <c r="O168" s="106">
        <f t="shared" si="37"/>
        <v>0</v>
      </c>
    </row>
    <row r="169" spans="1:15">
      <c r="A169" s="238" t="s">
        <v>2443</v>
      </c>
      <c r="B169" s="19" t="s">
        <v>2441</v>
      </c>
      <c r="C169" s="106">
        <f t="shared" si="37"/>
        <v>0</v>
      </c>
      <c r="D169" s="106">
        <f t="shared" si="37"/>
        <v>0</v>
      </c>
      <c r="E169" s="106">
        <f t="shared" si="37"/>
        <v>0</v>
      </c>
      <c r="F169" s="106">
        <f t="shared" si="37"/>
        <v>0</v>
      </c>
      <c r="G169" s="106">
        <f t="shared" si="37"/>
        <v>0</v>
      </c>
      <c r="H169" s="106">
        <f t="shared" si="37"/>
        <v>0</v>
      </c>
      <c r="I169" s="106">
        <f t="shared" si="37"/>
        <v>0</v>
      </c>
      <c r="J169" s="106">
        <f t="shared" si="37"/>
        <v>0</v>
      </c>
      <c r="K169" s="106">
        <f t="shared" si="37"/>
        <v>0</v>
      </c>
      <c r="L169" s="106">
        <f t="shared" si="37"/>
        <v>0</v>
      </c>
      <c r="M169" s="106">
        <f t="shared" si="37"/>
        <v>0</v>
      </c>
      <c r="N169" s="106">
        <f t="shared" si="37"/>
        <v>0</v>
      </c>
      <c r="O169" s="106">
        <f t="shared" si="37"/>
        <v>0</v>
      </c>
    </row>
    <row r="170" spans="1:15">
      <c r="C170" s="133">
        <f t="shared" ref="C170:O170" si="38">SUM(C164:C169)</f>
        <v>55075338.800000004</v>
      </c>
      <c r="D170" s="133">
        <f t="shared" si="38"/>
        <v>54405209.399999999</v>
      </c>
      <c r="E170" s="133">
        <f t="shared" si="38"/>
        <v>54785991.199999996</v>
      </c>
      <c r="F170" s="133">
        <f t="shared" si="38"/>
        <v>51292700.600000001</v>
      </c>
      <c r="G170" s="133">
        <f t="shared" si="38"/>
        <v>48594463.199999996</v>
      </c>
      <c r="H170" s="133">
        <f t="shared" si="38"/>
        <v>49839021.800000004</v>
      </c>
      <c r="I170" s="133">
        <f t="shared" si="38"/>
        <v>50876719.600000001</v>
      </c>
      <c r="J170" s="133">
        <f t="shared" si="38"/>
        <v>53547949</v>
      </c>
      <c r="K170" s="133">
        <f t="shared" si="38"/>
        <v>54137155.199999996</v>
      </c>
      <c r="L170" s="133">
        <f t="shared" si="38"/>
        <v>48482012.199999996</v>
      </c>
      <c r="M170" s="133">
        <f t="shared" si="38"/>
        <v>50271551.399999999</v>
      </c>
      <c r="N170" s="133">
        <f t="shared" si="38"/>
        <v>57011544.800000004</v>
      </c>
      <c r="O170" s="133">
        <f t="shared" si="38"/>
        <v>628319657.20000005</v>
      </c>
    </row>
    <row r="172" spans="1:15">
      <c r="B172" t="s">
        <v>2432</v>
      </c>
      <c r="C172" s="132">
        <f>SUM(C106:C107)</f>
        <v>55226818.799999997</v>
      </c>
      <c r="D172" s="132">
        <f t="shared" ref="D172:N172" si="39">SUM(D106:D107)</f>
        <v>54547289.399999999</v>
      </c>
      <c r="E172" s="132">
        <f t="shared" si="39"/>
        <v>54925791.200000003</v>
      </c>
      <c r="F172" s="132">
        <f t="shared" si="39"/>
        <v>51395900.600000001</v>
      </c>
      <c r="G172" s="132">
        <f t="shared" si="39"/>
        <v>48676383.200000003</v>
      </c>
      <c r="H172" s="132">
        <f t="shared" si="39"/>
        <v>49906021.799999997</v>
      </c>
      <c r="I172" s="132">
        <f t="shared" si="39"/>
        <v>50941479.600000001</v>
      </c>
      <c r="J172" s="132">
        <f t="shared" si="39"/>
        <v>53615869</v>
      </c>
      <c r="K172" s="132">
        <f t="shared" si="39"/>
        <v>54204795.200000003</v>
      </c>
      <c r="L172" s="132">
        <f t="shared" si="39"/>
        <v>48565332.200000003</v>
      </c>
      <c r="M172" s="132">
        <f t="shared" si="39"/>
        <v>50385191.399999999</v>
      </c>
      <c r="N172" s="132">
        <f t="shared" si="39"/>
        <v>57144624.799999997</v>
      </c>
      <c r="O172" s="132">
        <f>SUM(O106:O107)</f>
        <v>629535497.20000005</v>
      </c>
    </row>
    <row r="173" spans="1:15">
      <c r="B173" s="239" t="s">
        <v>2444</v>
      </c>
      <c r="C173" s="132">
        <f>C170</f>
        <v>55075338.800000004</v>
      </c>
      <c r="D173" s="132">
        <f t="shared" ref="D173:N173" si="40">D170</f>
        <v>54405209.399999999</v>
      </c>
      <c r="E173" s="132">
        <f t="shared" si="40"/>
        <v>54785991.199999996</v>
      </c>
      <c r="F173" s="132">
        <f t="shared" si="40"/>
        <v>51292700.600000001</v>
      </c>
      <c r="G173" s="132">
        <f t="shared" si="40"/>
        <v>48594463.199999996</v>
      </c>
      <c r="H173" s="132">
        <f t="shared" si="40"/>
        <v>49839021.800000004</v>
      </c>
      <c r="I173" s="132">
        <f t="shared" si="40"/>
        <v>50876719.600000001</v>
      </c>
      <c r="J173" s="132">
        <f t="shared" si="40"/>
        <v>53547949</v>
      </c>
      <c r="K173" s="132">
        <f t="shared" si="40"/>
        <v>54137155.199999996</v>
      </c>
      <c r="L173" s="132">
        <f t="shared" si="40"/>
        <v>48482012.199999996</v>
      </c>
      <c r="M173" s="132">
        <f t="shared" si="40"/>
        <v>50271551.399999999</v>
      </c>
      <c r="N173" s="132">
        <f t="shared" si="40"/>
        <v>57011544.800000004</v>
      </c>
      <c r="O173" s="132">
        <f>O170</f>
        <v>628319657.20000005</v>
      </c>
    </row>
    <row r="174" spans="1:15">
      <c r="B174" t="s">
        <v>2434</v>
      </c>
      <c r="C174" s="133">
        <f>C172-C173</f>
        <v>151479.99999999255</v>
      </c>
      <c r="D174" s="133">
        <f t="shared" ref="D174:N174" si="41">D172-D173</f>
        <v>142080</v>
      </c>
      <c r="E174" s="133">
        <f t="shared" si="41"/>
        <v>139800.00000000745</v>
      </c>
      <c r="F174" s="133">
        <f t="shared" si="41"/>
        <v>103200</v>
      </c>
      <c r="G174" s="133">
        <f t="shared" si="41"/>
        <v>81920.000000007451</v>
      </c>
      <c r="H174" s="133">
        <f t="shared" si="41"/>
        <v>66999.999999992549</v>
      </c>
      <c r="I174" s="133">
        <f t="shared" si="41"/>
        <v>64760</v>
      </c>
      <c r="J174" s="133">
        <f t="shared" si="41"/>
        <v>67920</v>
      </c>
      <c r="K174" s="133">
        <f t="shared" si="41"/>
        <v>67640.000000007451</v>
      </c>
      <c r="L174" s="133">
        <f t="shared" si="41"/>
        <v>83320.000000007451</v>
      </c>
      <c r="M174" s="133">
        <f t="shared" si="41"/>
        <v>113640</v>
      </c>
      <c r="N174" s="133">
        <f t="shared" si="41"/>
        <v>133079.99999999255</v>
      </c>
      <c r="O174" s="133">
        <f>IF(ROUND(O172-O173,3)&lt;&gt;ROUND(SUM(C174:N174),3),#VALUE!,SUM(C174:N174))</f>
        <v>1215840.0000000075</v>
      </c>
    </row>
  </sheetData>
  <mergeCells count="29">
    <mergeCell ref="A6:B6"/>
    <mergeCell ref="A63:A65"/>
    <mergeCell ref="A15:A16"/>
    <mergeCell ref="A17:A20"/>
    <mergeCell ref="A21:A22"/>
    <mergeCell ref="A23:A25"/>
    <mergeCell ref="A41:A42"/>
    <mergeCell ref="A8:A10"/>
    <mergeCell ref="A11:A14"/>
    <mergeCell ref="A43:A44"/>
    <mergeCell ref="A45:A47"/>
    <mergeCell ref="A48:A49"/>
    <mergeCell ref="A50:A55"/>
    <mergeCell ref="A56:A62"/>
    <mergeCell ref="A26:A30"/>
    <mergeCell ref="A31:A34"/>
    <mergeCell ref="A92:B92"/>
    <mergeCell ref="A35:A36"/>
    <mergeCell ref="A37:A38"/>
    <mergeCell ref="A39:A40"/>
    <mergeCell ref="A66:A68"/>
    <mergeCell ref="A69:A70"/>
    <mergeCell ref="A71:A72"/>
    <mergeCell ref="A84:A86"/>
    <mergeCell ref="A87:A89"/>
    <mergeCell ref="A82:B82"/>
    <mergeCell ref="A73:A74"/>
    <mergeCell ref="A75:B75"/>
    <mergeCell ref="A90:A91"/>
  </mergeCells>
  <phoneticPr fontId="0" type="noConversion"/>
  <conditionalFormatting sqref="O151 O132 O135">
    <cfRule type="expression" dxfId="0" priority="1" stopIfTrue="1">
      <formula>ABS(O132)&gt;0.5</formula>
    </cfRule>
  </conditionalFormatting>
  <pageMargins left="0.5" right="0.5" top="0.7" bottom="0.7" header="0.5" footer="0.5"/>
  <pageSetup scale="60" fitToHeight="3" orientation="landscape" r:id="rId1"/>
  <headerFooter alignWithMargins="0">
    <oddFooter>&amp;L&amp;F&amp;C&amp;A</oddFooter>
  </headerFooter>
  <rowBreaks count="1" manualBreakCount="1">
    <brk id="135" max="15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tabColor rgb="FF00B050"/>
    <pageSetUpPr fitToPage="1"/>
  </sheetPr>
  <dimension ref="A1:I48"/>
  <sheetViews>
    <sheetView workbookViewId="0">
      <selection activeCell="C17" sqref="C17"/>
    </sheetView>
  </sheetViews>
  <sheetFormatPr defaultRowHeight="12.75"/>
  <cols>
    <col min="1" max="1" width="28.33203125" customWidth="1"/>
    <col min="3" max="6" width="16.83203125" customWidth="1"/>
    <col min="7" max="7" width="17.83203125" customWidth="1"/>
    <col min="8" max="8" width="12.1640625" customWidth="1"/>
    <col min="11" max="12" width="14.83203125" bestFit="1" customWidth="1"/>
    <col min="13" max="13" width="11.6640625" customWidth="1"/>
  </cols>
  <sheetData>
    <row r="1" spans="1:9">
      <c r="A1" s="61" t="s">
        <v>289</v>
      </c>
      <c r="B1" s="61"/>
      <c r="C1" s="61"/>
      <c r="D1" s="61"/>
      <c r="E1" s="61"/>
      <c r="F1" s="61"/>
      <c r="G1" s="61"/>
      <c r="H1" s="61"/>
      <c r="I1" s="61"/>
    </row>
    <row r="2" spans="1:9">
      <c r="A2" s="256" t="s">
        <v>2503</v>
      </c>
      <c r="B2" s="61"/>
      <c r="C2" s="61"/>
      <c r="D2" s="61"/>
      <c r="E2" s="61"/>
      <c r="F2" s="61"/>
      <c r="G2" s="61"/>
      <c r="H2" s="61"/>
      <c r="I2" s="6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61" t="s">
        <v>642</v>
      </c>
      <c r="B4" s="61"/>
      <c r="C4" s="61"/>
      <c r="D4" s="61"/>
      <c r="E4" s="61"/>
      <c r="F4" s="61"/>
      <c r="G4" s="61"/>
      <c r="H4" s="61"/>
      <c r="I4" s="61"/>
    </row>
    <row r="5" spans="1:9">
      <c r="A5" s="61"/>
      <c r="B5" s="61"/>
      <c r="C5" s="62" t="s">
        <v>290</v>
      </c>
      <c r="D5" s="61"/>
      <c r="E5" s="61"/>
      <c r="F5" s="61"/>
      <c r="G5" s="61"/>
      <c r="H5" s="61"/>
      <c r="I5" s="61"/>
    </row>
    <row r="6" spans="1:9">
      <c r="A6" s="61" t="s">
        <v>291</v>
      </c>
      <c r="B6" s="61"/>
      <c r="C6" s="63">
        <v>9015988</v>
      </c>
      <c r="D6" s="61"/>
      <c r="E6" s="61"/>
      <c r="F6" s="61"/>
      <c r="G6" s="61"/>
      <c r="H6" s="61"/>
      <c r="I6" s="61"/>
    </row>
    <row r="7" spans="1:9">
      <c r="A7" s="61" t="s">
        <v>2491</v>
      </c>
      <c r="B7" s="61"/>
      <c r="C7" s="20">
        <f>'ID Sch 25 (12.2019)'!Q38/1000</f>
        <v>356248</v>
      </c>
      <c r="D7" s="61"/>
      <c r="E7" s="61"/>
      <c r="F7" s="61"/>
      <c r="G7" s="61"/>
      <c r="H7" s="61"/>
      <c r="I7" s="61"/>
    </row>
    <row r="8" spans="1:9">
      <c r="A8" s="61" t="s">
        <v>191</v>
      </c>
      <c r="B8" s="61"/>
      <c r="C8" s="69">
        <f>C6-C7</f>
        <v>8659740</v>
      </c>
      <c r="D8" s="61"/>
      <c r="E8" s="61"/>
      <c r="F8" s="61"/>
      <c r="G8" s="61"/>
      <c r="H8" s="61"/>
      <c r="I8" s="61"/>
    </row>
    <row r="9" spans="1:9">
      <c r="A9" s="61" t="s">
        <v>292</v>
      </c>
      <c r="B9" s="61"/>
      <c r="C9" s="402">
        <v>453401</v>
      </c>
      <c r="D9" s="64">
        <f>C9/C8</f>
        <v>5.2357345601600047E-2</v>
      </c>
      <c r="E9" s="64"/>
      <c r="F9" s="61"/>
      <c r="G9" s="61"/>
      <c r="H9" s="61"/>
      <c r="I9" s="61"/>
    </row>
    <row r="10" spans="1:9">
      <c r="A10" s="61"/>
      <c r="B10" s="61"/>
      <c r="C10" s="61"/>
      <c r="D10" s="61"/>
      <c r="E10" s="61"/>
      <c r="F10" s="61"/>
      <c r="G10" s="61"/>
      <c r="H10" s="61"/>
      <c r="I10" s="61"/>
    </row>
    <row r="11" spans="1:9">
      <c r="A11" s="61" t="s">
        <v>293</v>
      </c>
      <c r="B11" s="61"/>
      <c r="C11" s="20">
        <f>ROUND(C8*D11,0)</f>
        <v>259792</v>
      </c>
      <c r="D11" s="257">
        <v>0.03</v>
      </c>
      <c r="E11" s="64"/>
      <c r="F11" s="61"/>
      <c r="G11" s="61"/>
      <c r="H11" s="61"/>
      <c r="I11" s="61"/>
    </row>
    <row r="12" spans="1:9">
      <c r="A12" s="61" t="s">
        <v>294</v>
      </c>
      <c r="B12" s="61"/>
      <c r="C12" s="65">
        <f>C9-C11</f>
        <v>193609</v>
      </c>
      <c r="D12" s="64">
        <f>C12/C8</f>
        <v>2.2357368696981666E-2</v>
      </c>
      <c r="E12" s="64"/>
      <c r="F12" s="61"/>
      <c r="G12" s="61"/>
      <c r="H12" s="61"/>
      <c r="I12" s="61"/>
    </row>
    <row r="13" spans="1:9">
      <c r="A13" s="61"/>
      <c r="B13" s="61"/>
      <c r="C13" s="61"/>
      <c r="D13" s="61"/>
      <c r="E13" s="61"/>
      <c r="F13" s="61"/>
      <c r="G13" s="61"/>
      <c r="H13" s="61"/>
      <c r="I13" s="61"/>
    </row>
    <row r="14" spans="1:9">
      <c r="A14" s="61" t="s">
        <v>295</v>
      </c>
      <c r="B14" s="61"/>
      <c r="C14" s="61"/>
      <c r="D14" s="61"/>
      <c r="E14" s="61"/>
      <c r="F14" s="61"/>
      <c r="G14" s="61"/>
      <c r="H14" s="61"/>
      <c r="I14" s="61"/>
    </row>
    <row r="15" spans="1:9">
      <c r="A15" s="61"/>
      <c r="B15" s="61"/>
      <c r="C15" s="61"/>
      <c r="D15" s="61"/>
      <c r="E15" s="61"/>
      <c r="F15" s="61"/>
      <c r="G15" s="61"/>
      <c r="H15" s="61"/>
      <c r="I15" s="61"/>
    </row>
    <row r="16" spans="1:9">
      <c r="A16" s="66" t="s">
        <v>296</v>
      </c>
      <c r="B16" s="61"/>
      <c r="C16" s="67" t="s">
        <v>252</v>
      </c>
      <c r="D16" s="67" t="s">
        <v>258</v>
      </c>
      <c r="E16" s="67" t="s">
        <v>442</v>
      </c>
      <c r="F16" s="67" t="s">
        <v>277</v>
      </c>
      <c r="G16" s="61" t="s">
        <v>297</v>
      </c>
      <c r="H16" s="62" t="s">
        <v>298</v>
      </c>
      <c r="I16" s="62" t="s">
        <v>299</v>
      </c>
    </row>
    <row r="17" spans="1:9">
      <c r="A17" s="61" t="s">
        <v>253</v>
      </c>
      <c r="B17" s="61"/>
      <c r="C17" s="20">
        <f>'12.2019 WA Usage'!O87+'12.2019 WA Usage'!O88</f>
        <v>2436265024.8310003</v>
      </c>
      <c r="D17" s="20">
        <f>'12.2019 ID Usage'!O103</f>
        <v>1196633746.0875499</v>
      </c>
      <c r="E17" s="151">
        <f>'12.2019 ID Usage'!O86</f>
        <v>283450.826</v>
      </c>
      <c r="F17" s="61"/>
      <c r="G17" s="61"/>
      <c r="H17" s="61"/>
      <c r="I17" s="61"/>
    </row>
    <row r="18" spans="1:9">
      <c r="A18" s="61" t="s">
        <v>300</v>
      </c>
      <c r="B18" s="61"/>
      <c r="C18" s="20">
        <f>'12.2019 WA Usage'!O89+'12.2019 WA Usage'!O90</f>
        <v>627095502.53600001</v>
      </c>
      <c r="D18" s="20">
        <f>'12.2019 ID Usage'!O104+'12.2019 ID Usage'!O105</f>
        <v>389178735.18008</v>
      </c>
      <c r="E18" s="151">
        <f>'12.2019 ID Usage'!O89</f>
        <v>553434</v>
      </c>
      <c r="F18" s="61"/>
      <c r="G18" s="61"/>
      <c r="H18" s="61"/>
      <c r="I18" s="61"/>
    </row>
    <row r="19" spans="1:9">
      <c r="A19" s="61" t="s">
        <v>301</v>
      </c>
      <c r="B19" s="61"/>
      <c r="C19" s="20">
        <f>'12.2019 WA Usage'!O91+'12.2019 WA Usage'!O92-C27</f>
        <v>1271094917.8369999</v>
      </c>
      <c r="D19" s="20">
        <f>'12.2019 ID Usage'!O106+'12.2019 ID Usage'!O107-D27</f>
        <v>579353510.801</v>
      </c>
      <c r="E19" s="20">
        <f>'12.2019 ID Usage'!O91</f>
        <v>186400</v>
      </c>
      <c r="F19" s="61"/>
      <c r="G19" s="61"/>
      <c r="H19" s="61"/>
      <c r="I19" s="61"/>
    </row>
    <row r="20" spans="1:9">
      <c r="A20" s="61" t="s">
        <v>412</v>
      </c>
      <c r="B20" s="61"/>
      <c r="C20" s="20">
        <f>'WA Sch 25 (12.2019)'!P23+'WA Sch 25 (12.2019)'!P24+'WA Sch 25 (12.2019)'!P25+'WA Sch 25 (12.2019)'!P99</f>
        <v>93202892</v>
      </c>
      <c r="D20" s="151">
        <f>'ID Sch 25 (12.2019)'!Q80</f>
        <v>4821508.8000000007</v>
      </c>
      <c r="E20" s="20"/>
      <c r="F20" s="61"/>
      <c r="G20" s="61"/>
      <c r="H20" s="61"/>
      <c r="I20" s="61"/>
    </row>
    <row r="21" spans="1:9">
      <c r="A21" s="61" t="s">
        <v>302</v>
      </c>
      <c r="B21" s="61"/>
      <c r="C21" s="20">
        <f>'12.2019 WA Usage'!O95+'12.2019 WA Usage'!O96+'12.2019 WA Usage'!O97</f>
        <v>139559979.042</v>
      </c>
      <c r="D21" s="20">
        <f>'12.2019 ID Usage'!O113+'12.2019 ID Usage'!O114</f>
        <v>60351766.304030001</v>
      </c>
      <c r="E21" s="20"/>
      <c r="F21" s="61"/>
      <c r="G21" s="61"/>
      <c r="H21" s="61"/>
      <c r="I21" s="61"/>
    </row>
    <row r="22" spans="1:9">
      <c r="A22" s="61" t="s">
        <v>275</v>
      </c>
      <c r="B22" s="61"/>
      <c r="C22" s="20">
        <f>SUM('12.2019 WA Usage'!O98:O102)</f>
        <v>10729842.53655</v>
      </c>
      <c r="D22" s="20">
        <f>SUM('12.2019 ID Usage'!O115:O120)</f>
        <v>7243308.4059299994</v>
      </c>
      <c r="E22" s="20"/>
      <c r="F22" s="61"/>
      <c r="G22" s="61"/>
      <c r="H22" s="61"/>
      <c r="I22" s="61"/>
    </row>
    <row r="23" spans="1:9">
      <c r="A23" s="61" t="s">
        <v>276</v>
      </c>
      <c r="B23" s="61"/>
      <c r="C23" s="20">
        <f>'12.2019 WA Usage'!O103+'12.2019 WA Usage'!O104</f>
        <v>7232081.1234200001</v>
      </c>
      <c r="D23" s="20">
        <f>SUM('12.2019 ID Usage'!O121:O123)</f>
        <v>3809164.0015500002</v>
      </c>
      <c r="E23" s="20"/>
      <c r="F23" s="61"/>
      <c r="G23" s="61"/>
      <c r="H23" s="61"/>
      <c r="I23" s="61"/>
    </row>
    <row r="24" spans="1:9">
      <c r="A24" s="61" t="s">
        <v>280</v>
      </c>
      <c r="B24" s="61"/>
      <c r="C24" s="68">
        <f>SUM(C17:C23)</f>
        <v>4585180239.9059696</v>
      </c>
      <c r="D24" s="68">
        <f>SUM(D17:D23)</f>
        <v>2241391739.5801401</v>
      </c>
      <c r="E24" s="68">
        <f>SUM(E17:E23)</f>
        <v>1023284.826</v>
      </c>
      <c r="F24" s="65">
        <f>C24+D24+E24</f>
        <v>6827595264.3121099</v>
      </c>
      <c r="G24" s="65">
        <f>F24/1000</f>
        <v>6827595.2643121099</v>
      </c>
      <c r="H24" s="65">
        <f>H37-H35-H30</f>
        <v>86799</v>
      </c>
      <c r="I24" s="64">
        <f>H24/G24</f>
        <v>1.2712967983573808E-2</v>
      </c>
    </row>
    <row r="25" spans="1:9">
      <c r="A25" s="61"/>
      <c r="B25" s="61"/>
      <c r="C25" s="61"/>
      <c r="D25" s="61"/>
      <c r="E25" s="61"/>
      <c r="F25" s="61"/>
      <c r="G25" s="61"/>
      <c r="H25" s="61"/>
      <c r="I25" s="61"/>
    </row>
    <row r="26" spans="1:9">
      <c r="A26" s="66" t="s">
        <v>303</v>
      </c>
      <c r="B26" s="61"/>
      <c r="C26" s="67" t="s">
        <v>252</v>
      </c>
      <c r="D26" s="67" t="s">
        <v>258</v>
      </c>
      <c r="E26" s="67"/>
      <c r="F26" s="67" t="s">
        <v>277</v>
      </c>
      <c r="G26" s="61"/>
      <c r="H26" s="61"/>
      <c r="I26" s="61"/>
    </row>
    <row r="27" spans="1:9">
      <c r="A27" s="61" t="s">
        <v>304</v>
      </c>
      <c r="B27" s="61"/>
      <c r="C27" s="20">
        <f>'12.2019 WA Usage'!O114</f>
        <v>104934058.42</v>
      </c>
      <c r="D27" s="20">
        <f>'12.2019 ID Usage'!O133</f>
        <v>50181986.399000004</v>
      </c>
      <c r="E27" s="20"/>
      <c r="F27" s="61"/>
      <c r="G27" s="61"/>
      <c r="H27" s="61"/>
      <c r="I27" s="61"/>
    </row>
    <row r="28" spans="1:9">
      <c r="A28" s="61" t="s">
        <v>255</v>
      </c>
      <c r="B28" s="61"/>
      <c r="C28" s="20">
        <f>'WA Sch 25 (12.2019)'!P37-C20-C34</f>
        <v>556803381.31499982</v>
      </c>
      <c r="D28" s="20">
        <f>'ID Sch 25 (12.2019)'!Q23-D20</f>
        <v>305219686.72000003</v>
      </c>
      <c r="E28" s="20"/>
      <c r="F28" s="61"/>
      <c r="G28" s="61"/>
      <c r="H28" s="61"/>
      <c r="I28" s="61"/>
    </row>
    <row r="29" spans="1:9">
      <c r="A29" s="61" t="s">
        <v>243</v>
      </c>
      <c r="B29" s="61"/>
      <c r="C29" s="20"/>
      <c r="D29" s="20">
        <f>'ID Sch 25 (12.2019)'!Q36</f>
        <v>389748750</v>
      </c>
      <c r="E29" s="20"/>
      <c r="F29" s="61"/>
      <c r="G29" s="61"/>
      <c r="H29" s="61"/>
      <c r="I29" s="61"/>
    </row>
    <row r="30" spans="1:9">
      <c r="A30" s="61"/>
      <c r="B30" s="61"/>
      <c r="C30" s="69">
        <f>SUM(C27:C29)</f>
        <v>661737439.73499978</v>
      </c>
      <c r="D30" s="69">
        <f>SUM(D27:D29)</f>
        <v>745150423.11899996</v>
      </c>
      <c r="E30" s="70"/>
      <c r="F30" s="65">
        <f>C30+D30</f>
        <v>1406887862.8539996</v>
      </c>
      <c r="G30" s="20">
        <f>G24+F30/1000</f>
        <v>8234483.1271661092</v>
      </c>
      <c r="H30" s="20">
        <f>ROUND(G30*I30,0)</f>
        <v>107048</v>
      </c>
      <c r="I30" s="257">
        <v>1.2999999999999999E-2</v>
      </c>
    </row>
    <row r="31" spans="1:9">
      <c r="A31" s="61"/>
      <c r="B31" s="61"/>
      <c r="C31" s="61"/>
      <c r="D31" s="61"/>
      <c r="E31" s="61"/>
      <c r="F31" s="61"/>
      <c r="G31" s="61"/>
      <c r="H31" s="61"/>
      <c r="I31" s="61"/>
    </row>
    <row r="32" spans="1:9">
      <c r="A32" s="66" t="s">
        <v>305</v>
      </c>
      <c r="B32" s="61"/>
      <c r="C32" s="67" t="s">
        <v>252</v>
      </c>
      <c r="D32" s="67" t="s">
        <v>258</v>
      </c>
      <c r="E32" s="67"/>
      <c r="F32" s="67" t="s">
        <v>277</v>
      </c>
      <c r="G32" s="61"/>
      <c r="H32" s="61"/>
      <c r="I32" s="61"/>
    </row>
    <row r="33" spans="1:9">
      <c r="A33" s="61" t="s">
        <v>306</v>
      </c>
      <c r="B33" s="61"/>
      <c r="C33" s="20">
        <f>'12.2019 WA Usage'!O94</f>
        <v>0</v>
      </c>
      <c r="D33" s="63">
        <v>0</v>
      </c>
      <c r="E33" s="20"/>
      <c r="F33" s="65"/>
      <c r="G33" s="20"/>
      <c r="H33" s="20"/>
      <c r="I33" s="64"/>
    </row>
    <row r="34" spans="1:9">
      <c r="A34" s="61" t="s">
        <v>413</v>
      </c>
      <c r="B34" s="61"/>
      <c r="C34" s="20">
        <f>'WA Sch 25 (12.2019)'!P98+'WA Sch 25 (12.2019)'!P100</f>
        <v>435895308</v>
      </c>
      <c r="D34" s="61"/>
      <c r="E34" s="61"/>
      <c r="F34" s="61"/>
      <c r="G34" s="61"/>
      <c r="H34" s="61"/>
      <c r="I34" s="61"/>
    </row>
    <row r="35" spans="1:9">
      <c r="A35" s="61"/>
      <c r="B35" s="61"/>
      <c r="C35" s="69">
        <f>SUM(C33:C34)</f>
        <v>435895308</v>
      </c>
      <c r="D35" s="71"/>
      <c r="E35" s="72"/>
      <c r="F35" s="65">
        <f>C35+D35</f>
        <v>435895308</v>
      </c>
      <c r="G35" s="20">
        <f>G30+F35/1000</f>
        <v>8670378.4351661094</v>
      </c>
      <c r="H35" s="20">
        <f>ROUND(G35*I35,0)</f>
        <v>260111</v>
      </c>
      <c r="I35" s="64">
        <f>D11</f>
        <v>0.03</v>
      </c>
    </row>
    <row r="36" spans="1:9">
      <c r="A36" s="61"/>
      <c r="B36" s="61"/>
      <c r="C36" s="20"/>
      <c r="D36" s="61"/>
      <c r="E36" s="61"/>
      <c r="F36" s="61"/>
      <c r="G36" s="61"/>
      <c r="H36" s="61"/>
      <c r="I36" s="61"/>
    </row>
    <row r="37" spans="1:9">
      <c r="A37" s="61" t="s">
        <v>307</v>
      </c>
      <c r="B37" s="61"/>
      <c r="C37" s="65">
        <f>C24+C30+C35</f>
        <v>5682812987.6409693</v>
      </c>
      <c r="D37" s="65">
        <f>D24+D30+D35</f>
        <v>2986542162.6991401</v>
      </c>
      <c r="E37" s="65">
        <f>E24+E30+E35</f>
        <v>1023284.826</v>
      </c>
      <c r="F37" s="65">
        <f>F24+F30+F35</f>
        <v>8670378435.1661091</v>
      </c>
      <c r="G37" s="20">
        <f>F37/1000</f>
        <v>8670378.4351661094</v>
      </c>
      <c r="H37" s="20">
        <f>ROUND(G37*I37,0)</f>
        <v>453958</v>
      </c>
      <c r="I37" s="73">
        <f>D9</f>
        <v>5.2357345601600047E-2</v>
      </c>
    </row>
    <row r="38" spans="1:9">
      <c r="E38" s="61"/>
      <c r="F38" s="61"/>
      <c r="G38" s="65">
        <f>C8</f>
        <v>8659740</v>
      </c>
      <c r="H38" s="61"/>
      <c r="I38" s="61"/>
    </row>
    <row r="39" spans="1:9">
      <c r="A39" s="61" t="s">
        <v>192</v>
      </c>
      <c r="B39" s="61"/>
      <c r="C39" s="65">
        <f>C37-'12.2019 WA Usage'!O112</f>
        <v>-1301372.6870002747</v>
      </c>
      <c r="D39" s="65">
        <f>D37+C7*1000-'12.2019 ID Usage'!O131</f>
        <v>34308910.700999737</v>
      </c>
      <c r="E39" s="65">
        <f>E37-'12.2019 ID Usage'!O92</f>
        <v>0</v>
      </c>
      <c r="F39" s="74" t="s">
        <v>419</v>
      </c>
      <c r="G39" s="65">
        <f>G38-G37</f>
        <v>-10638.435166109353</v>
      </c>
      <c r="H39" s="64" t="s">
        <v>443</v>
      </c>
      <c r="I39" s="61"/>
    </row>
    <row r="40" spans="1:9">
      <c r="A40" s="130" t="s">
        <v>2527</v>
      </c>
      <c r="B40" s="61"/>
      <c r="C40" s="20">
        <f>-SUM('WA Sch 25 (12.2019)'!P30,'WA Sch 25 (12.2019)'!P31,'WA Sch 25 (12.2019)'!P33,'WA Sch 25 (12.2019)'!P34)</f>
        <v>1301372.6870000511</v>
      </c>
      <c r="D40" s="20">
        <f>-SUM('ID Sch 25 (12.2019)'!Q18,'ID Sch 25 (12.2019)'!Q19,'ID Sch 25 (12.2019)'!Q21,'ID Sch 25 (12.2019)'!Q22)</f>
        <v>1409099.2989999875</v>
      </c>
      <c r="E40" s="61"/>
      <c r="F40" s="61"/>
      <c r="G40" s="61"/>
      <c r="H40" s="61"/>
      <c r="I40" s="61"/>
    </row>
    <row r="41" spans="1:9">
      <c r="A41" s="130" t="s">
        <v>2528</v>
      </c>
      <c r="D41" s="65">
        <f>-SUM('ID Sch 25 (12.2019)'!Q31,'ID Sch 25 (12.2019)'!Q32,'ID Sch 25 (12.2019)'!Q34,'ID Sch 25 (12.2019)'!Q35,'ID Sch 25 (12.2019)'!Q41,'ID Sch 25 (12.2019)'!Q42)</f>
        <v>-35718010</v>
      </c>
      <c r="E41" s="61"/>
      <c r="F41" s="65"/>
      <c r="G41" s="61"/>
      <c r="H41" s="61"/>
      <c r="I41" s="61"/>
    </row>
    <row r="42" spans="1:9">
      <c r="A42" s="61" t="s">
        <v>193</v>
      </c>
      <c r="B42" s="61"/>
      <c r="C42" s="68">
        <f>SUM(C39:C41)</f>
        <v>-2.2351741790771484E-7</v>
      </c>
      <c r="D42" s="68">
        <f>SUM(D39:D41)</f>
        <v>-2.7567148208618164E-7</v>
      </c>
      <c r="G42" s="119" t="s">
        <v>174</v>
      </c>
      <c r="H42" s="8"/>
    </row>
    <row r="43" spans="1:9">
      <c r="G43" s="8" t="s">
        <v>175</v>
      </c>
      <c r="H43" s="120">
        <f>ROUND(I24+I30+I35,3)</f>
        <v>5.6000000000000001E-2</v>
      </c>
    </row>
    <row r="44" spans="1:9">
      <c r="G44" s="8" t="s">
        <v>176</v>
      </c>
      <c r="H44" s="120">
        <f>ROUND(I30+I35,3)</f>
        <v>4.2999999999999997E-2</v>
      </c>
    </row>
    <row r="45" spans="1:9">
      <c r="G45" s="8" t="s">
        <v>177</v>
      </c>
      <c r="H45" s="120">
        <f>ROUND(I35,3)</f>
        <v>0.03</v>
      </c>
    </row>
    <row r="47" spans="1:9">
      <c r="A47" t="s">
        <v>2447</v>
      </c>
      <c r="C47" s="252">
        <f>(C19)/(C19+C27)</f>
        <v>0.92374138900371405</v>
      </c>
      <c r="D47" s="252">
        <f>(D19+D20)/(D19+D27)</f>
        <v>0.92794611614317069</v>
      </c>
    </row>
    <row r="48" spans="1:9">
      <c r="A48" t="s">
        <v>2448</v>
      </c>
      <c r="C48" s="252">
        <f>C27/(C19+C27)</f>
        <v>7.6258610996285836E-2</v>
      </c>
      <c r="D48" s="252">
        <f>D27/(D19+D27)</f>
        <v>7.9712719333851087E-2</v>
      </c>
    </row>
  </sheetData>
  <phoneticPr fontId="0" type="noConversion"/>
  <printOptions horizontalCentered="1"/>
  <pageMargins left="0.5" right="0.5" top="0.5" bottom="0.75" header="0.5" footer="0.5"/>
  <pageSetup scale="91" orientation="landscape" horizontalDpi="4294967292" r:id="rId1"/>
  <headerFooter alignWithMargins="0">
    <oddFooter>&amp;C&amp;F /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Index</vt:lpstr>
      <vt:lpstr>Summary</vt:lpstr>
      <vt:lpstr>Peak Calc CP</vt:lpstr>
      <vt:lpstr>Peak Calc NCP</vt:lpstr>
      <vt:lpstr>Schedule Shifting Adj - ID</vt:lpstr>
      <vt:lpstr>Peak Calc Billing kW est</vt:lpstr>
      <vt:lpstr>Generation Level Energy</vt:lpstr>
      <vt:lpstr>WA DemEst</vt:lpstr>
      <vt:lpstr>ID DemEst</vt:lpstr>
      <vt:lpstr>PT Ratio</vt:lpstr>
      <vt:lpstr>Electric Factors </vt:lpstr>
      <vt:lpstr>2019 Daylight</vt:lpstr>
      <vt:lpstr>Load Shape</vt:lpstr>
      <vt:lpstr>Notes</vt:lpstr>
      <vt:lpstr>WA Sch 25 (12.2019)</vt:lpstr>
      <vt:lpstr>ID Sch 25 (12.2019)</vt:lpstr>
      <vt:lpstr>12.2019 WA Usage</vt:lpstr>
      <vt:lpstr>12.2019 ID Usage</vt:lpstr>
      <vt:lpstr>Losses</vt:lpstr>
      <vt:lpstr>'2019 Daylight'!Hrs_Darkness</vt:lpstr>
      <vt:lpstr>LoadShape</vt:lpstr>
      <vt:lpstr>Loss_Prim</vt:lpstr>
      <vt:lpstr>Loss_Sec</vt:lpstr>
      <vt:lpstr>Loss_Transm</vt:lpstr>
      <vt:lpstr>M.WkDy.H</vt:lpstr>
      <vt:lpstr>Mo.Day.Hr</vt:lpstr>
      <vt:lpstr>'12.2019 ID Usage'!Print_Area</vt:lpstr>
      <vt:lpstr>'12.2019 WA Usage'!Print_Area</vt:lpstr>
      <vt:lpstr>'2019 Daylight'!Print_Area</vt:lpstr>
      <vt:lpstr>'Electric Factors '!Print_Area</vt:lpstr>
      <vt:lpstr>'ID DemEst'!Print_Area</vt:lpstr>
      <vt:lpstr>'ID Sch 25 (12.2019)'!Print_Area</vt:lpstr>
      <vt:lpstr>'Load Shape'!Print_Area</vt:lpstr>
      <vt:lpstr>Losses!Print_Area</vt:lpstr>
      <vt:lpstr>'Peak Calc Billing kW est'!Print_Area</vt:lpstr>
      <vt:lpstr>'Peak Calc NCP'!Print_Area</vt:lpstr>
      <vt:lpstr>'WA DemEst'!Print_Area</vt:lpstr>
      <vt:lpstr>'WA Sch 25 (12.2019)'!Print_Area</vt:lpstr>
      <vt:lpstr>'12.2019 ID Usage'!Print_Titles</vt:lpstr>
      <vt:lpstr>'12.2019 WA Usage'!Print_Titles</vt:lpstr>
      <vt:lpstr>'Generation Level Energy'!Print_Titles</vt:lpstr>
      <vt:lpstr>'Load Shape'!Print_Titles</vt:lpstr>
      <vt:lpstr>'Peak Calc Billing kW est'!Print_Titles</vt:lpstr>
      <vt:lpstr>'Peak Calc CP'!Print_Titles</vt:lpstr>
      <vt:lpstr>'Peak Calc NCP'!Print_Titles</vt:lpstr>
      <vt:lpstr>'WA Sch 25 (12.2019)'!Sch25_Annual_excess_kva</vt:lpstr>
      <vt:lpstr>'WA Sch 25 (12.2019)'!Sch25_Annual_kva</vt:lpstr>
      <vt:lpstr>'WA Sch 25 (12.2019)'!Sch25_Annual_kW</vt:lpstr>
      <vt:lpstr>'WA Sch 25 (12.2019)'!Sch25_Annual_kWh</vt:lpstr>
      <vt:lpstr>'WA Sch 25 (12.2019)'!Sch25_kWh</vt:lpstr>
      <vt:lpstr>'WA Sch 25 (12.2019)'!Sch25_n</vt:lpstr>
      <vt:lpstr>'WA Sch 25 (12.2019)'!Sch25_nD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tlk</dc:creator>
  <cp:lastModifiedBy>Knox, Tara</cp:lastModifiedBy>
  <cp:lastPrinted>2019-08-14T21:54:43Z</cp:lastPrinted>
  <dcterms:created xsi:type="dcterms:W3CDTF">1997-11-11T01:23:57Z</dcterms:created>
  <dcterms:modified xsi:type="dcterms:W3CDTF">2020-10-28T21:06:52Z</dcterms:modified>
</cp:coreProperties>
</file>