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15" windowWidth="28635" windowHeight="10470"/>
  </bookViews>
  <sheets>
    <sheet name="Tables 1 - 3" sheetId="31" r:id="rId1"/>
    <sheet name="Summary Sheet_SC_Migrated" sheetId="29" r:id="rId2"/>
    <sheet name="Sales &amp; Revenue Adj._SCMigrated" sheetId="30" r:id="rId3"/>
    <sheet name="Sch 40 Migration Weather Adj." sheetId="28" r:id="rId4"/>
    <sheet name="(C)Sch 40 Migration kWh" sheetId="27" r:id="rId5"/>
    <sheet name="Summary Sheet_ Pre Migration" sheetId="3" r:id="rId6"/>
    <sheet name="Sales &amp; Revenue Adj." sheetId="2" r:id="rId7"/>
    <sheet name="Temp Adj. by Schedule" sheetId="14" r:id="rId8"/>
    <sheet name="Normalized Total Usage" sheetId="9" r:id="rId9"/>
    <sheet name="Actual Total Usage" sheetId="6" r:id="rId10"/>
    <sheet name="SAP BW Actual Usage" sheetId="16" r:id="rId11"/>
    <sheet name="System Model " sheetId="25" r:id="rId12"/>
    <sheet name="TABLE-HDD" sheetId="26" r:id="rId13"/>
    <sheet name="Sheet6" sheetId="3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0">'SAP BW Actual Usage'!$A$1:$O$24</definedName>
    <definedName name="_xlnm.Print_Area" localSheetId="5">'Summary Sheet_ Pre Migration'!$A$1:$J$40</definedName>
    <definedName name="_xlnm.Print_Area" localSheetId="1">'Summary Sheet_SC_Migrated'!$A$1:$J$40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F23" i="3" l="1"/>
  <c r="F22" i="3"/>
  <c r="F21" i="3"/>
  <c r="F20" i="3"/>
  <c r="F23" i="29" l="1"/>
  <c r="F22" i="29"/>
  <c r="F21" i="29"/>
  <c r="F20" i="29"/>
  <c r="R73" i="29" l="1"/>
  <c r="R72" i="29"/>
  <c r="R71" i="29"/>
  <c r="R70" i="29"/>
  <c r="R69" i="29"/>
  <c r="R68" i="29"/>
  <c r="R67" i="29"/>
  <c r="R66" i="29"/>
  <c r="R65" i="29"/>
  <c r="R64" i="29"/>
  <c r="R63" i="29"/>
  <c r="R62" i="29"/>
  <c r="L23" i="29" l="1"/>
  <c r="K23" i="29"/>
  <c r="L22" i="29"/>
  <c r="K22" i="29"/>
  <c r="L21" i="29"/>
  <c r="K21" i="29"/>
  <c r="L20" i="29"/>
  <c r="K20" i="29"/>
  <c r="L19" i="29"/>
  <c r="K19" i="29"/>
  <c r="L18" i="29"/>
  <c r="K18" i="29"/>
  <c r="L17" i="29"/>
  <c r="K17" i="29"/>
  <c r="L16" i="29"/>
  <c r="K16" i="29"/>
  <c r="L15" i="29"/>
  <c r="K15" i="29"/>
  <c r="L14" i="29"/>
  <c r="K14" i="29"/>
  <c r="L13" i="29"/>
  <c r="K13" i="29"/>
  <c r="L12" i="29"/>
  <c r="K12" i="29"/>
  <c r="M12" i="29" l="1"/>
  <c r="N12" i="29" s="1"/>
  <c r="M20" i="29"/>
  <c r="N20" i="29" s="1"/>
  <c r="M16" i="29"/>
  <c r="N16" i="29" s="1"/>
  <c r="M23" i="29"/>
  <c r="N23" i="29" s="1"/>
  <c r="M22" i="29"/>
  <c r="N22" i="29" s="1"/>
  <c r="M21" i="29"/>
  <c r="N21" i="29" s="1"/>
  <c r="M19" i="29"/>
  <c r="N19" i="29" s="1"/>
  <c r="M18" i="29"/>
  <c r="N18" i="29" s="1"/>
  <c r="M17" i="29"/>
  <c r="N17" i="29" s="1"/>
  <c r="M15" i="29"/>
  <c r="N15" i="29" s="1"/>
  <c r="M14" i="29"/>
  <c r="N14" i="29" s="1"/>
  <c r="M13" i="29"/>
  <c r="N13" i="29" s="1"/>
  <c r="L23" i="26" l="1"/>
  <c r="AF44" i="31" l="1"/>
  <c r="AC44" i="31"/>
  <c r="AB44" i="31"/>
  <c r="V39" i="29"/>
  <c r="V38" i="29"/>
  <c r="V37" i="29"/>
  <c r="V36" i="29"/>
  <c r="V35" i="29"/>
  <c r="V34" i="29"/>
  <c r="V33" i="29"/>
  <c r="V32" i="29"/>
  <c r="V31" i="29"/>
  <c r="V30" i="29"/>
  <c r="V29" i="29"/>
  <c r="V28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V22" i="29"/>
  <c r="V21" i="29"/>
  <c r="V20" i="29"/>
  <c r="V19" i="29"/>
  <c r="V18" i="29"/>
  <c r="V17" i="29"/>
  <c r="V16" i="29"/>
  <c r="V15" i="29"/>
  <c r="V14" i="29"/>
  <c r="V13" i="29"/>
  <c r="V12" i="29"/>
  <c r="V11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Z45" i="29" a="1"/>
  <c r="Z48" i="29" s="1"/>
  <c r="V45" i="29" a="1"/>
  <c r="V56" i="29" s="1"/>
  <c r="A41" i="29"/>
  <c r="Z36" i="29"/>
  <c r="Z29" i="29"/>
  <c r="Z28" i="29"/>
  <c r="Z28" i="29" a="1"/>
  <c r="Z39" i="29" s="1"/>
  <c r="J23" i="29"/>
  <c r="D23" i="29"/>
  <c r="C23" i="29"/>
  <c r="P22" i="29"/>
  <c r="P39" i="29" s="1"/>
  <c r="P56" i="29" s="1"/>
  <c r="P73" i="29" s="1"/>
  <c r="J22" i="29"/>
  <c r="D22" i="29"/>
  <c r="C22" i="29"/>
  <c r="P21" i="29"/>
  <c r="P38" i="29" s="1"/>
  <c r="P55" i="29" s="1"/>
  <c r="P72" i="29" s="1"/>
  <c r="J21" i="29"/>
  <c r="D21" i="29"/>
  <c r="C21" i="29"/>
  <c r="P20" i="29"/>
  <c r="P37" i="29" s="1"/>
  <c r="P54" i="29" s="1"/>
  <c r="P71" i="29" s="1"/>
  <c r="J20" i="29"/>
  <c r="D20" i="29"/>
  <c r="C20" i="29"/>
  <c r="P19" i="29"/>
  <c r="P36" i="29" s="1"/>
  <c r="P53" i="29" s="1"/>
  <c r="P70" i="29" s="1"/>
  <c r="J19" i="29"/>
  <c r="D19" i="29"/>
  <c r="C19" i="29"/>
  <c r="P18" i="29"/>
  <c r="P35" i="29" s="1"/>
  <c r="P52" i="29" s="1"/>
  <c r="P69" i="29" s="1"/>
  <c r="J18" i="29"/>
  <c r="D18" i="29"/>
  <c r="C18" i="29"/>
  <c r="P17" i="29"/>
  <c r="P34" i="29" s="1"/>
  <c r="P51" i="29" s="1"/>
  <c r="P68" i="29" s="1"/>
  <c r="J17" i="29"/>
  <c r="D17" i="29"/>
  <c r="E17" i="29" s="1"/>
  <c r="C17" i="29"/>
  <c r="P16" i="29"/>
  <c r="P33" i="29" s="1"/>
  <c r="P50" i="29" s="1"/>
  <c r="P67" i="29" s="1"/>
  <c r="J16" i="29"/>
  <c r="D16" i="29"/>
  <c r="C16" i="29"/>
  <c r="P15" i="29"/>
  <c r="P32" i="29" s="1"/>
  <c r="P49" i="29" s="1"/>
  <c r="P66" i="29" s="1"/>
  <c r="J15" i="29"/>
  <c r="D15" i="29"/>
  <c r="C15" i="29"/>
  <c r="P14" i="29"/>
  <c r="P31" i="29" s="1"/>
  <c r="P48" i="29" s="1"/>
  <c r="P65" i="29" s="1"/>
  <c r="J14" i="29"/>
  <c r="D14" i="29"/>
  <c r="C14" i="29"/>
  <c r="P13" i="29"/>
  <c r="P30" i="29" s="1"/>
  <c r="P47" i="29" s="1"/>
  <c r="P64" i="29" s="1"/>
  <c r="J13" i="29"/>
  <c r="D13" i="29"/>
  <c r="C13" i="29"/>
  <c r="P12" i="29"/>
  <c r="P29" i="29" s="1"/>
  <c r="P46" i="29" s="1"/>
  <c r="P63" i="29" s="1"/>
  <c r="J12" i="29"/>
  <c r="D12" i="29"/>
  <c r="C12" i="29"/>
  <c r="R11" i="29" a="1"/>
  <c r="R22" i="29" s="1"/>
  <c r="P11" i="29"/>
  <c r="P28" i="29" s="1"/>
  <c r="P45" i="29" s="1"/>
  <c r="P62" i="29" s="1"/>
  <c r="F11" i="29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G72" i="28"/>
  <c r="G71" i="28"/>
  <c r="G70" i="28"/>
  <c r="G69" i="28"/>
  <c r="G68" i="28"/>
  <c r="G67" i="28"/>
  <c r="G66" i="28"/>
  <c r="G65" i="28"/>
  <c r="G64" i="28"/>
  <c r="G63" i="28"/>
  <c r="G62" i="28"/>
  <c r="O43" i="28" a="1"/>
  <c r="O43" i="28" s="1"/>
  <c r="G61" i="28" s="1"/>
  <c r="O44" i="28"/>
  <c r="O45" i="28"/>
  <c r="O46" i="28"/>
  <c r="O48" i="28"/>
  <c r="O49" i="28"/>
  <c r="O50" i="28"/>
  <c r="O52" i="28"/>
  <c r="O53" i="28"/>
  <c r="O54" i="28"/>
  <c r="C61" i="28" a="1"/>
  <c r="C61" i="28" s="1"/>
  <c r="C62" i="28"/>
  <c r="C63" i="28"/>
  <c r="C64" i="28"/>
  <c r="C66" i="28"/>
  <c r="C67" i="28"/>
  <c r="C68" i="28"/>
  <c r="C70" i="28"/>
  <c r="C71" i="28"/>
  <c r="C72" i="28"/>
  <c r="K43" i="28" a="1"/>
  <c r="K43" i="28" s="1"/>
  <c r="K44" i="28"/>
  <c r="K45" i="28"/>
  <c r="K46" i="28"/>
  <c r="K48" i="28"/>
  <c r="K49" i="28"/>
  <c r="K50" i="28"/>
  <c r="K52" i="28"/>
  <c r="K53" i="28"/>
  <c r="K54" i="28"/>
  <c r="G43" i="28" a="1"/>
  <c r="G43" i="28" s="1"/>
  <c r="G44" i="28"/>
  <c r="G45" i="28"/>
  <c r="G46" i="28"/>
  <c r="G48" i="28"/>
  <c r="G49" i="28"/>
  <c r="G50" i="28"/>
  <c r="G52" i="28"/>
  <c r="G53" i="28"/>
  <c r="G54" i="28"/>
  <c r="C43" i="28" a="1"/>
  <c r="C43" i="28" s="1"/>
  <c r="C44" i="28"/>
  <c r="C45" i="28"/>
  <c r="C46" i="28"/>
  <c r="C48" i="28"/>
  <c r="C49" i="28"/>
  <c r="C50" i="28"/>
  <c r="C52" i="28"/>
  <c r="C53" i="28"/>
  <c r="C54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R30" i="3"/>
  <c r="R34" i="3"/>
  <c r="R38" i="3"/>
  <c r="R28" i="3" a="1"/>
  <c r="R28" i="3" s="1"/>
  <c r="R39" i="3"/>
  <c r="A54" i="28"/>
  <c r="A53" i="28"/>
  <c r="A52" i="28"/>
  <c r="A51" i="28"/>
  <c r="A50" i="28"/>
  <c r="A49" i="28"/>
  <c r="A48" i="28"/>
  <c r="A47" i="28"/>
  <c r="A46" i="28"/>
  <c r="A45" i="28"/>
  <c r="A44" i="28"/>
  <c r="A43" i="28"/>
  <c r="G24" i="28" a="1"/>
  <c r="G24" i="28" s="1"/>
  <c r="G26" i="28"/>
  <c r="G29" i="28"/>
  <c r="G31" i="28"/>
  <c r="G34" i="28"/>
  <c r="F24" i="28" a="1"/>
  <c r="F24" i="28" s="1"/>
  <c r="F29" i="28"/>
  <c r="F34" i="28"/>
  <c r="E24" i="28" a="1"/>
  <c r="E24" i="28" s="1"/>
  <c r="E26" i="28"/>
  <c r="E29" i="28"/>
  <c r="E31" i="28"/>
  <c r="E34" i="28"/>
  <c r="D24" i="28" a="1"/>
  <c r="D24" i="28" s="1"/>
  <c r="C24" i="28" a="1"/>
  <c r="C24" i="28" s="1"/>
  <c r="H24" i="28" s="1"/>
  <c r="C26" i="28"/>
  <c r="C29" i="28"/>
  <c r="C31" i="28"/>
  <c r="C34" i="28"/>
  <c r="C17" i="28"/>
  <c r="C16" i="28"/>
  <c r="C15" i="28"/>
  <c r="C14" i="28"/>
  <c r="C13" i="28"/>
  <c r="C12" i="28"/>
  <c r="C11" i="28"/>
  <c r="C10" i="28"/>
  <c r="C9" i="28"/>
  <c r="C8" i="28"/>
  <c r="C7" i="28"/>
  <c r="C6" i="28"/>
  <c r="A17" i="28"/>
  <c r="A35" i="28" s="1"/>
  <c r="A16" i="28"/>
  <c r="A34" i="28" s="1"/>
  <c r="A15" i="28"/>
  <c r="A33" i="28" s="1"/>
  <c r="A14" i="28"/>
  <c r="A32" i="28" s="1"/>
  <c r="A13" i="28"/>
  <c r="A31" i="28" s="1"/>
  <c r="A12" i="28"/>
  <c r="A30" i="28" s="1"/>
  <c r="A11" i="28"/>
  <c r="A29" i="28" s="1"/>
  <c r="A10" i="28"/>
  <c r="A28" i="28" s="1"/>
  <c r="A9" i="28"/>
  <c r="A27" i="28" s="1"/>
  <c r="A8" i="28"/>
  <c r="A26" i="28" s="1"/>
  <c r="A7" i="28"/>
  <c r="A25" i="28" s="1"/>
  <c r="A6" i="28"/>
  <c r="A24" i="28" s="1"/>
  <c r="C191" i="27"/>
  <c r="C188" i="27"/>
  <c r="C187" i="27"/>
  <c r="C186" i="27"/>
  <c r="M185" i="27"/>
  <c r="E185" i="27"/>
  <c r="C185" i="27"/>
  <c r="J176" i="27"/>
  <c r="J191" i="27" s="1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N176" i="27" s="1"/>
  <c r="N191" i="27" s="1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F176" i="27" s="1"/>
  <c r="F191" i="27" s="1"/>
  <c r="E173" i="27"/>
  <c r="E176" i="27" s="1"/>
  <c r="E191" i="27" s="1"/>
  <c r="U172" i="27"/>
  <c r="Q172" i="27"/>
  <c r="P172" i="27"/>
  <c r="O172" i="27"/>
  <c r="O176" i="27" s="1"/>
  <c r="O191" i="27" s="1"/>
  <c r="N172" i="27"/>
  <c r="M172" i="27"/>
  <c r="L172" i="27"/>
  <c r="K172" i="27"/>
  <c r="K176" i="27" s="1"/>
  <c r="K191" i="27" s="1"/>
  <c r="J172" i="27"/>
  <c r="I172" i="27"/>
  <c r="H172" i="27"/>
  <c r="G172" i="27"/>
  <c r="G176" i="27" s="1"/>
  <c r="G191" i="27" s="1"/>
  <c r="F172" i="27"/>
  <c r="E172" i="27"/>
  <c r="U170" i="27"/>
  <c r="J170" i="27"/>
  <c r="C170" i="27"/>
  <c r="AB169" i="27"/>
  <c r="AA169" i="27"/>
  <c r="U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AA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O165" i="27"/>
  <c r="AF162" i="27" s="1"/>
  <c r="J165" i="27"/>
  <c r="AA163" i="27" s="1"/>
  <c r="G165" i="27"/>
  <c r="X164" i="27" s="1"/>
  <c r="C165" i="27"/>
  <c r="AF164" i="27"/>
  <c r="U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V163" i="27"/>
  <c r="U163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N165" i="27" s="1"/>
  <c r="AE163" i="27" s="1"/>
  <c r="M162" i="27"/>
  <c r="L162" i="27"/>
  <c r="K162" i="27"/>
  <c r="J162" i="27"/>
  <c r="I162" i="27"/>
  <c r="H162" i="27"/>
  <c r="G162" i="27"/>
  <c r="F162" i="27"/>
  <c r="F165" i="27" s="1"/>
  <c r="W163" i="27" s="1"/>
  <c r="E162" i="27"/>
  <c r="E165" i="27" s="1"/>
  <c r="U160" i="27"/>
  <c r="N160" i="27"/>
  <c r="AE158" i="27" s="1"/>
  <c r="J160" i="27"/>
  <c r="AA158" i="27" s="1"/>
  <c r="F160" i="27"/>
  <c r="W158" i="27" s="1"/>
  <c r="C160" i="27"/>
  <c r="U159" i="27"/>
  <c r="Q159" i="27"/>
  <c r="Q187" i="27" s="1"/>
  <c r="P159" i="27"/>
  <c r="O159" i="27"/>
  <c r="N159" i="27"/>
  <c r="AE159" i="27" s="1"/>
  <c r="M159" i="27"/>
  <c r="L159" i="27"/>
  <c r="K159" i="27"/>
  <c r="J159" i="27"/>
  <c r="AA159" i="27" s="1"/>
  <c r="I159" i="27"/>
  <c r="H159" i="27"/>
  <c r="G159" i="27"/>
  <c r="F159" i="27"/>
  <c r="W159" i="27" s="1"/>
  <c r="E159" i="27"/>
  <c r="U158" i="27"/>
  <c r="Q158" i="27"/>
  <c r="P158" i="27"/>
  <c r="P160" i="27" s="1"/>
  <c r="O158" i="27"/>
  <c r="N158" i="27"/>
  <c r="M158" i="27"/>
  <c r="L158" i="27"/>
  <c r="L160" i="27" s="1"/>
  <c r="K158" i="27"/>
  <c r="J158" i="27"/>
  <c r="I158" i="27"/>
  <c r="H158" i="27"/>
  <c r="H160" i="27" s="1"/>
  <c r="G158" i="27"/>
  <c r="F158" i="27"/>
  <c r="E158" i="27"/>
  <c r="U157" i="27"/>
  <c r="Q157" i="27"/>
  <c r="P157" i="27"/>
  <c r="O157" i="27"/>
  <c r="N157" i="27"/>
  <c r="M157" i="27"/>
  <c r="L157" i="27"/>
  <c r="K157" i="27"/>
  <c r="J157" i="27"/>
  <c r="AA157" i="27" s="1"/>
  <c r="I157" i="27"/>
  <c r="H157" i="27"/>
  <c r="G157" i="27"/>
  <c r="F157" i="27"/>
  <c r="E157" i="27"/>
  <c r="U155" i="27"/>
  <c r="Q155" i="27"/>
  <c r="P155" i="27"/>
  <c r="O155" i="27"/>
  <c r="O188" i="27" s="1"/>
  <c r="O195" i="27" s="1"/>
  <c r="O196" i="27" s="1"/>
  <c r="N155" i="27"/>
  <c r="M155" i="27"/>
  <c r="L155" i="27"/>
  <c r="K155" i="27"/>
  <c r="J155" i="27"/>
  <c r="I155" i="27"/>
  <c r="H155" i="27"/>
  <c r="G155" i="27"/>
  <c r="G188" i="27" s="1"/>
  <c r="G195" i="27" s="1"/>
  <c r="G196" i="27" s="1"/>
  <c r="F155" i="27"/>
  <c r="E155" i="27"/>
  <c r="U153" i="27"/>
  <c r="Q153" i="27"/>
  <c r="M153" i="27"/>
  <c r="AD151" i="27" s="1"/>
  <c r="I153" i="27"/>
  <c r="Z151" i="27" s="1"/>
  <c r="E153" i="27"/>
  <c r="C153" i="27"/>
  <c r="U152" i="27"/>
  <c r="Q152" i="27"/>
  <c r="P152" i="27"/>
  <c r="O152" i="27"/>
  <c r="N152" i="27"/>
  <c r="M152" i="27"/>
  <c r="AD152" i="27" s="1"/>
  <c r="L152" i="27"/>
  <c r="K152" i="27"/>
  <c r="J152" i="27"/>
  <c r="I152" i="27"/>
  <c r="H152" i="27"/>
  <c r="G152" i="27"/>
  <c r="F152" i="27"/>
  <c r="E152" i="27"/>
  <c r="V151" i="27"/>
  <c r="U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M149" i="27"/>
  <c r="AD148" i="27" s="1"/>
  <c r="I149" i="27"/>
  <c r="Z148" i="27" s="1"/>
  <c r="E149" i="27"/>
  <c r="C149" i="27"/>
  <c r="U149" i="27" s="1"/>
  <c r="V148" i="27"/>
  <c r="U148" i="27"/>
  <c r="Q148" i="27"/>
  <c r="P148" i="27"/>
  <c r="P187" i="27" s="1"/>
  <c r="O148" i="27"/>
  <c r="N148" i="27"/>
  <c r="M148" i="27"/>
  <c r="L148" i="27"/>
  <c r="L187" i="27" s="1"/>
  <c r="K148" i="27"/>
  <c r="J148" i="27"/>
  <c r="I148" i="27"/>
  <c r="H148" i="27"/>
  <c r="G148" i="27"/>
  <c r="F148" i="27"/>
  <c r="E148" i="27"/>
  <c r="U147" i="27"/>
  <c r="Q147" i="27"/>
  <c r="Q186" i="27" s="1"/>
  <c r="P147" i="27"/>
  <c r="P186" i="27" s="1"/>
  <c r="O147" i="27"/>
  <c r="O186" i="27" s="1"/>
  <c r="N147" i="27"/>
  <c r="M147" i="27"/>
  <c r="L147" i="27"/>
  <c r="L186" i="27" s="1"/>
  <c r="K147" i="27"/>
  <c r="J147" i="27"/>
  <c r="J186" i="27" s="1"/>
  <c r="I147" i="27"/>
  <c r="H147" i="27"/>
  <c r="H186" i="27" s="1"/>
  <c r="G147" i="27"/>
  <c r="G186" i="27" s="1"/>
  <c r="F147" i="27"/>
  <c r="F186" i="27" s="1"/>
  <c r="E147" i="27"/>
  <c r="AD146" i="27"/>
  <c r="Z146" i="27"/>
  <c r="V146" i="27"/>
  <c r="U146" i="27"/>
  <c r="Q146" i="27"/>
  <c r="Q185" i="27" s="1"/>
  <c r="P146" i="27"/>
  <c r="O146" i="27"/>
  <c r="N146" i="27"/>
  <c r="M146" i="27"/>
  <c r="L146" i="27"/>
  <c r="K146" i="27"/>
  <c r="J146" i="27"/>
  <c r="I146" i="27"/>
  <c r="I185" i="27" s="1"/>
  <c r="H146" i="27"/>
  <c r="G146" i="27"/>
  <c r="F146" i="27"/>
  <c r="E146" i="27"/>
  <c r="U144" i="27"/>
  <c r="Q144" i="27"/>
  <c r="P144" i="27"/>
  <c r="O144" i="27"/>
  <c r="N144" i="27"/>
  <c r="M144" i="27"/>
  <c r="L144" i="27"/>
  <c r="K144" i="27"/>
  <c r="K188" i="27" s="1"/>
  <c r="J144" i="27"/>
  <c r="I144" i="27"/>
  <c r="H144" i="27"/>
  <c r="G144" i="27"/>
  <c r="F144" i="27"/>
  <c r="E144" i="27"/>
  <c r="E13" i="29" l="1"/>
  <c r="E21" i="29"/>
  <c r="E15" i="29"/>
  <c r="E23" i="29"/>
  <c r="Z37" i="29"/>
  <c r="V51" i="29"/>
  <c r="R16" i="29"/>
  <c r="R12" i="29"/>
  <c r="R20" i="29"/>
  <c r="E19" i="29"/>
  <c r="F19" i="29" s="1"/>
  <c r="Z33" i="29"/>
  <c r="R15" i="29"/>
  <c r="L24" i="29"/>
  <c r="V47" i="29"/>
  <c r="R11" i="29"/>
  <c r="R19" i="29"/>
  <c r="Z32" i="29"/>
  <c r="V55" i="29"/>
  <c r="AG44" i="31"/>
  <c r="Y44" i="31"/>
  <c r="E18" i="29"/>
  <c r="E22" i="29"/>
  <c r="D24" i="29"/>
  <c r="F17" i="29"/>
  <c r="F13" i="29"/>
  <c r="E14" i="29"/>
  <c r="Z56" i="29"/>
  <c r="Z52" i="29"/>
  <c r="Z51" i="29"/>
  <c r="Z47" i="29"/>
  <c r="Z55" i="29"/>
  <c r="Z50" i="29"/>
  <c r="Z46" i="29"/>
  <c r="Z53" i="29"/>
  <c r="E16" i="29"/>
  <c r="V48" i="29"/>
  <c r="Z45" i="29"/>
  <c r="Z54" i="29"/>
  <c r="E12" i="29"/>
  <c r="C24" i="29"/>
  <c r="E20" i="29"/>
  <c r="V54" i="29"/>
  <c r="V50" i="29"/>
  <c r="V46" i="29"/>
  <c r="V53" i="29"/>
  <c r="V49" i="29"/>
  <c r="V45" i="29"/>
  <c r="V52" i="29"/>
  <c r="Z49" i="29"/>
  <c r="R13" i="29"/>
  <c r="R17" i="29"/>
  <c r="R21" i="29"/>
  <c r="V23" i="29"/>
  <c r="Z30" i="29"/>
  <c r="Z34" i="29"/>
  <c r="Z38" i="29"/>
  <c r="R14" i="29"/>
  <c r="R18" i="29"/>
  <c r="Z31" i="29"/>
  <c r="Z35" i="29"/>
  <c r="R57" i="29"/>
  <c r="O51" i="28"/>
  <c r="O47" i="28"/>
  <c r="C69" i="28"/>
  <c r="C65" i="28"/>
  <c r="K51" i="28"/>
  <c r="K47" i="28"/>
  <c r="G51" i="28"/>
  <c r="G47" i="28"/>
  <c r="G55" i="28" s="1"/>
  <c r="C51" i="28"/>
  <c r="C47" i="28"/>
  <c r="C73" i="28"/>
  <c r="O55" i="28"/>
  <c r="K55" i="28"/>
  <c r="R31" i="3"/>
  <c r="R37" i="3"/>
  <c r="R33" i="3"/>
  <c r="R29" i="3"/>
  <c r="R35" i="3"/>
  <c r="R36" i="3"/>
  <c r="R32" i="3"/>
  <c r="C55" i="28"/>
  <c r="H26" i="28"/>
  <c r="D29" i="28"/>
  <c r="H29" i="28" s="1"/>
  <c r="C33" i="28"/>
  <c r="C27" i="28"/>
  <c r="D35" i="28"/>
  <c r="D30" i="28"/>
  <c r="D25" i="28"/>
  <c r="E33" i="28"/>
  <c r="E27" i="28"/>
  <c r="F35" i="28"/>
  <c r="F30" i="28"/>
  <c r="F25" i="28"/>
  <c r="G33" i="28"/>
  <c r="G27" i="28"/>
  <c r="C35" i="28"/>
  <c r="H35" i="28" s="1"/>
  <c r="C30" i="28"/>
  <c r="C25" i="28"/>
  <c r="D33" i="28"/>
  <c r="D27" i="28"/>
  <c r="E35" i="28"/>
  <c r="E30" i="28"/>
  <c r="E25" i="28"/>
  <c r="F33" i="28"/>
  <c r="F27" i="28"/>
  <c r="G35" i="28"/>
  <c r="G30" i="28"/>
  <c r="G25" i="28"/>
  <c r="D34" i="28"/>
  <c r="H34" i="28" s="1"/>
  <c r="D31" i="28"/>
  <c r="H31" i="28" s="1"/>
  <c r="D26" i="28"/>
  <c r="F31" i="28"/>
  <c r="F26" i="28"/>
  <c r="G32" i="28"/>
  <c r="G28" i="28"/>
  <c r="F32" i="28"/>
  <c r="F28" i="28"/>
  <c r="E32" i="28"/>
  <c r="E28" i="28"/>
  <c r="D32" i="28"/>
  <c r="D28" i="28"/>
  <c r="C32" i="28"/>
  <c r="C28" i="28"/>
  <c r="H28" i="28" s="1"/>
  <c r="C18" i="28"/>
  <c r="K195" i="27"/>
  <c r="K196" i="27" s="1"/>
  <c r="N186" i="27"/>
  <c r="AE147" i="27"/>
  <c r="G187" i="27"/>
  <c r="X148" i="27"/>
  <c r="K187" i="27"/>
  <c r="AB148" i="27"/>
  <c r="O187" i="27"/>
  <c r="AF148" i="27"/>
  <c r="F153" i="27"/>
  <c r="W152" i="27" s="1"/>
  <c r="J153" i="27"/>
  <c r="AA152" i="27" s="1"/>
  <c r="N153" i="27"/>
  <c r="AE152" i="27" s="1"/>
  <c r="N187" i="27"/>
  <c r="I187" i="27"/>
  <c r="H165" i="27"/>
  <c r="Y164" i="27" s="1"/>
  <c r="Y162" i="27"/>
  <c r="L165" i="27"/>
  <c r="AC164" i="27" s="1"/>
  <c r="P165" i="27"/>
  <c r="AG164" i="27" s="1"/>
  <c r="AG162" i="27"/>
  <c r="AG165" i="27" s="1"/>
  <c r="E189" i="27"/>
  <c r="E192" i="27" s="1"/>
  <c r="T18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Y148" i="27"/>
  <c r="G153" i="27"/>
  <c r="X152" i="27" s="1"/>
  <c r="X151" i="27"/>
  <c r="X153" i="27" s="1"/>
  <c r="K153" i="27"/>
  <c r="AB152" i="27" s="1"/>
  <c r="AB151" i="27"/>
  <c r="AB153" i="27" s="1"/>
  <c r="O153" i="27"/>
  <c r="AF152" i="27" s="1"/>
  <c r="AF151" i="27"/>
  <c r="AF153" i="27" s="1"/>
  <c r="F187" i="27"/>
  <c r="AE146" i="27"/>
  <c r="AA147" i="27"/>
  <c r="O149" i="27"/>
  <c r="C178" i="27"/>
  <c r="AE148" i="27"/>
  <c r="AC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Q178" i="27"/>
  <c r="G185" i="27"/>
  <c r="X146" i="27"/>
  <c r="K185" i="27"/>
  <c r="AB146" i="27"/>
  <c r="AB149" i="27" s="1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C159" i="27"/>
  <c r="AC157" i="27"/>
  <c r="AC160" i="27" s="1"/>
  <c r="AG159" i="27"/>
  <c r="AG157" i="27"/>
  <c r="AB170" i="27"/>
  <c r="V169" i="27"/>
  <c r="Z169" i="27"/>
  <c r="F188" i="27"/>
  <c r="F178" i="27"/>
  <c r="J188" i="27"/>
  <c r="J178" i="27"/>
  <c r="N188" i="27"/>
  <c r="H185" i="27"/>
  <c r="L185" i="27"/>
  <c r="P185" i="27"/>
  <c r="AC146" i="27"/>
  <c r="E186" i="27"/>
  <c r="V147" i="27"/>
  <c r="V149" i="27" s="1"/>
  <c r="I186" i="27"/>
  <c r="Z147" i="27"/>
  <c r="Z149" i="27" s="1"/>
  <c r="M186" i="27"/>
  <c r="AD147" i="27"/>
  <c r="Y147" i="27"/>
  <c r="J187" i="27"/>
  <c r="G149" i="27"/>
  <c r="L149" i="27"/>
  <c r="AC147" i="27" s="1"/>
  <c r="Q149" i="27"/>
  <c r="W157" i="27"/>
  <c r="W160" i="27" s="1"/>
  <c r="AA160" i="27"/>
  <c r="AE157" i="27"/>
  <c r="AE160" i="27" s="1"/>
  <c r="X162" i="27"/>
  <c r="X163" i="27"/>
  <c r="K165" i="27"/>
  <c r="AF163" i="27"/>
  <c r="AF165" i="27" s="1"/>
  <c r="V167" i="27"/>
  <c r="V170" i="27" s="1"/>
  <c r="E170" i="27"/>
  <c r="V168" i="27" s="1"/>
  <c r="I170" i="27"/>
  <c r="Z168" i="27" s="1"/>
  <c r="AD167" i="27"/>
  <c r="M170" i="27"/>
  <c r="AD168" i="27" s="1"/>
  <c r="Q170" i="27"/>
  <c r="Y158" i="27"/>
  <c r="AC158" i="27"/>
  <c r="AG158" i="27"/>
  <c r="V162" i="27"/>
  <c r="V165" i="27" s="1"/>
  <c r="W164" i="27"/>
  <c r="AA164" i="27"/>
  <c r="AE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Z162" i="27"/>
  <c r="Z165" i="27" s="1"/>
  <c r="I165" i="27"/>
  <c r="Z163" i="27" s="1"/>
  <c r="M165" i="27"/>
  <c r="AD163" i="27" s="1"/>
  <c r="Y163" i="27"/>
  <c r="AG163" i="27"/>
  <c r="AA168" i="27"/>
  <c r="AA170" i="27" s="1"/>
  <c r="W162" i="27"/>
  <c r="AA162" i="27"/>
  <c r="AA165" i="27" s="1"/>
  <c r="AE162" i="27"/>
  <c r="AE165" i="27" s="1"/>
  <c r="V164" i="27"/>
  <c r="Z164" i="27"/>
  <c r="AD164" i="27"/>
  <c r="X168" i="27"/>
  <c r="AB168" i="27"/>
  <c r="AF168" i="27"/>
  <c r="F170" i="27"/>
  <c r="N170" i="27"/>
  <c r="H176" i="27"/>
  <c r="H191" i="27" s="1"/>
  <c r="L176" i="27"/>
  <c r="L191" i="27" s="1"/>
  <c r="P176" i="27"/>
  <c r="P191" i="27" s="1"/>
  <c r="F15" i="29" l="1"/>
  <c r="V57" i="29"/>
  <c r="X44" i="31"/>
  <c r="AH44" i="31"/>
  <c r="AD44" i="31"/>
  <c r="R23" i="29"/>
  <c r="Z40" i="29"/>
  <c r="K24" i="29"/>
  <c r="Z57" i="29"/>
  <c r="F16" i="29"/>
  <c r="Z23" i="29"/>
  <c r="R40" i="29"/>
  <c r="F14" i="29"/>
  <c r="V40" i="29"/>
  <c r="F12" i="29"/>
  <c r="E24" i="29"/>
  <c r="F18" i="29"/>
  <c r="R40" i="3"/>
  <c r="H33" i="28"/>
  <c r="H32" i="28"/>
  <c r="H25" i="28"/>
  <c r="H30" i="28"/>
  <c r="H27" i="28"/>
  <c r="AE169" i="27"/>
  <c r="AE167" i="27"/>
  <c r="AD170" i="27"/>
  <c r="AC149" i="27"/>
  <c r="N178" i="27"/>
  <c r="AC153" i="27"/>
  <c r="I178" i="27"/>
  <c r="AA18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AG170" i="27" s="1"/>
  <c r="Y167" i="27"/>
  <c r="Y170" i="27" s="1"/>
  <c r="X165" i="27"/>
  <c r="P189" i="27"/>
  <c r="P192" i="27" s="1"/>
  <c r="AE185" i="27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E149" i="27"/>
  <c r="W187" i="27"/>
  <c r="Y185" i="27"/>
  <c r="J189" i="27"/>
  <c r="J192" i="27" s="1"/>
  <c r="H178" i="27"/>
  <c r="Y165" i="27"/>
  <c r="Z159" i="27"/>
  <c r="AE151" i="27"/>
  <c r="AE153" i="27" s="1"/>
  <c r="W151" i="27"/>
  <c r="W153" i="27" s="1"/>
  <c r="Z187" i="27"/>
  <c r="AC186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5" i="27"/>
  <c r="AG146" i="27"/>
  <c r="AG149" i="27" s="1"/>
  <c r="AG147" i="27"/>
  <c r="AG148" i="27"/>
  <c r="X149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W189" i="27"/>
  <c r="AE168" i="27"/>
  <c r="AC163" i="27"/>
  <c r="AG169" i="27"/>
  <c r="X170" i="27"/>
  <c r="AC167" i="27"/>
  <c r="AC170" i="27" s="1"/>
  <c r="AB163" i="27"/>
  <c r="G178" i="27"/>
  <c r="X147" i="27"/>
  <c r="AB186" i="27"/>
  <c r="T186" i="27"/>
  <c r="T190" i="27" s="1"/>
  <c r="H189" i="27"/>
  <c r="H192" i="27" s="1"/>
  <c r="W186" i="27" s="1"/>
  <c r="W185" i="27"/>
  <c r="J195" i="27"/>
  <c r="J196" i="27" s="1"/>
  <c r="Y188" i="27"/>
  <c r="AD169" i="27"/>
  <c r="AG160" i="27"/>
  <c r="Y160" i="27"/>
  <c r="AD157" i="27"/>
  <c r="V157" i="27"/>
  <c r="AG153" i="27"/>
  <c r="O189" i="27"/>
  <c r="O192" i="27" s="1"/>
  <c r="AD185" i="27"/>
  <c r="G189" i="27"/>
  <c r="G192" i="27" s="1"/>
  <c r="V185" i="27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W149" i="27" s="1"/>
  <c r="P195" i="27"/>
  <c r="P196" i="27" s="1"/>
  <c r="AC162" i="27"/>
  <c r="AD159" i="27"/>
  <c r="AA151" i="27"/>
  <c r="AA153" i="27" s="1"/>
  <c r="AD187" i="27"/>
  <c r="V187" i="27"/>
  <c r="M24" i="29" l="1"/>
  <c r="Z44" i="31"/>
  <c r="F24" i="29"/>
  <c r="N24" i="29"/>
  <c r="R74" i="29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Z190" i="27" s="1"/>
  <c r="W170" i="27"/>
  <c r="AB185" i="27"/>
  <c r="AB189" i="27"/>
  <c r="AE170" i="27"/>
  <c r="AC185" i="27"/>
  <c r="AC190" i="27" s="1"/>
  <c r="X160" i="27"/>
  <c r="AA187" i="27"/>
  <c r="AA186" i="27"/>
  <c r="AA190" i="27" s="1"/>
  <c r="AA189" i="27"/>
  <c r="AE186" i="27"/>
  <c r="AE190" i="27" s="1"/>
  <c r="AE187" i="27"/>
  <c r="U186" i="27"/>
  <c r="U189" i="27"/>
  <c r="AB160" i="27"/>
  <c r="AC187" i="27"/>
  <c r="AE188" i="27"/>
  <c r="V189" i="27"/>
  <c r="V188" i="27"/>
  <c r="V186" i="27"/>
  <c r="V190" i="27" s="1"/>
  <c r="V160" i="27"/>
  <c r="W188" i="27"/>
  <c r="W190" i="27" s="1"/>
  <c r="AB165" i="27"/>
  <c r="Y186" i="27"/>
  <c r="Y190" i="27" s="1"/>
  <c r="Y189" i="27"/>
  <c r="X188" i="27"/>
  <c r="AC188" i="27"/>
  <c r="X186" i="27"/>
  <c r="AE189" i="27"/>
  <c r="U185" i="27"/>
  <c r="U190" i="27" s="1"/>
  <c r="AB187" i="27"/>
  <c r="Y187" i="27"/>
  <c r="AB190" i="27" l="1"/>
  <c r="X190" i="27"/>
  <c r="K15" i="25"/>
  <c r="M15" i="25" l="1"/>
  <c r="M14" i="25"/>
  <c r="M13" i="25" l="1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E19" i="3"/>
  <c r="E18" i="3"/>
  <c r="E17" i="3"/>
  <c r="E16" i="3"/>
  <c r="E14" i="3"/>
  <c r="E15" i="3"/>
  <c r="C5" i="2"/>
  <c r="C7" i="16" s="1"/>
  <c r="C31" i="16" s="1"/>
  <c r="E23" i="3"/>
  <c r="E13" i="3"/>
  <c r="E21" i="3"/>
  <c r="E22" i="3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Z57" i="3"/>
  <c r="N9" i="14"/>
  <c r="N32" i="14" s="1"/>
  <c r="N32" i="6"/>
  <c r="N44" i="6" s="1"/>
  <c r="V40" i="3" l="1"/>
  <c r="Z23" i="3"/>
  <c r="V23" i="3"/>
  <c r="R62" i="3"/>
  <c r="R23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K9" i="30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54" i="14"/>
  <c r="M51" i="14"/>
  <c r="M20" i="9" s="1"/>
  <c r="M47" i="14"/>
  <c r="M12" i="9" s="1"/>
  <c r="M50" i="14"/>
  <c r="M46" i="14"/>
  <c r="M57" i="14"/>
  <c r="M55" i="14"/>
  <c r="M28" i="9" s="1"/>
  <c r="M45" i="14"/>
  <c r="L53" i="14"/>
  <c r="L24" i="9" s="1"/>
  <c r="L47" i="14"/>
  <c r="L12" i="9" s="1"/>
  <c r="L51" i="14"/>
  <c r="L20" i="9" s="1"/>
  <c r="L48" i="14"/>
  <c r="L56" i="14"/>
  <c r="L54" i="14"/>
  <c r="L50" i="14"/>
  <c r="L52" i="14"/>
  <c r="L49" i="14"/>
  <c r="L16" i="9" s="1"/>
  <c r="L46" i="14"/>
  <c r="L57" i="14"/>
  <c r="L55" i="14"/>
  <c r="L28" i="9" s="1"/>
  <c r="L45" i="14"/>
  <c r="K52" i="14"/>
  <c r="K48" i="14"/>
  <c r="K46" i="14"/>
  <c r="K50" i="14"/>
  <c r="K57" i="14"/>
  <c r="K55" i="14"/>
  <c r="K28" i="9" s="1"/>
  <c r="K45" i="14"/>
  <c r="K51" i="14"/>
  <c r="K20" i="9" s="1"/>
  <c r="K47" i="14"/>
  <c r="K12" i="9" s="1"/>
  <c r="K53" i="14"/>
  <c r="K24" i="9" s="1"/>
  <c r="K49" i="14"/>
  <c r="K16" i="9" s="1"/>
  <c r="K56" i="14"/>
  <c r="K54" i="14"/>
  <c r="J50" i="14"/>
  <c r="J52" i="14"/>
  <c r="J48" i="14"/>
  <c r="J46" i="14"/>
  <c r="J57" i="14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54" i="14"/>
  <c r="I52" i="14"/>
  <c r="I48" i="14"/>
  <c r="I46" i="14"/>
  <c r="I50" i="14"/>
  <c r="I56" i="14"/>
  <c r="I54" i="14"/>
  <c r="I51" i="14"/>
  <c r="I20" i="9" s="1"/>
  <c r="I47" i="14"/>
  <c r="I12" i="9" s="1"/>
  <c r="I53" i="14"/>
  <c r="I24" i="9" s="1"/>
  <c r="I49" i="14"/>
  <c r="I16" i="9" s="1"/>
  <c r="I57" i="14"/>
  <c r="I55" i="14"/>
  <c r="I28" i="9" s="1"/>
  <c r="I45" i="14"/>
  <c r="H50" i="14"/>
  <c r="H52" i="14"/>
  <c r="H48" i="14"/>
  <c r="H46" i="14"/>
  <c r="H56" i="14"/>
  <c r="H54" i="14"/>
  <c r="H53" i="14"/>
  <c r="H24" i="9" s="1"/>
  <c r="H49" i="14"/>
  <c r="H16" i="9" s="1"/>
  <c r="H51" i="14"/>
  <c r="H20" i="9" s="1"/>
  <c r="H47" i="14"/>
  <c r="H12" i="9" s="1"/>
  <c r="H57" i="14"/>
  <c r="H55" i="14"/>
  <c r="H28" i="9" s="1"/>
  <c r="H45" i="14"/>
  <c r="G51" i="14"/>
  <c r="G20" i="9" s="1"/>
  <c r="G47" i="14"/>
  <c r="G12" i="9" s="1"/>
  <c r="G53" i="14"/>
  <c r="G24" i="9" s="1"/>
  <c r="G49" i="14"/>
  <c r="G16" i="9" s="1"/>
  <c r="G57" i="14"/>
  <c r="G55" i="14"/>
  <c r="G28" i="9" s="1"/>
  <c r="G45" i="14"/>
  <c r="G52" i="14"/>
  <c r="G48" i="14"/>
  <c r="G46" i="14"/>
  <c r="G50" i="14"/>
  <c r="G56" i="14"/>
  <c r="G54" i="14"/>
  <c r="F50" i="14"/>
  <c r="F52" i="14"/>
  <c r="F48" i="14"/>
  <c r="F46" i="14"/>
  <c r="F57" i="14"/>
  <c r="F55" i="14"/>
  <c r="F28" i="9" s="1"/>
  <c r="F45" i="14"/>
  <c r="F53" i="14"/>
  <c r="F24" i="9" s="1"/>
  <c r="F49" i="14"/>
  <c r="F16" i="9" s="1"/>
  <c r="F51" i="14"/>
  <c r="F20" i="9" s="1"/>
  <c r="F47" i="14"/>
  <c r="F12" i="9" s="1"/>
  <c r="F56" i="14"/>
  <c r="F54" i="14"/>
  <c r="E53" i="14"/>
  <c r="E24" i="9" s="1"/>
  <c r="E49" i="14"/>
  <c r="E16" i="9" s="1"/>
  <c r="E52" i="14"/>
  <c r="E48" i="14"/>
  <c r="E56" i="14"/>
  <c r="E54" i="14"/>
  <c r="E51" i="14"/>
  <c r="E20" i="9" s="1"/>
  <c r="E47" i="14"/>
  <c r="E12" i="9" s="1"/>
  <c r="E50" i="14"/>
  <c r="E46" i="14"/>
  <c r="E57" i="14"/>
  <c r="E55" i="14"/>
  <c r="E28" i="9" s="1"/>
  <c r="E45" i="14"/>
  <c r="D53" i="14"/>
  <c r="D24" i="9" s="1"/>
  <c r="D51" i="14"/>
  <c r="D20" i="9" s="1"/>
  <c r="D48" i="14"/>
  <c r="D46" i="14"/>
  <c r="D57" i="14"/>
  <c r="D55" i="14"/>
  <c r="D28" i="9" s="1"/>
  <c r="D45" i="14"/>
  <c r="D52" i="14"/>
  <c r="D50" i="14"/>
  <c r="D47" i="14"/>
  <c r="D12" i="9" s="1"/>
  <c r="D49" i="14"/>
  <c r="D16" i="9" s="1"/>
  <c r="D56" i="14"/>
  <c r="D54" i="14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55" i="14"/>
  <c r="C28" i="9" s="1"/>
  <c r="C45" i="14"/>
  <c r="C56" i="14"/>
  <c r="C54" i="14"/>
  <c r="B57" i="14"/>
  <c r="B55" i="14"/>
  <c r="B28" i="9" s="1"/>
  <c r="B45" i="14"/>
  <c r="B56" i="14"/>
  <c r="B54" i="14"/>
  <c r="M28" i="2"/>
  <c r="M14" i="2" s="1"/>
  <c r="K22" i="2"/>
  <c r="N40" i="14"/>
  <c r="N37" i="14"/>
  <c r="D30" i="9" l="1"/>
  <c r="E17" i="30"/>
  <c r="F8" i="9"/>
  <c r="G9" i="30"/>
  <c r="G29" i="9"/>
  <c r="H16" i="30"/>
  <c r="L8" i="9"/>
  <c r="M9" i="30"/>
  <c r="L29" i="9"/>
  <c r="M16" i="30"/>
  <c r="M27" i="9"/>
  <c r="N13" i="30"/>
  <c r="D29" i="9"/>
  <c r="E16" i="30"/>
  <c r="G8" i="9"/>
  <c r="H9" i="30"/>
  <c r="I8" i="9"/>
  <c r="J9" i="30"/>
  <c r="I29" i="9"/>
  <c r="J16" i="30"/>
  <c r="K8" i="9"/>
  <c r="L9" i="30"/>
  <c r="M29" i="9"/>
  <c r="N16" i="30"/>
  <c r="B30" i="9"/>
  <c r="C17" i="30"/>
  <c r="D8" i="9"/>
  <c r="E9" i="30"/>
  <c r="F27" i="9"/>
  <c r="G13" i="30"/>
  <c r="F30" i="9"/>
  <c r="G17" i="30"/>
  <c r="H30" i="9"/>
  <c r="I17" i="30"/>
  <c r="J27" i="9"/>
  <c r="K13" i="30"/>
  <c r="J30" i="9"/>
  <c r="K17" i="30"/>
  <c r="L30" i="9"/>
  <c r="M17" i="30"/>
  <c r="B8" i="9"/>
  <c r="C9" i="30"/>
  <c r="C29" i="9"/>
  <c r="D16" i="30"/>
  <c r="D27" i="9"/>
  <c r="E13" i="30"/>
  <c r="E27" i="9"/>
  <c r="F13" i="30"/>
  <c r="H8" i="9"/>
  <c r="I9" i="30"/>
  <c r="H29" i="9"/>
  <c r="I16" i="30"/>
  <c r="I27" i="9"/>
  <c r="J13" i="30"/>
  <c r="K29" i="9"/>
  <c r="L16" i="30"/>
  <c r="C8" i="9"/>
  <c r="D9" i="30"/>
  <c r="E8" i="9"/>
  <c r="F9" i="30"/>
  <c r="E29" i="9"/>
  <c r="F16" i="30"/>
  <c r="M8" i="9"/>
  <c r="M9" i="9" s="1"/>
  <c r="N9" i="30"/>
  <c r="B27" i="9"/>
  <c r="C13" i="30"/>
  <c r="B29" i="9"/>
  <c r="C16" i="30"/>
  <c r="C27" i="9"/>
  <c r="D13" i="30"/>
  <c r="C30" i="9"/>
  <c r="D17" i="30"/>
  <c r="E30" i="9"/>
  <c r="F17" i="30"/>
  <c r="F29" i="9"/>
  <c r="G16" i="30"/>
  <c r="G27" i="9"/>
  <c r="H13" i="30"/>
  <c r="G30" i="9"/>
  <c r="H17" i="30"/>
  <c r="H27" i="9"/>
  <c r="I13" i="30"/>
  <c r="I30" i="9"/>
  <c r="J17" i="30"/>
  <c r="J29" i="9"/>
  <c r="K16" i="30"/>
  <c r="K27" i="9"/>
  <c r="L13" i="30"/>
  <c r="K30" i="9"/>
  <c r="L17" i="30"/>
  <c r="L27" i="9"/>
  <c r="M13" i="30"/>
  <c r="M30" i="9"/>
  <c r="N17" i="30"/>
  <c r="L26" i="2"/>
  <c r="L12" i="2" s="1"/>
  <c r="L28" i="2"/>
  <c r="L14" i="2" s="1"/>
  <c r="F22" i="2"/>
  <c r="F8" i="2" s="1"/>
  <c r="I29" i="2"/>
  <c r="I15" i="2" s="1"/>
  <c r="S45" i="3" a="1"/>
  <c r="S48" i="3" s="1"/>
  <c r="D9" i="28" s="1"/>
  <c r="D26" i="2"/>
  <c r="D12" i="2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M19" i="9"/>
  <c r="N24" i="2"/>
  <c r="M15" i="9"/>
  <c r="M17" i="9" s="1"/>
  <c r="N23" i="2"/>
  <c r="M11" i="9"/>
  <c r="N27" i="2"/>
  <c r="M23" i="9"/>
  <c r="D30" i="2"/>
  <c r="D16" i="2" s="1"/>
  <c r="M23" i="2"/>
  <c r="L11" i="9"/>
  <c r="M27" i="2"/>
  <c r="L23" i="9"/>
  <c r="L25" i="9" s="1"/>
  <c r="M25" i="2"/>
  <c r="L19" i="9"/>
  <c r="M24" i="2"/>
  <c r="L15" i="9"/>
  <c r="L17" i="9" s="1"/>
  <c r="M29" i="2"/>
  <c r="M15" i="2" s="1"/>
  <c r="L23" i="2"/>
  <c r="K11" i="9"/>
  <c r="L27" i="2"/>
  <c r="K23" i="9"/>
  <c r="L25" i="2"/>
  <c r="K19" i="9"/>
  <c r="L24" i="2"/>
  <c r="K15" i="9"/>
  <c r="K24" i="2"/>
  <c r="J15" i="9"/>
  <c r="K25" i="2"/>
  <c r="J19" i="9"/>
  <c r="K23" i="2"/>
  <c r="J11" i="9"/>
  <c r="K27" i="2"/>
  <c r="J23" i="9"/>
  <c r="J23" i="2"/>
  <c r="I11" i="9"/>
  <c r="J27" i="2"/>
  <c r="I23" i="9"/>
  <c r="J25" i="2"/>
  <c r="I19" i="9"/>
  <c r="J24" i="2"/>
  <c r="I15" i="9"/>
  <c r="J29" i="2"/>
  <c r="J15" i="2" s="1"/>
  <c r="I23" i="2"/>
  <c r="H11" i="9"/>
  <c r="I27" i="2"/>
  <c r="H23" i="9"/>
  <c r="I24" i="2"/>
  <c r="H15" i="9"/>
  <c r="I25" i="2"/>
  <c r="H19" i="9"/>
  <c r="H25" i="2"/>
  <c r="G19" i="9"/>
  <c r="H24" i="2"/>
  <c r="G15" i="9"/>
  <c r="H23" i="2"/>
  <c r="G11" i="9"/>
  <c r="H27" i="2"/>
  <c r="G23" i="9"/>
  <c r="G24" i="2"/>
  <c r="F15" i="9"/>
  <c r="G25" i="2"/>
  <c r="F19" i="9"/>
  <c r="G23" i="2"/>
  <c r="F11" i="9"/>
  <c r="G27" i="2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E19" i="9"/>
  <c r="F24" i="2"/>
  <c r="E15" i="9"/>
  <c r="F23" i="2"/>
  <c r="E11" i="9"/>
  <c r="F27" i="2"/>
  <c r="E23" i="9"/>
  <c r="E27" i="2"/>
  <c r="D23" i="9"/>
  <c r="E24" i="2"/>
  <c r="D15" i="9"/>
  <c r="E25" i="2"/>
  <c r="D19" i="9"/>
  <c r="E23" i="2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C11" i="9"/>
  <c r="D24" i="2"/>
  <c r="C15" i="9"/>
  <c r="D25" i="2"/>
  <c r="C19" i="9"/>
  <c r="D27" i="2"/>
  <c r="C23" i="9"/>
  <c r="D59" i="14"/>
  <c r="D61" i="14" s="1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E10" i="2" l="1"/>
  <c r="J11" i="2"/>
  <c r="K9" i="2"/>
  <c r="K10" i="2"/>
  <c r="L9" i="2"/>
  <c r="N10" i="2"/>
  <c r="D64" i="28"/>
  <c r="L46" i="28"/>
  <c r="M46" i="28" s="1"/>
  <c r="F12" i="30" s="1"/>
  <c r="D46" i="28"/>
  <c r="E46" i="28" s="1"/>
  <c r="H46" i="28"/>
  <c r="I46" i="28" s="1"/>
  <c r="P46" i="28"/>
  <c r="Q46" i="28" s="1"/>
  <c r="E9" i="28"/>
  <c r="W45" i="29" a="1"/>
  <c r="G11" i="2"/>
  <c r="H10" i="2"/>
  <c r="I13" i="2"/>
  <c r="M9" i="2"/>
  <c r="D11" i="2"/>
  <c r="E11" i="2"/>
  <c r="E13" i="2"/>
  <c r="F9" i="2"/>
  <c r="F10" i="30"/>
  <c r="F11" i="2"/>
  <c r="J10" i="2"/>
  <c r="J13" i="2"/>
  <c r="K13" i="2"/>
  <c r="K11" i="2"/>
  <c r="L10" i="2"/>
  <c r="L13" i="2"/>
  <c r="N9" i="2"/>
  <c r="N18" i="2" s="1"/>
  <c r="N11" i="2"/>
  <c r="W45" i="3" a="1"/>
  <c r="W52" i="3" s="1"/>
  <c r="AA28" i="29" a="1"/>
  <c r="B17" i="30"/>
  <c r="E34" i="29" s="1"/>
  <c r="D13" i="2"/>
  <c r="D18" i="2" s="1"/>
  <c r="D10" i="2"/>
  <c r="E9" i="2"/>
  <c r="F13" i="2"/>
  <c r="F14" i="30"/>
  <c r="F10" i="2"/>
  <c r="F11" i="30"/>
  <c r="J9" i="2"/>
  <c r="L11" i="2"/>
  <c r="N13" i="2"/>
  <c r="G13" i="2"/>
  <c r="H13" i="2"/>
  <c r="I11" i="2"/>
  <c r="M11" i="2"/>
  <c r="M18" i="2" s="1"/>
  <c r="B13" i="30"/>
  <c r="E30" i="29" s="1"/>
  <c r="B9" i="30"/>
  <c r="D9" i="2"/>
  <c r="G9" i="2"/>
  <c r="G10" i="2"/>
  <c r="H9" i="2"/>
  <c r="H11" i="2"/>
  <c r="I10" i="2"/>
  <c r="I9" i="2"/>
  <c r="M10" i="2"/>
  <c r="M13" i="2"/>
  <c r="B16" i="30"/>
  <c r="E33" i="29" s="1"/>
  <c r="AA45" i="29" a="1"/>
  <c r="S46" i="3"/>
  <c r="D7" i="28" s="1"/>
  <c r="S45" i="3"/>
  <c r="D6" i="28" s="1"/>
  <c r="S52" i="3"/>
  <c r="D13" i="28" s="1"/>
  <c r="S55" i="3"/>
  <c r="D16" i="28" s="1"/>
  <c r="S47" i="3"/>
  <c r="D8" i="28" s="1"/>
  <c r="S54" i="3"/>
  <c r="D15" i="28" s="1"/>
  <c r="S53" i="3"/>
  <c r="D14" i="28" s="1"/>
  <c r="S51" i="3"/>
  <c r="D12" i="28" s="1"/>
  <c r="S49" i="3"/>
  <c r="D10" i="28" s="1"/>
  <c r="S56" i="3"/>
  <c r="D17" i="28" s="1"/>
  <c r="S50" i="3"/>
  <c r="D11" i="28" s="1"/>
  <c r="W55" i="3"/>
  <c r="W51" i="3"/>
  <c r="W50" i="3"/>
  <c r="K32" i="2"/>
  <c r="I32" i="2"/>
  <c r="H18" i="2"/>
  <c r="G32" i="2"/>
  <c r="M32" i="2"/>
  <c r="L32" i="2"/>
  <c r="H32" i="2"/>
  <c r="N32" i="2"/>
  <c r="F32" i="2"/>
  <c r="J32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C8" i="2"/>
  <c r="B22" i="2"/>
  <c r="C32" i="2"/>
  <c r="B26" i="2"/>
  <c r="E30" i="3" s="1"/>
  <c r="C12" i="2"/>
  <c r="B12" i="2" s="1"/>
  <c r="F30" i="3" s="1"/>
  <c r="B27" i="2"/>
  <c r="E31" i="3" s="1"/>
  <c r="C13" i="2"/>
  <c r="C15" i="2"/>
  <c r="B15" i="2" s="1"/>
  <c r="B29" i="2"/>
  <c r="B23" i="2"/>
  <c r="E27" i="3" s="1"/>
  <c r="C9" i="2"/>
  <c r="B28" i="2"/>
  <c r="E32" i="3" s="1"/>
  <c r="C14" i="2"/>
  <c r="B14" i="2" s="1"/>
  <c r="F32" i="3" s="1"/>
  <c r="B24" i="2"/>
  <c r="E28" i="3" s="1"/>
  <c r="C10" i="2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F18" i="2" l="1"/>
  <c r="K18" i="2"/>
  <c r="I18" i="2"/>
  <c r="E18" i="2"/>
  <c r="L18" i="2"/>
  <c r="J18" i="2"/>
  <c r="G18" i="2"/>
  <c r="B10" i="2"/>
  <c r="F28" i="3" s="1"/>
  <c r="B9" i="2"/>
  <c r="F27" i="3" s="1"/>
  <c r="B13" i="2"/>
  <c r="F31" i="3" s="1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W56" i="3"/>
  <c r="W49" i="3"/>
  <c r="S48" i="29"/>
  <c r="T48" i="29" s="1"/>
  <c r="E64" i="28"/>
  <c r="F15" i="30" s="1"/>
  <c r="W47" i="3"/>
  <c r="W45" i="3"/>
  <c r="X45" i="3" s="1"/>
  <c r="W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AA53" i="29"/>
  <c r="AB53" i="29" s="1"/>
  <c r="AA45" i="29"/>
  <c r="AA55" i="29"/>
  <c r="AB55" i="29" s="1"/>
  <c r="AA49" i="29"/>
  <c r="AB49" i="29" s="1"/>
  <c r="AA51" i="29"/>
  <c r="AB51" i="29" s="1"/>
  <c r="AA46" i="29"/>
  <c r="AB46" i="29" s="1"/>
  <c r="AA54" i="29"/>
  <c r="AB54" i="29" s="1"/>
  <c r="AA48" i="29"/>
  <c r="AB48" i="29" s="1"/>
  <c r="AA56" i="29"/>
  <c r="AB56" i="29" s="1"/>
  <c r="AA52" i="29"/>
  <c r="AB52" i="29" s="1"/>
  <c r="AA50" i="29"/>
  <c r="AB50" i="29" s="1"/>
  <c r="AA47" i="29"/>
  <c r="AB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W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B11" i="2"/>
  <c r="F29" i="3" s="1"/>
  <c r="W48" i="3"/>
  <c r="W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AA39" i="29"/>
  <c r="AB39" i="29" s="1"/>
  <c r="AA28" i="29"/>
  <c r="AA36" i="29"/>
  <c r="AB36" i="29" s="1"/>
  <c r="AA34" i="29"/>
  <c r="AB34" i="29" s="1"/>
  <c r="AA29" i="29"/>
  <c r="AB29" i="29" s="1"/>
  <c r="AA32" i="29"/>
  <c r="AB32" i="29" s="1"/>
  <c r="AA31" i="29"/>
  <c r="AB31" i="29" s="1"/>
  <c r="AA35" i="29"/>
  <c r="AB35" i="29" s="1"/>
  <c r="AA38" i="29"/>
  <c r="AB38" i="29" s="1"/>
  <c r="AA33" i="29"/>
  <c r="AB33" i="29" s="1"/>
  <c r="AA30" i="29"/>
  <c r="AB30" i="29" s="1"/>
  <c r="AA37" i="29"/>
  <c r="AB37" i="29" s="1"/>
  <c r="W56" i="29"/>
  <c r="X56" i="29" s="1"/>
  <c r="W49" i="29"/>
  <c r="X49" i="29" s="1"/>
  <c r="W47" i="29"/>
  <c r="X47" i="29" s="1"/>
  <c r="W52" i="29"/>
  <c r="X52" i="29" s="1"/>
  <c r="W45" i="29"/>
  <c r="W54" i="29"/>
  <c r="X54" i="29" s="1"/>
  <c r="W53" i="29"/>
  <c r="X53" i="29" s="1"/>
  <c r="W51" i="29"/>
  <c r="X51" i="29" s="1"/>
  <c r="W48" i="29"/>
  <c r="X48" i="29" s="1"/>
  <c r="W55" i="29"/>
  <c r="X55" i="29" s="1"/>
  <c r="W46" i="29"/>
  <c r="X46" i="29" s="1"/>
  <c r="W50" i="29"/>
  <c r="X50" i="29" s="1"/>
  <c r="O46" i="14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S28" i="3" s="1" a="1"/>
  <c r="N29" i="9"/>
  <c r="P29" i="9" s="1"/>
  <c r="Q29" i="9" s="1"/>
  <c r="N11" i="9"/>
  <c r="P11" i="9" s="1"/>
  <c r="Q11" i="9" s="1"/>
  <c r="B13" i="9"/>
  <c r="N8" i="9"/>
  <c r="B9" i="9"/>
  <c r="S11" i="29" s="1" a="1"/>
  <c r="N15" i="9"/>
  <c r="P15" i="9" s="1"/>
  <c r="Q15" i="9" s="1"/>
  <c r="B17" i="9"/>
  <c r="N28" i="9"/>
  <c r="P28" i="9" s="1"/>
  <c r="Q28" i="9" s="1"/>
  <c r="B32" i="2"/>
  <c r="E26" i="3"/>
  <c r="O49" i="14"/>
  <c r="O53" i="14"/>
  <c r="H70" i="28" l="1"/>
  <c r="F19" i="30"/>
  <c r="H63" i="28"/>
  <c r="I64" i="28"/>
  <c r="S14" i="29"/>
  <c r="S22" i="29"/>
  <c r="S21" i="29"/>
  <c r="S16" i="29"/>
  <c r="S11" i="29"/>
  <c r="S12" i="29"/>
  <c r="S20" i="29"/>
  <c r="S19" i="29"/>
  <c r="S18" i="29"/>
  <c r="S17" i="29"/>
  <c r="S15" i="29"/>
  <c r="S13" i="29"/>
  <c r="S46" i="29"/>
  <c r="T46" i="29" s="1"/>
  <c r="E62" i="28"/>
  <c r="D15" i="30" s="1"/>
  <c r="S56" i="29"/>
  <c r="T56" i="29" s="1"/>
  <c r="E72" i="28"/>
  <c r="N15" i="30" s="1"/>
  <c r="S29" i="3"/>
  <c r="S32" i="3"/>
  <c r="S35" i="3"/>
  <c r="S28" i="3"/>
  <c r="S36" i="3"/>
  <c r="S31" i="3"/>
  <c r="S38" i="3"/>
  <c r="S30" i="3"/>
  <c r="S37" i="3"/>
  <c r="S34" i="3"/>
  <c r="S33" i="3"/>
  <c r="S39" i="3"/>
  <c r="W57" i="29"/>
  <c r="X45" i="29"/>
  <c r="X57" i="29" s="1"/>
  <c r="S53" i="29"/>
  <c r="T53" i="29" s="1"/>
  <c r="E69" i="28"/>
  <c r="K15" i="30" s="1"/>
  <c r="S50" i="29"/>
  <c r="T50" i="29" s="1"/>
  <c r="E66" i="28"/>
  <c r="H15" i="30" s="1"/>
  <c r="S47" i="29"/>
  <c r="T47" i="29" s="1"/>
  <c r="E63" i="28"/>
  <c r="E15" i="30" s="1"/>
  <c r="L55" i="28"/>
  <c r="M43" i="28"/>
  <c r="I72" i="28"/>
  <c r="AA57" i="29"/>
  <c r="AB45" i="29"/>
  <c r="AB57" i="29" s="1"/>
  <c r="H71" i="28"/>
  <c r="S54" i="29"/>
  <c r="T54" i="29" s="1"/>
  <c r="E70" i="28"/>
  <c r="L15" i="30" s="1"/>
  <c r="S52" i="29"/>
  <c r="T52" i="29" s="1"/>
  <c r="E68" i="28"/>
  <c r="J15" i="30" s="1"/>
  <c r="S49" i="29"/>
  <c r="T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S51" i="29"/>
  <c r="T51" i="29" s="1"/>
  <c r="E67" i="28"/>
  <c r="I15" i="30" s="1"/>
  <c r="AB28" i="29"/>
  <c r="AB40" i="29" s="1"/>
  <c r="AA40" i="29"/>
  <c r="I69" i="28"/>
  <c r="H66" i="28"/>
  <c r="H65" i="28"/>
  <c r="D55" i="28"/>
  <c r="E47" i="28"/>
  <c r="G10" i="30" s="1"/>
  <c r="H61" i="28"/>
  <c r="S45" i="29"/>
  <c r="D73" i="28"/>
  <c r="E61" i="28"/>
  <c r="N19" i="30"/>
  <c r="S55" i="29"/>
  <c r="T55" i="29" s="1"/>
  <c r="E71" i="28"/>
  <c r="M15" i="30" s="1"/>
  <c r="H67" i="28"/>
  <c r="C32" i="9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W11" i="3" a="1"/>
  <c r="W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K19" i="30" l="1"/>
  <c r="D19" i="30"/>
  <c r="L19" i="30"/>
  <c r="I70" i="28"/>
  <c r="I19" i="30"/>
  <c r="G19" i="30"/>
  <c r="E55" i="28"/>
  <c r="T13" i="29"/>
  <c r="T16" i="29"/>
  <c r="Q55" i="28"/>
  <c r="C14" i="30"/>
  <c r="T37" i="3"/>
  <c r="S37" i="29"/>
  <c r="T37" i="29" s="1"/>
  <c r="S36" i="29"/>
  <c r="T36" i="29" s="1"/>
  <c r="T36" i="3"/>
  <c r="S29" i="29"/>
  <c r="T29" i="29" s="1"/>
  <c r="T29" i="3"/>
  <c r="T15" i="29"/>
  <c r="T21" i="29"/>
  <c r="T45" i="29"/>
  <c r="T57" i="29" s="1"/>
  <c r="S57" i="29"/>
  <c r="E19" i="30"/>
  <c r="I67" i="28"/>
  <c r="I55" i="28"/>
  <c r="C11" i="30"/>
  <c r="T39" i="3"/>
  <c r="S39" i="29"/>
  <c r="T39" i="29" s="1"/>
  <c r="T30" i="3"/>
  <c r="S30" i="29"/>
  <c r="T30" i="29" s="1"/>
  <c r="S28" i="29"/>
  <c r="T28" i="3"/>
  <c r="S40" i="3"/>
  <c r="H19" i="30"/>
  <c r="T17" i="29"/>
  <c r="T12" i="29"/>
  <c r="T22" i="29"/>
  <c r="X12" i="3"/>
  <c r="W12" i="29"/>
  <c r="X12" i="29" s="1"/>
  <c r="C15" i="30"/>
  <c r="E73" i="28"/>
  <c r="I68" i="28"/>
  <c r="J19" i="30"/>
  <c r="T34" i="3"/>
  <c r="S34" i="29"/>
  <c r="T34" i="29" s="1"/>
  <c r="S31" i="29"/>
  <c r="T31" i="29" s="1"/>
  <c r="T31" i="3"/>
  <c r="S32" i="29"/>
  <c r="T32" i="29" s="1"/>
  <c r="T32" i="3"/>
  <c r="T19" i="29"/>
  <c r="AB17" i="3"/>
  <c r="AA17" i="29"/>
  <c r="AB17" i="29" s="1"/>
  <c r="I65" i="28"/>
  <c r="I61" i="28"/>
  <c r="T20" i="29"/>
  <c r="I63" i="28"/>
  <c r="B10" i="30"/>
  <c r="I66" i="28"/>
  <c r="M19" i="30"/>
  <c r="M55" i="28"/>
  <c r="C12" i="30"/>
  <c r="I62" i="28"/>
  <c r="I71" i="28"/>
  <c r="S33" i="29"/>
  <c r="T33" i="29" s="1"/>
  <c r="T33" i="3"/>
  <c r="T38" i="3"/>
  <c r="S38" i="29"/>
  <c r="T38" i="29" s="1"/>
  <c r="S35" i="29"/>
  <c r="T35" i="29" s="1"/>
  <c r="T35" i="3"/>
  <c r="T18" i="29"/>
  <c r="S23" i="29"/>
  <c r="T11" i="29"/>
  <c r="T14" i="29"/>
  <c r="S13" i="3"/>
  <c r="T13" i="3" s="1"/>
  <c r="H45" i="9"/>
  <c r="S18" i="3"/>
  <c r="T18" i="3" s="1"/>
  <c r="S17" i="3"/>
  <c r="T17" i="3" s="1"/>
  <c r="C45" i="9"/>
  <c r="S11" i="3"/>
  <c r="T11" i="3" s="1"/>
  <c r="S20" i="3"/>
  <c r="T20" i="3" s="1"/>
  <c r="S15" i="3"/>
  <c r="T15" i="3" s="1"/>
  <c r="F45" i="9"/>
  <c r="AB57" i="3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A14" i="3"/>
  <c r="AA21" i="3"/>
  <c r="AA18" i="3"/>
  <c r="AA16" i="3"/>
  <c r="AA13" i="3"/>
  <c r="AA15" i="3"/>
  <c r="AA22" i="3"/>
  <c r="AA20" i="3"/>
  <c r="AA12" i="3"/>
  <c r="W16" i="3"/>
  <c r="W11" i="3"/>
  <c r="W13" i="3"/>
  <c r="W18" i="3"/>
  <c r="W20" i="3"/>
  <c r="W22" i="3"/>
  <c r="AA19" i="3"/>
  <c r="W19" i="3"/>
  <c r="W15" i="3"/>
  <c r="W17" i="3"/>
  <c r="W14" i="3"/>
  <c r="W21" i="3"/>
  <c r="W57" i="3"/>
  <c r="W29" i="3"/>
  <c r="W39" i="3"/>
  <c r="W39" i="29" s="1"/>
  <c r="X39" i="29" s="1"/>
  <c r="W38" i="3"/>
  <c r="W32" i="3"/>
  <c r="W36" i="3"/>
  <c r="W37" i="3"/>
  <c r="W34" i="3"/>
  <c r="W33" i="3"/>
  <c r="W30" i="3"/>
  <c r="W35" i="3"/>
  <c r="W31" i="3"/>
  <c r="W28" i="3"/>
  <c r="N32" i="9"/>
  <c r="P9" i="9"/>
  <c r="Q9" i="9" s="1"/>
  <c r="Q32" i="9" s="1"/>
  <c r="B45" i="9"/>
  <c r="C19" i="30" l="1"/>
  <c r="X31" i="3"/>
  <c r="W31" i="29"/>
  <c r="X31" i="29" s="1"/>
  <c r="X34" i="3"/>
  <c r="W34" i="29"/>
  <c r="X34" i="29" s="1"/>
  <c r="X38" i="3"/>
  <c r="W38" i="29"/>
  <c r="X38" i="29" s="1"/>
  <c r="X19" i="3"/>
  <c r="W19" i="29"/>
  <c r="X18" i="3"/>
  <c r="W18" i="29"/>
  <c r="AB12" i="3"/>
  <c r="AA12" i="29"/>
  <c r="AB13" i="3"/>
  <c r="AA13" i="29"/>
  <c r="AB13" i="29" s="1"/>
  <c r="AB14" i="3"/>
  <c r="AA14" i="29"/>
  <c r="AB14" i="29" s="1"/>
  <c r="E27" i="29"/>
  <c r="X35" i="3"/>
  <c r="W35" i="29"/>
  <c r="X35" i="29" s="1"/>
  <c r="X37" i="3"/>
  <c r="W37" i="29"/>
  <c r="X37" i="29" s="1"/>
  <c r="X14" i="3"/>
  <c r="W14" i="29"/>
  <c r="AB20" i="3"/>
  <c r="AA20" i="29"/>
  <c r="AB20" i="29" s="1"/>
  <c r="T28" i="29"/>
  <c r="S40" i="29"/>
  <c r="X28" i="3"/>
  <c r="W28" i="29"/>
  <c r="X33" i="3"/>
  <c r="W33" i="29"/>
  <c r="X33" i="29" s="1"/>
  <c r="X32" i="3"/>
  <c r="W32" i="29"/>
  <c r="X32" i="29" s="1"/>
  <c r="X15" i="3"/>
  <c r="W15" i="29"/>
  <c r="X20" i="3"/>
  <c r="W20" i="29"/>
  <c r="X16" i="3"/>
  <c r="W16" i="29"/>
  <c r="AB15" i="3"/>
  <c r="T66" i="3" s="1"/>
  <c r="AA15" i="29"/>
  <c r="AB15" i="29" s="1"/>
  <c r="AB21" i="3"/>
  <c r="AA21" i="29"/>
  <c r="AB21" i="29" s="1"/>
  <c r="T40" i="29"/>
  <c r="X21" i="3"/>
  <c r="T72" i="3" s="1"/>
  <c r="W21" i="29"/>
  <c r="T23" i="29"/>
  <c r="T40" i="3"/>
  <c r="AB19" i="3"/>
  <c r="AA19" i="29"/>
  <c r="AB19" i="29" s="1"/>
  <c r="X13" i="3"/>
  <c r="W13" i="29"/>
  <c r="AB16" i="3"/>
  <c r="T67" i="3" s="1"/>
  <c r="AA16" i="29"/>
  <c r="AB16" i="29" s="1"/>
  <c r="AB11" i="3"/>
  <c r="AA11" i="29"/>
  <c r="B15" i="30"/>
  <c r="E32" i="29" s="1"/>
  <c r="B14" i="30"/>
  <c r="E31" i="29" s="1"/>
  <c r="X30" i="3"/>
  <c r="W30" i="29"/>
  <c r="X30" i="29" s="1"/>
  <c r="X36" i="3"/>
  <c r="W36" i="29"/>
  <c r="X36" i="29" s="1"/>
  <c r="X29" i="3"/>
  <c r="T63" i="3" s="1"/>
  <c r="W29" i="29"/>
  <c r="X29" i="29" s="1"/>
  <c r="X17" i="3"/>
  <c r="T68" i="3" s="1"/>
  <c r="W17" i="29"/>
  <c r="X22" i="3"/>
  <c r="W22" i="29"/>
  <c r="X11" i="3"/>
  <c r="W11" i="29"/>
  <c r="AB22" i="3"/>
  <c r="AA22" i="29"/>
  <c r="AB22" i="29" s="1"/>
  <c r="AB18" i="3"/>
  <c r="AA18" i="29"/>
  <c r="AB18" i="29" s="1"/>
  <c r="B12" i="30"/>
  <c r="E29" i="29" s="1"/>
  <c r="B11" i="30"/>
  <c r="E28" i="29" s="1"/>
  <c r="S69" i="3"/>
  <c r="T23" i="3"/>
  <c r="S23" i="3"/>
  <c r="S73" i="3"/>
  <c r="X39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T73" i="3" l="1"/>
  <c r="T64" i="3"/>
  <c r="T69" i="3"/>
  <c r="AB23" i="3"/>
  <c r="T65" i="3"/>
  <c r="T70" i="3"/>
  <c r="T62" i="3"/>
  <c r="T71" i="3"/>
  <c r="AA23" i="29"/>
  <c r="AB11" i="29"/>
  <c r="X20" i="29"/>
  <c r="T71" i="29" s="1"/>
  <c r="S71" i="29"/>
  <c r="W40" i="29"/>
  <c r="X28" i="29"/>
  <c r="X40" i="29" s="1"/>
  <c r="X14" i="29"/>
  <c r="T65" i="29" s="1"/>
  <c r="S65" i="29"/>
  <c r="B19" i="30"/>
  <c r="X23" i="3"/>
  <c r="X11" i="29"/>
  <c r="W23" i="29"/>
  <c r="S62" i="29"/>
  <c r="X17" i="29"/>
  <c r="T68" i="29" s="1"/>
  <c r="S68" i="29"/>
  <c r="AB12" i="29"/>
  <c r="T63" i="29" s="1"/>
  <c r="S63" i="29"/>
  <c r="X19" i="29"/>
  <c r="T70" i="29" s="1"/>
  <c r="S70" i="29"/>
  <c r="X13" i="29"/>
  <c r="T64" i="29" s="1"/>
  <c r="S64" i="29"/>
  <c r="X21" i="29"/>
  <c r="T72" i="29" s="1"/>
  <c r="S72" i="29"/>
  <c r="X22" i="29"/>
  <c r="T73" i="29" s="1"/>
  <c r="S73" i="29"/>
  <c r="X18" i="29"/>
  <c r="T69" i="29" s="1"/>
  <c r="S69" i="29"/>
  <c r="X16" i="29"/>
  <c r="T67" i="29" s="1"/>
  <c r="S67" i="29"/>
  <c r="X15" i="29"/>
  <c r="T66" i="29" s="1"/>
  <c r="S66" i="29"/>
  <c r="E35" i="29"/>
  <c r="X40" i="3"/>
  <c r="S74" i="3"/>
  <c r="AB23" i="29" l="1"/>
  <c r="T74" i="3"/>
  <c r="X23" i="29"/>
  <c r="T62" i="29"/>
  <c r="T74" i="29" s="1"/>
  <c r="S74" i="29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<sst xmlns="http://schemas.openxmlformats.org/spreadsheetml/2006/main" count="1154" uniqueCount="378">
  <si>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</si>
  <si>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</si>
  <si>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</si>
  <si>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</si>
  <si>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</si>
  <si>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</si>
  <si>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</si>
  <si>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</si>
  <si>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</si>
  <si>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</si>
  <si>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</si>
  <si>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</si>
  <si>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</si>
  <si>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</si>
  <si>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</si>
  <si>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</si>
  <si>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</si>
  <si>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</si>
  <si>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</si>
  <si>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</si>
  <si>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</si>
  <si>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</si>
  <si>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</si>
  <si>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</si>
  <si>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</si>
  <si>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</si>
  <si>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</si>
  <si>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</si>
  <si>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</si>
  <si>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</si>
  <si>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</si>
  <si>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</si>
  <si>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</si>
  <si>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</si>
  <si>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</si>
  <si>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</si>
  <si>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</si>
  <si>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</si>
  <si>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</si>
  <si>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</si>
  <si>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</si>
  <si>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</si>
  <si>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</si>
  <si>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</si>
  <si>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</si>
  <si>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</si>
  <si>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</si>
  <si>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</si>
  <si>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</si>
  <si>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</si>
  <si>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</si>
  <si>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</si>
  <si>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</si>
  <si>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</si>
  <si>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</si>
  <si>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</si>
  <si>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</si>
  <si>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</si>
  <si>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</si>
  <si>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</si>
  <si>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</si>
  <si>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</si>
  <si>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</si>
  <si>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</si>
  <si>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</si>
  <si>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</si>
  <si>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</si>
  <si>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</si>
  <si>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</si>
  <si>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</si>
  <si>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</si>
  <si>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</si>
  <si>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</si>
  <si>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</si>
  <si>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</si>
  <si>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</si>
  <si>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</si>
  <si>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</si>
  <si>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</si>
  <si>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</si>
  <si>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</si>
  <si>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</si>
  <si>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</si>
  <si>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</si>
  <si>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</si>
  <si>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</si>
  <si>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</si>
  <si>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</si>
  <si>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</si>
  <si>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</si>
  <si>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</si>
  <si>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</si>
  <si>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</si>
  <si>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</si>
  <si>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</si>
  <si>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</si>
  <si>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</si>
  <si>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</si>
  <si>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</si>
  <si>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</si>
  <si>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</si>
  <si>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</si>
  <si>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</si>
  <si>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</si>
  <si>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</si>
  <si>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</si>
  <si>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</si>
  <si>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</si>
  <si>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</si>
  <si>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</si>
  <si>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</si>
  <si>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</si>
  <si>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</si>
  <si>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</si>
  <si>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</si>
  <si>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</si>
  <si>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</si>
  <si>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</si>
  <si>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</si>
  <si>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</si>
  <si>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</si>
  <si>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</si>
  <si>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</si>
  <si>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</si>
  <si>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</si>
  <si>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</si>
  <si>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</si>
  <si>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</si>
  <si>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</si>
  <si>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</si>
  <si>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</si>
  <si>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</si>
  <si>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</si>
  <si>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</si>
  <si>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</si>
  <si>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</si>
  <si>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</si>
  <si>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</si>
  <si>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</si>
  <si>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</si>
  <si>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</si>
  <si>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</si>
  <si>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</si>
  <si>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</si>
  <si>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</si>
  <si>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</si>
  <si>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</si>
  <si>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</si>
  <si>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</si>
  <si>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</si>
  <si>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</si>
  <si>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Actual Rates in Effect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</si>
  <si>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</si>
  <si>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</si>
  <si>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</si>
  <si>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</si>
  <si>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</si>
  <si>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</si>
  <si>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</si>
  <si>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</si>
  <si>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</si>
  <si>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</si>
  <si>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</si>
  <si>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</si>
  <si>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</si>
  <si>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</si>
  <si>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</si>
  <si>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</si>
  <si>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</si>
  <si>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</si>
  <si>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</si>
  <si>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</si>
  <si>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</si>
  <si>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</si>
  <si>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</si>
  <si>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</si>
  <si>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</si>
  <si>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</si>
  <si>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</si>
  <si>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</si>
  <si>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</si>
  <si>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</si>
  <si>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</si>
  <si>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Effective December 19, 2017
New Variable PCA Rates Only
(Decoupling Covers Fixed Production &amp; Margin Revenue)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</si>
  <si>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</si>
  <si>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</si>
  <si>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</si>
  <si>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</si>
  <si>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</si>
  <si>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</si>
  <si>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</si>
  <si>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</si>
  <si>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</si>
  <si>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</si>
  <si>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</si>
  <si>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</si>
  <si>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</si>
  <si>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</si>
  <si>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</si>
  <si>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</si>
  <si>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Cardinal Glass</t>
  </si>
  <si>
    <t>Costco</t>
  </si>
  <si>
    <t>Kroger</t>
  </si>
  <si>
    <t>Mikron</t>
  </si>
  <si>
    <t>MS Bravern</t>
  </si>
  <si>
    <t>MS-SC</t>
  </si>
  <si>
    <t>MS East</t>
  </si>
  <si>
    <t>MS Redwest</t>
  </si>
  <si>
    <t>MS West</t>
  </si>
  <si>
    <t>Muckleshoot</t>
  </si>
  <si>
    <t>Overlake Hosp</t>
  </si>
  <si>
    <t>Valley Med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</si>
  <si>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</si>
  <si>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</si>
  <si>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</si>
  <si>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</si>
  <si>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</si>
  <si>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</si>
  <si>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</si>
  <si>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Micron</t>
  </si>
  <si>
    <t>Overlake Hospital</t>
  </si>
  <si>
    <t>Microsoft Bravern</t>
  </si>
  <si>
    <t>Special Contract</t>
  </si>
  <si>
    <t>Microsoft</t>
  </si>
  <si>
    <t>SC</t>
  </si>
  <si>
    <t>Microsoft East</t>
  </si>
  <si>
    <t>Microsoft Redmond</t>
  </si>
  <si>
    <t>Microsoft West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</si>
  <si>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</si>
  <si>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</si>
  <si>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</si>
  <si>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</si>
  <si>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</si>
  <si>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</si>
  <si>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</si>
  <si>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</si>
  <si>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</si>
  <si>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</si>
  <si>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</si>
  <si>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</si>
  <si>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</si>
  <si>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</si>
  <si>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5000296047</t>
  </si>
  <si>
    <t>5000468151</t>
  </si>
  <si>
    <t>5000468119</t>
  </si>
  <si>
    <t>5001747635</t>
  </si>
  <si>
    <t>5001132725</t>
  </si>
  <si>
    <t>5000200686</t>
  </si>
  <si>
    <t>5000377916</t>
  </si>
  <si>
    <t>5001237399</t>
  </si>
  <si>
    <t>5000101339</t>
  </si>
  <si>
    <t>5000620744</t>
  </si>
  <si>
    <t>5001417684</t>
  </si>
  <si>
    <t>5001963903</t>
  </si>
  <si>
    <t>5000179817</t>
  </si>
  <si>
    <t>5001354218</t>
  </si>
  <si>
    <t>5001362140</t>
  </si>
  <si>
    <t>5000274227</t>
  </si>
  <si>
    <t>5000206035</t>
  </si>
  <si>
    <t>5001310137</t>
  </si>
  <si>
    <t>5000196589</t>
  </si>
  <si>
    <t>5000284457</t>
  </si>
  <si>
    <t>5000864119</t>
  </si>
  <si>
    <t>5000396163</t>
  </si>
  <si>
    <t>5000730505</t>
  </si>
  <si>
    <t>5001660046</t>
  </si>
  <si>
    <t>5001143770</t>
  </si>
  <si>
    <t>5000166452</t>
  </si>
  <si>
    <t>5000411041</t>
  </si>
  <si>
    <t>5001002228</t>
  </si>
  <si>
    <t>5001378855/5001378870</t>
  </si>
  <si>
    <t>5000178203</t>
  </si>
  <si>
    <t>5001351280</t>
  </si>
  <si>
    <t>5001110502/'5001110516</t>
  </si>
  <si>
    <t>5000992774</t>
  </si>
  <si>
    <t>5001016260</t>
  </si>
  <si>
    <t>5000553206</t>
  </si>
  <si>
    <t>5001499814</t>
  </si>
  <si>
    <t>5000318259</t>
  </si>
  <si>
    <t>5001348143</t>
  </si>
  <si>
    <t>5001927491</t>
  </si>
  <si>
    <t>5001298299</t>
  </si>
  <si>
    <t>5001391549</t>
  </si>
  <si>
    <t>5000705539</t>
  </si>
  <si>
    <t>5001153674/5001153691</t>
  </si>
  <si>
    <t>5001484009</t>
  </si>
  <si>
    <t>5001133981</t>
  </si>
  <si>
    <t>5000831131</t>
  </si>
  <si>
    <t>5001573217</t>
  </si>
  <si>
    <t>5001599880</t>
  </si>
  <si>
    <t>5001296778</t>
  </si>
  <si>
    <t>5000583480</t>
  </si>
  <si>
    <t>5001848626</t>
  </si>
  <si>
    <t>5000152461/5000152486</t>
  </si>
  <si>
    <t>5000669999</t>
  </si>
  <si>
    <t>5000299186</t>
  </si>
  <si>
    <t>5000987693</t>
  </si>
  <si>
    <t>5001076174</t>
  </si>
  <si>
    <t>5000167910</t>
  </si>
  <si>
    <t>5000307835</t>
  </si>
  <si>
    <t>5000131331</t>
  </si>
  <si>
    <t>5002017402</t>
  </si>
  <si>
    <t>5001358892</t>
  </si>
  <si>
    <t>5000642773</t>
  </si>
  <si>
    <t>5001783381</t>
  </si>
  <si>
    <t>5000129099</t>
  </si>
  <si>
    <t>5001214126</t>
  </si>
  <si>
    <t>5001415464</t>
  </si>
  <si>
    <t>5001709284/5001709652</t>
  </si>
  <si>
    <t>5001916305</t>
  </si>
  <si>
    <t>5001563608/5001563621</t>
  </si>
  <si>
    <t>5000852381</t>
  </si>
  <si>
    <t>5001889278</t>
  </si>
  <si>
    <t>5000162477</t>
  </si>
  <si>
    <t>5000162461</t>
  </si>
  <si>
    <t>5001862360</t>
  </si>
  <si>
    <t>5001892348</t>
  </si>
  <si>
    <t>5000053566</t>
  </si>
  <si>
    <t>5001191735</t>
  </si>
  <si>
    <t>5001101700</t>
  </si>
  <si>
    <t>5000946448</t>
  </si>
  <si>
    <t>5001767560</t>
  </si>
  <si>
    <t>5000797227</t>
  </si>
  <si>
    <t>5001669883</t>
  </si>
  <si>
    <t>5001781050</t>
  </si>
  <si>
    <t>5000475708</t>
  </si>
  <si>
    <t>5000355499/5000355803</t>
  </si>
  <si>
    <t>5000354843</t>
  </si>
  <si>
    <t>5001798580/5001798900</t>
  </si>
  <si>
    <t>5001983523</t>
  </si>
  <si>
    <t>5000119351</t>
  </si>
  <si>
    <t>5000351978</t>
  </si>
  <si>
    <t>5001212433</t>
  </si>
  <si>
    <t>5001240479</t>
  </si>
  <si>
    <t>5000302333</t>
  </si>
  <si>
    <t>5001684162</t>
  </si>
  <si>
    <t>5001111622</t>
  </si>
  <si>
    <t>5000662505</t>
  </si>
  <si>
    <t>5001951938</t>
  </si>
  <si>
    <t>5001314360</t>
  </si>
  <si>
    <t>5001657684</t>
  </si>
  <si>
    <t>5001899587</t>
  </si>
  <si>
    <t>5001399978</t>
  </si>
  <si>
    <t>5000193894</t>
  </si>
  <si>
    <t>5000871955</t>
  </si>
  <si>
    <t>5000985183</t>
  </si>
  <si>
    <t>5001607874</t>
  </si>
  <si>
    <t>5001207408</t>
  </si>
  <si>
    <t>5000530096</t>
  </si>
  <si>
    <t>5001726444</t>
  </si>
  <si>
    <t>5000424043</t>
  </si>
  <si>
    <t>5001118820</t>
  </si>
  <si>
    <t>5002046179</t>
  </si>
  <si>
    <t>5000493066</t>
  </si>
  <si>
    <t>5000291155</t>
  </si>
  <si>
    <t>5001450171</t>
  </si>
  <si>
    <t>5001093413/5001093453</t>
  </si>
  <si>
    <t>5001858028</t>
  </si>
  <si>
    <t>5000694825</t>
  </si>
  <si>
    <t>5001238405</t>
  </si>
  <si>
    <t>5001740400</t>
  </si>
  <si>
    <t>5001919765</t>
  </si>
  <si>
    <t>5000152924</t>
  </si>
  <si>
    <t>5001404914</t>
  </si>
  <si>
    <t>5001496164</t>
  </si>
  <si>
    <t>5000378738</t>
  </si>
  <si>
    <t>5001828112</t>
  </si>
  <si>
    <t>5001151276</t>
  </si>
  <si>
    <t>5001111499</t>
  </si>
  <si>
    <t>5001608653</t>
  </si>
  <si>
    <t>5001691770</t>
  </si>
  <si>
    <t>5001841393</t>
  </si>
  <si>
    <t>5000321155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</si>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</sst>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8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8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9" applyNumberFormat="0" applyAlignment="0" applyProtection="0"/>
    <xf numFmtId="0" fontId="66" fillId="66" borderId="39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8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4">
      <alignment horizontal="center" vertical="center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0" fontId="87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7" borderId="47"/>
    <xf numFmtId="41" fontId="6" fillId="77" borderId="47"/>
    <xf numFmtId="166" fontId="58" fillId="0" borderId="0">
      <alignment horizontal="left" wrapText="1"/>
    </xf>
    <xf numFmtId="0" fontId="5" fillId="0" borderId="0"/>
    <xf numFmtId="41" fontId="6" fillId="77" borderId="47"/>
    <xf numFmtId="41" fontId="6" fillId="77" borderId="47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4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8"/>
    <xf numFmtId="0" fontId="112" fillId="8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56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54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9" applyNumberFormat="0" applyFill="0" applyAlignment="0" applyProtection="0"/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60"/>
    <xf numFmtId="0" fontId="76" fillId="0" borderId="6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61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41" fontId="6" fillId="23" borderId="0"/>
    <xf numFmtId="0" fontId="29" fillId="0" borderId="0"/>
    <xf numFmtId="0" fontId="67" fillId="67" borderId="39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6" fillId="66" borderId="39" applyNumberFormat="0" applyAlignment="0" applyProtection="0"/>
    <xf numFmtId="0" fontId="29" fillId="0" borderId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6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40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63">
      <alignment vertical="top"/>
    </xf>
    <xf numFmtId="205" fontId="25" fillId="0" borderId="0" applyBorder="0">
      <alignment horizontal="right"/>
    </xf>
    <xf numFmtId="205" fontId="25" fillId="0" borderId="34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6" fillId="0" borderId="0"/>
    <xf numFmtId="0" fontId="163" fillId="0" borderId="42" applyNumberFormat="0" applyFill="0" applyAlignment="0" applyProtection="0"/>
    <xf numFmtId="0" fontId="90" fillId="0" borderId="42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163" fillId="0" borderId="42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41" applyNumberFormat="0" applyFill="0" applyAlignment="0" applyProtection="0"/>
    <xf numFmtId="0" fontId="29" fillId="0" borderId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29" fillId="0" borderId="0"/>
    <xf numFmtId="0" fontId="135" fillId="0" borderId="0"/>
    <xf numFmtId="0" fontId="163" fillId="0" borderId="42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41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44" applyNumberFormat="0" applyFill="0" applyAlignment="0" applyProtection="0"/>
    <xf numFmtId="0" fontId="6" fillId="0" borderId="0"/>
    <xf numFmtId="0" fontId="164" fillId="0" borderId="44" applyNumberFormat="0" applyFill="0" applyAlignment="0" applyProtection="0"/>
    <xf numFmtId="0" fontId="94" fillId="0" borderId="44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164" fillId="0" borderId="44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43" applyNumberFormat="0" applyFill="0" applyAlignment="0" applyProtection="0"/>
    <xf numFmtId="0" fontId="29" fillId="0" borderId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164" fillId="0" borderId="44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43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29" fillId="0" borderId="0"/>
    <xf numFmtId="0" fontId="6" fillId="0" borderId="0"/>
    <xf numFmtId="0" fontId="96" fillId="0" borderId="64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29" fillId="0" borderId="0"/>
    <xf numFmtId="0" fontId="6" fillId="0" borderId="0"/>
    <xf numFmtId="0" fontId="165" fillId="0" borderId="46" applyNumberFormat="0" applyFill="0" applyAlignment="0" applyProtection="0"/>
    <xf numFmtId="0" fontId="29" fillId="0" borderId="0"/>
    <xf numFmtId="0" fontId="96" fillId="0" borderId="46" applyNumberFormat="0" applyFill="0" applyAlignment="0" applyProtection="0"/>
    <xf numFmtId="0" fontId="29" fillId="0" borderId="0"/>
    <xf numFmtId="0" fontId="29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38" fillId="0" borderId="5" applyNumberFormat="0" applyFill="0" applyAlignment="0" applyProtection="0"/>
    <xf numFmtId="0" fontId="166" fillId="0" borderId="6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4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9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7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50" applyNumberFormat="0" applyFill="0" applyAlignment="0" applyProtection="0"/>
    <xf numFmtId="0" fontId="29" fillId="0" borderId="0"/>
    <xf numFmtId="0" fontId="6" fillId="0" borderId="0"/>
    <xf numFmtId="0" fontId="101" fillId="0" borderId="49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29" fillId="0" borderId="0"/>
    <xf numFmtId="0" fontId="6" fillId="0" borderId="0"/>
    <xf numFmtId="0" fontId="171" fillId="0" borderId="50" applyNumberFormat="0" applyFill="0" applyAlignment="0" applyProtection="0"/>
    <xf numFmtId="0" fontId="29" fillId="0" borderId="0"/>
    <xf numFmtId="0" fontId="45" fillId="0" borderId="50" applyNumberFormat="0" applyFill="0" applyAlignment="0" applyProtection="0"/>
    <xf numFmtId="0" fontId="29" fillId="0" borderId="0"/>
    <xf numFmtId="0" fontId="29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40" fillId="0" borderId="7" applyNumberFormat="0" applyFill="0" applyAlignment="0" applyProtection="0"/>
    <xf numFmtId="0" fontId="172" fillId="0" borderId="66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9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99" borderId="67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" fillId="76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107" fillId="67" borderId="52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52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52" applyNumberFormat="0" applyAlignment="0" applyProtection="0"/>
    <xf numFmtId="0" fontId="4" fillId="0" borderId="0"/>
    <xf numFmtId="0" fontId="107" fillId="66" borderId="52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9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0" fontId="4" fillId="0" borderId="0"/>
    <xf numFmtId="0" fontId="47" fillId="0" borderId="34">
      <alignment horizontal="center"/>
    </xf>
    <xf numFmtId="0" fontId="47" fillId="0" borderId="34">
      <alignment horizontal="center"/>
    </xf>
    <xf numFmtId="0" fontId="47" fillId="0" borderId="34">
      <alignment horizontal="center"/>
    </xf>
    <xf numFmtId="0" fontId="6" fillId="0" borderId="0"/>
    <xf numFmtId="0" fontId="4" fillId="0" borderId="0"/>
    <xf numFmtId="0" fontId="47" fillId="0" borderId="34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8"/>
    <xf numFmtId="0" fontId="112" fillId="80" borderId="53"/>
    <xf numFmtId="0" fontId="112" fillId="80" borderId="53"/>
    <xf numFmtId="0" fontId="113" fillId="79" borderId="54"/>
    <xf numFmtId="0" fontId="113" fillId="79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9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70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71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72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44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7" applyNumberForma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60"/>
    <xf numFmtId="0" fontId="4" fillId="0" borderId="0"/>
    <xf numFmtId="0" fontId="76" fillId="0" borderId="60"/>
    <xf numFmtId="205" fontId="25" fillId="0" borderId="73"/>
    <xf numFmtId="212" fontId="145" fillId="0" borderId="73" applyAlignment="0"/>
    <xf numFmtId="213" fontId="145" fillId="0" borderId="73" applyAlignment="0"/>
    <xf numFmtId="218" fontId="145" fillId="0" borderId="73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483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5" xfId="0" applyFill="1" applyBorder="1"/>
    <xf numFmtId="0" fontId="0" fillId="0" borderId="13" xfId="0" applyFill="1" applyBorder="1"/>
    <xf numFmtId="0" fontId="0" fillId="0" borderId="16" xfId="0" applyFill="1" applyBorder="1"/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168" fontId="6" fillId="0" borderId="0" xfId="30" applyNumberFormat="1" applyFill="1" applyBorder="1"/>
    <xf numFmtId="168" fontId="6" fillId="0" borderId="18" xfId="30" applyNumberFormat="1" applyFill="1" applyBorder="1"/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0" fontId="0" fillId="0" borderId="17" xfId="0" quotePrefix="1" applyFill="1" applyBorder="1" applyAlignment="1">
      <alignment horizontal="left"/>
    </xf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164" fontId="23" fillId="0" borderId="0" xfId="0" applyNumberFormat="1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0" fontId="23" fillId="0" borderId="0" xfId="53" applyNumberFormat="1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164" fontId="10" fillId="0" borderId="0" xfId="0" applyNumberFormat="1" applyFont="1"/>
    <xf numFmtId="1" fontId="52" fillId="0" borderId="0" xfId="0" applyNumberFormat="1" applyFont="1"/>
    <xf numFmtId="164" fontId="52" fillId="0" borderId="0" xfId="0" applyNumberFormat="1" applyFont="1"/>
    <xf numFmtId="0" fontId="52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0" fillId="0" borderId="0" xfId="0" applyFill="1" applyAlignment="1">
      <alignment horizontal="center" wrapText="1"/>
    </xf>
    <xf numFmtId="0" fontId="56" fillId="0" borderId="0" xfId="0" quotePrefix="1" applyFont="1" applyAlignment="1">
      <alignment horizontal="left"/>
    </xf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0" fontId="0" fillId="0" borderId="37" xfId="0" quotePrefix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 wrapText="1"/>
    </xf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0" xfId="0" applyNumberFormat="1" applyBorder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67" fontId="52" fillId="0" borderId="0" xfId="53" applyNumberFormat="1" applyFont="1"/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169" fontId="0" fillId="114" borderId="35" xfId="30" applyNumberFormat="1" applyFont="1" applyFill="1" applyBorder="1"/>
    <xf numFmtId="169" fontId="0" fillId="114" borderId="37" xfId="30" applyNumberFormat="1" applyFont="1" applyFill="1" applyBorder="1"/>
    <xf numFmtId="169" fontId="0" fillId="114" borderId="30" xfId="30" applyNumberFormat="1" applyFont="1" applyFill="1" applyBorder="1"/>
    <xf numFmtId="169" fontId="0" fillId="114" borderId="0" xfId="3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42" fontId="10" fillId="0" borderId="20" xfId="30" applyNumberFormat="1" applyFont="1" applyFill="1" applyBorder="1"/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169" fontId="0" fillId="114" borderId="36" xfId="30" applyNumberFormat="1" applyFont="1" applyFill="1" applyBorder="1"/>
    <xf numFmtId="169" fontId="0" fillId="114" borderId="31" xfId="30" applyNumberFormat="1" applyFon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135" fillId="0" borderId="0" xfId="42570"/>
    <xf numFmtId="0" fontId="135" fillId="0" borderId="0" xfId="42570" applyAlignment="1">
      <alignment horizontal="center"/>
    </xf>
    <xf numFmtId="1" fontId="135" fillId="0" borderId="0" xfId="42570" applyNumberFormat="1" applyAlignment="1">
      <alignment horizontal="center"/>
    </xf>
    <xf numFmtId="41" fontId="135" fillId="0" borderId="0" xfId="42570" applyNumberFormat="1"/>
    <xf numFmtId="0" fontId="199" fillId="0" borderId="0" xfId="42570" applyFont="1"/>
    <xf numFmtId="0" fontId="201" fillId="0" borderId="0" xfId="42570" applyFont="1" applyAlignment="1">
      <alignment horizontal="center"/>
    </xf>
    <xf numFmtId="0" fontId="201" fillId="0" borderId="0" xfId="42570" applyFont="1" applyAlignment="1">
      <alignment horizontal="center" wrapText="1"/>
    </xf>
    <xf numFmtId="167" fontId="135" fillId="0" borderId="0" xfId="42570" applyNumberFormat="1"/>
    <xf numFmtId="0" fontId="135" fillId="0" borderId="20" xfId="42570" applyBorder="1"/>
    <xf numFmtId="0" fontId="135" fillId="0" borderId="20" xfId="42570" applyBorder="1" applyAlignment="1">
      <alignment horizontal="center"/>
    </xf>
    <xf numFmtId="41" fontId="135" fillId="0" borderId="20" xfId="42570" applyNumberFormat="1" applyBorder="1"/>
    <xf numFmtId="167" fontId="135" fillId="0" borderId="20" xfId="42570" applyNumberFormat="1" applyBorder="1"/>
    <xf numFmtId="0" fontId="135" fillId="0" borderId="0" xfId="42570" applyBorder="1"/>
    <xf numFmtId="0" fontId="135" fillId="0" borderId="0" xfId="42570" applyBorder="1" applyAlignment="1">
      <alignment horizontal="center"/>
    </xf>
    <xf numFmtId="3" fontId="135" fillId="0" borderId="0" xfId="42570" applyNumberFormat="1"/>
    <xf numFmtId="3" fontId="135" fillId="0" borderId="20" xfId="42570" applyNumberFormat="1" applyBorder="1"/>
    <xf numFmtId="3" fontId="135" fillId="0" borderId="0" xfId="42570" applyNumberFormat="1" applyBorder="1"/>
    <xf numFmtId="9" fontId="135" fillId="0" borderId="0" xfId="42570" applyNumberFormat="1"/>
    <xf numFmtId="0" fontId="200" fillId="0" borderId="0" xfId="42570" applyFont="1" applyAlignment="1">
      <alignment horizontal="center"/>
    </xf>
    <xf numFmtId="167" fontId="0" fillId="0" borderId="0" xfId="42571" applyNumberFormat="1" applyFont="1"/>
    <xf numFmtId="167" fontId="0" fillId="0" borderId="20" xfId="42571" applyNumberFormat="1" applyFont="1" applyBorder="1"/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3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202" fillId="115" borderId="0" xfId="49" applyNumberFormat="1" applyFont="1" applyFill="1" applyBorder="1"/>
    <xf numFmtId="167" fontId="12" fillId="115" borderId="18" xfId="53" applyNumberFormat="1" applyFont="1" applyFill="1" applyBorder="1"/>
    <xf numFmtId="0" fontId="202" fillId="115" borderId="0" xfId="48" applyFont="1" applyFill="1" applyBorder="1"/>
    <xf numFmtId="0" fontId="12" fillId="115" borderId="0" xfId="48" applyFont="1" applyFill="1" applyBorder="1"/>
    <xf numFmtId="3" fontId="202" fillId="115" borderId="0" xfId="48" applyNumberFormat="1" applyFont="1" applyFill="1" applyBorder="1"/>
    <xf numFmtId="3" fontId="205" fillId="115" borderId="0" xfId="48" applyNumberFormat="1" applyFont="1" applyFill="1" applyBorder="1"/>
    <xf numFmtId="3" fontId="205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4" fillId="115" borderId="0" xfId="48" quotePrefix="1" applyFont="1" applyFill="1" applyBorder="1" applyAlignment="1"/>
    <xf numFmtId="0" fontId="204" fillId="115" borderId="0" xfId="48" applyFont="1" applyFill="1" applyBorder="1" applyAlignment="1">
      <alignment wrapText="1"/>
    </xf>
    <xf numFmtId="0" fontId="204" fillId="115" borderId="13" xfId="48" applyFont="1" applyFill="1" applyBorder="1" applyAlignment="1">
      <alignment horizontal="left" wrapText="1"/>
    </xf>
    <xf numFmtId="0" fontId="202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202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4" fillId="115" borderId="17" xfId="48" applyFont="1" applyFill="1" applyBorder="1" applyAlignment="1">
      <alignment horizontal="left" wrapText="1"/>
    </xf>
    <xf numFmtId="0" fontId="204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18" xfId="0" quotePrefix="1" applyFill="1" applyBorder="1" applyAlignment="1">
      <alignment horizontal="left"/>
    </xf>
    <xf numFmtId="0" fontId="11" fillId="0" borderId="35" xfId="36221" quotePrefix="1" applyFont="1" applyFill="1" applyBorder="1" applyAlignment="1">
      <alignment horizontal="center" vertical="center" wrapText="1"/>
    </xf>
    <xf numFmtId="0" fontId="11" fillId="0" borderId="37" xfId="36221" quotePrefix="1" applyFont="1" applyFill="1" applyBorder="1" applyAlignment="1">
      <alignment horizontal="center" vertical="center" wrapText="1"/>
    </xf>
    <xf numFmtId="0" fontId="11" fillId="0" borderId="36" xfId="36221" quotePrefix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9" fillId="0" borderId="0" xfId="42570" applyFont="1" applyAlignment="1">
      <alignment horizontal="center"/>
    </xf>
    <xf numFmtId="0" fontId="200" fillId="0" borderId="24" xfId="42570" applyFont="1" applyBorder="1" applyAlignment="1">
      <alignment horizontal="center"/>
    </xf>
    <xf numFmtId="0" fontId="200" fillId="0" borderId="22" xfId="42570" applyFont="1" applyBorder="1" applyAlignment="1">
      <alignment horizontal="center"/>
    </xf>
    <xf numFmtId="0" fontId="200" fillId="0" borderId="25" xfId="42570" applyFont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"/>
  <sheetViews>
    <sheetView tabSelected="1" zoomScaleNormal="100" workbookViewId="0">
      <selection activeCell="L48" sqref="L48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20" width="15.5703125" customWidth="1"/>
    <col min="23" max="23" width="1.7109375" customWidth="1"/>
    <col min="24" max="24" width="12.140625" bestFit="1" customWidth="1"/>
    <col min="25" max="25" width="11.7109375" bestFit="1" customWidth="1"/>
    <col min="26" max="26" width="9.28515625" bestFit="1" customWidth="1"/>
    <col min="27" max="27" width="1.85546875" customWidth="1"/>
    <col min="28" max="29" width="11" bestFit="1" customWidth="1"/>
    <col min="30" max="30" width="7.7109375" bestFit="1" customWidth="1"/>
    <col min="31" max="31" width="1.85546875" customWidth="1"/>
    <col min="32" max="32" width="10.5703125" bestFit="1" customWidth="1"/>
    <col min="33" max="33" width="10.28515625" bestFit="1" customWidth="1"/>
    <col min="34" max="34" width="7.7109375" bestFit="1" customWidth="1"/>
  </cols>
  <sheetData>
    <row r="1" spans="1:14">
      <c r="A1" s="457" t="s">
        <v>241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</row>
    <row r="2" spans="1:14">
      <c r="A2" s="459" t="s">
        <v>189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</row>
    <row r="4" spans="1:14">
      <c r="A4" s="434"/>
      <c r="B4" s="460"/>
      <c r="C4" s="460"/>
      <c r="D4" s="460"/>
      <c r="E4" s="460"/>
      <c r="F4" s="460"/>
      <c r="G4" s="460"/>
      <c r="H4" s="460"/>
      <c r="I4" s="435"/>
      <c r="J4" s="435"/>
      <c r="K4" s="435"/>
      <c r="L4" s="435"/>
      <c r="M4" s="436"/>
      <c r="N4" s="437"/>
    </row>
    <row r="5" spans="1:14" ht="33.75">
      <c r="A5" s="438"/>
      <c r="B5" s="439">
        <v>2008</v>
      </c>
      <c r="C5" s="439">
        <v>2009</v>
      </c>
      <c r="D5" s="439">
        <v>2010</v>
      </c>
      <c r="E5" s="439">
        <v>2011</v>
      </c>
      <c r="F5" s="439">
        <v>2012</v>
      </c>
      <c r="G5" s="439">
        <v>2013</v>
      </c>
      <c r="H5" s="439">
        <v>2014</v>
      </c>
      <c r="I5" s="439">
        <v>2015</v>
      </c>
      <c r="J5" s="439">
        <v>2016</v>
      </c>
      <c r="K5" s="439">
        <v>2017</v>
      </c>
      <c r="L5" s="439">
        <v>2018</v>
      </c>
      <c r="M5" s="440" t="s">
        <v>117</v>
      </c>
      <c r="N5" s="441" t="s">
        <v>188</v>
      </c>
    </row>
    <row r="6" spans="1:14">
      <c r="A6" s="438" t="s">
        <v>89</v>
      </c>
      <c r="B6" s="442">
        <v>819.58333333333326</v>
      </c>
      <c r="C6" s="442">
        <v>812.5</v>
      </c>
      <c r="D6" s="442">
        <v>561.95833333333326</v>
      </c>
      <c r="E6" s="442">
        <v>716.33333333333303</v>
      </c>
      <c r="F6" s="442">
        <v>778</v>
      </c>
      <c r="G6" s="442">
        <v>828</v>
      </c>
      <c r="H6" s="442">
        <v>666.12490000000003</v>
      </c>
      <c r="I6" s="442">
        <v>629.33349999999996</v>
      </c>
      <c r="J6" s="443">
        <v>664.25019999999995</v>
      </c>
      <c r="K6" s="443">
        <v>845.54160000000002</v>
      </c>
      <c r="L6" s="443">
        <v>628.70833333333303</v>
      </c>
      <c r="M6" s="444">
        <v>723.21388888888896</v>
      </c>
      <c r="N6" s="445">
        <v>-0.13067442012313912</v>
      </c>
    </row>
    <row r="7" spans="1:14">
      <c r="A7" s="438" t="s">
        <v>90</v>
      </c>
      <c r="B7" s="442">
        <v>629.83333333333337</v>
      </c>
      <c r="C7" s="442">
        <v>659.625</v>
      </c>
      <c r="D7" s="442">
        <v>515</v>
      </c>
      <c r="E7" s="442">
        <v>725.95833333333348</v>
      </c>
      <c r="F7" s="442">
        <v>629</v>
      </c>
      <c r="G7" s="442">
        <v>581</v>
      </c>
      <c r="H7" s="442">
        <v>656.58320000000003</v>
      </c>
      <c r="I7" s="442">
        <v>456.58359999999993</v>
      </c>
      <c r="J7" s="443">
        <v>516.16650000000004</v>
      </c>
      <c r="K7" s="443">
        <v>671.95839999999998</v>
      </c>
      <c r="L7" s="443">
        <v>672.58333333333303</v>
      </c>
      <c r="M7" s="444">
        <v>616.98611111111097</v>
      </c>
      <c r="N7" s="445">
        <v>9.0110978547148779E-2</v>
      </c>
    </row>
    <row r="8" spans="1:14">
      <c r="A8" s="438" t="s">
        <v>91</v>
      </c>
      <c r="B8" s="442">
        <v>693.54166666666663</v>
      </c>
      <c r="C8" s="442">
        <v>725.0625</v>
      </c>
      <c r="D8" s="442">
        <v>564.35416666666674</v>
      </c>
      <c r="E8" s="442">
        <v>624.375</v>
      </c>
      <c r="F8" s="442">
        <v>684</v>
      </c>
      <c r="G8" s="442">
        <v>539.20000000000005</v>
      </c>
      <c r="H8" s="442">
        <v>535.62509999999997</v>
      </c>
      <c r="I8" s="442">
        <v>456.37670000000003</v>
      </c>
      <c r="J8" s="443">
        <v>510.06220000000008</v>
      </c>
      <c r="K8" s="443">
        <v>602.62480000000005</v>
      </c>
      <c r="L8" s="443">
        <v>589.02083333333303</v>
      </c>
      <c r="M8" s="444">
        <v>592.16805555555595</v>
      </c>
      <c r="N8" s="445">
        <v>-5.3147450165481613E-3</v>
      </c>
    </row>
    <row r="9" spans="1:14">
      <c r="A9" s="438" t="s">
        <v>92</v>
      </c>
      <c r="B9" s="442">
        <v>568.33333333333326</v>
      </c>
      <c r="C9" s="442">
        <v>485.58333333333326</v>
      </c>
      <c r="D9" s="442">
        <v>486.20833333333337</v>
      </c>
      <c r="E9" s="442">
        <v>595.75</v>
      </c>
      <c r="F9" s="442">
        <v>436</v>
      </c>
      <c r="G9" s="442">
        <v>444.2</v>
      </c>
      <c r="H9" s="442">
        <v>404.58330000000001</v>
      </c>
      <c r="I9" s="442">
        <v>428.04169999999999</v>
      </c>
      <c r="J9" s="443">
        <v>289.93369999999999</v>
      </c>
      <c r="K9" s="443">
        <v>451.37509999999997</v>
      </c>
      <c r="L9" s="443">
        <v>419.04166666666703</v>
      </c>
      <c r="M9" s="444">
        <v>450.14722222222201</v>
      </c>
      <c r="N9" s="445">
        <v>-6.9100849722003255E-2</v>
      </c>
    </row>
    <row r="10" spans="1:14">
      <c r="A10" s="438" t="s">
        <v>93</v>
      </c>
      <c r="B10" s="442">
        <v>306.375</v>
      </c>
      <c r="C10" s="442">
        <v>293.58333333333337</v>
      </c>
      <c r="D10" s="442">
        <v>387.70833333333331</v>
      </c>
      <c r="E10" s="442">
        <v>406.20833333333337</v>
      </c>
      <c r="F10" s="442">
        <v>317</v>
      </c>
      <c r="G10" s="442">
        <v>234.9</v>
      </c>
      <c r="H10" s="442">
        <v>213.33349999999996</v>
      </c>
      <c r="I10" s="442">
        <v>213.16689999999997</v>
      </c>
      <c r="J10" s="443">
        <v>188.74990000000003</v>
      </c>
      <c r="K10" s="443">
        <v>257.58359999999999</v>
      </c>
      <c r="L10" s="443">
        <v>172.458333333333</v>
      </c>
      <c r="M10" s="444">
        <v>296.66111111111098</v>
      </c>
      <c r="N10" s="445">
        <v>-0.41866888893050513</v>
      </c>
    </row>
    <row r="11" spans="1:14">
      <c r="A11" s="438" t="s">
        <v>94</v>
      </c>
      <c r="B11" s="442">
        <v>251.70833333333334</v>
      </c>
      <c r="C11" s="442">
        <v>94.875</v>
      </c>
      <c r="D11" s="442">
        <v>224.20833333333326</v>
      </c>
      <c r="E11" s="442">
        <v>199.16666666666669</v>
      </c>
      <c r="F11" s="442">
        <v>220</v>
      </c>
      <c r="G11" s="442">
        <v>76.8</v>
      </c>
      <c r="H11" s="442">
        <v>125.83319999999998</v>
      </c>
      <c r="I11" s="442">
        <v>44</v>
      </c>
      <c r="J11" s="443">
        <v>122.95819999999998</v>
      </c>
      <c r="K11" s="443">
        <v>124.58319999999998</v>
      </c>
      <c r="L11" s="443">
        <v>124.833333333333</v>
      </c>
      <c r="M11" s="444">
        <v>162.50833333333301</v>
      </c>
      <c r="N11" s="445">
        <v>-0.23183426490949233</v>
      </c>
    </row>
    <row r="12" spans="1:14">
      <c r="A12" s="438" t="s">
        <v>95</v>
      </c>
      <c r="B12" s="442">
        <v>71.458333333333343</v>
      </c>
      <c r="C12" s="442">
        <v>41.25</v>
      </c>
      <c r="D12" s="442">
        <v>113.20833333333331</v>
      </c>
      <c r="E12" s="442">
        <v>79.916666666666686</v>
      </c>
      <c r="F12" s="442">
        <v>68</v>
      </c>
      <c r="G12" s="442">
        <v>22.6</v>
      </c>
      <c r="H12" s="442">
        <v>20.833499999999997</v>
      </c>
      <c r="I12" s="442">
        <v>7.875</v>
      </c>
      <c r="J12" s="443">
        <v>33.625</v>
      </c>
      <c r="K12" s="443">
        <v>18.916799999999999</v>
      </c>
      <c r="L12" s="443">
        <v>16.5833333333333</v>
      </c>
      <c r="M12" s="444">
        <v>57.0138888888889</v>
      </c>
      <c r="N12" s="445">
        <v>-0.70913520097442206</v>
      </c>
    </row>
    <row r="13" spans="1:14">
      <c r="A13" s="438" t="s">
        <v>96</v>
      </c>
      <c r="B13" s="442">
        <v>77.25</v>
      </c>
      <c r="C13" s="442">
        <v>58.833333333333329</v>
      </c>
      <c r="D13" s="442">
        <v>95.458333333333371</v>
      </c>
      <c r="E13" s="442">
        <v>43.54166666666665</v>
      </c>
      <c r="F13" s="442">
        <v>31</v>
      </c>
      <c r="G13" s="442">
        <v>7.6</v>
      </c>
      <c r="H13" s="442">
        <v>13.208299999999999</v>
      </c>
      <c r="I13" s="442">
        <v>18.333299999999998</v>
      </c>
      <c r="J13" s="443">
        <v>32.166600000000003</v>
      </c>
      <c r="K13" s="443">
        <v>4.7084000000000001</v>
      </c>
      <c r="L13" s="443">
        <v>25.0833333333333</v>
      </c>
      <c r="M13" s="444">
        <v>47.509722222222202</v>
      </c>
      <c r="N13" s="445">
        <v>-0.47203788698219706</v>
      </c>
    </row>
    <row r="14" spans="1:14">
      <c r="A14" s="438" t="s">
        <v>97</v>
      </c>
      <c r="B14" s="442">
        <v>144.20833333333334</v>
      </c>
      <c r="C14" s="442">
        <v>122.375</v>
      </c>
      <c r="D14" s="442">
        <v>155.33333333333331</v>
      </c>
      <c r="E14" s="442">
        <v>95.666666666666657</v>
      </c>
      <c r="F14" s="442">
        <v>110</v>
      </c>
      <c r="G14" s="442">
        <v>113.95833333333337</v>
      </c>
      <c r="H14" s="442">
        <v>63.499800000000008</v>
      </c>
      <c r="I14" s="442">
        <v>164.66670000000002</v>
      </c>
      <c r="J14" s="443">
        <v>137.37489999999997</v>
      </c>
      <c r="K14" s="443">
        <v>102.2084</v>
      </c>
      <c r="L14" s="443">
        <v>116.666666666667</v>
      </c>
      <c r="M14" s="444">
        <v>136.759722222222</v>
      </c>
      <c r="N14" s="445">
        <v>-0.14692231915260567</v>
      </c>
    </row>
    <row r="15" spans="1:14">
      <c r="A15" s="438" t="s">
        <v>98</v>
      </c>
      <c r="B15" s="442">
        <v>422.1666666666668</v>
      </c>
      <c r="C15" s="442">
        <v>404.08333333333343</v>
      </c>
      <c r="D15" s="442">
        <v>377.16666666666663</v>
      </c>
      <c r="E15" s="442">
        <v>411.83333333333337</v>
      </c>
      <c r="F15" s="442">
        <v>360</v>
      </c>
      <c r="G15" s="442">
        <v>431.99999999999989</v>
      </c>
      <c r="H15" s="442">
        <v>238.79180000000002</v>
      </c>
      <c r="I15" s="442">
        <v>259.66660000000002</v>
      </c>
      <c r="J15" s="443">
        <v>340.29179999999997</v>
      </c>
      <c r="K15" s="443">
        <v>389.20829999999995</v>
      </c>
      <c r="L15" s="443">
        <v>366.375</v>
      </c>
      <c r="M15" s="444">
        <v>386.027777777778</v>
      </c>
      <c r="N15" s="445">
        <v>-5.0910268403253078E-2</v>
      </c>
    </row>
    <row r="16" spans="1:14">
      <c r="A16" s="438" t="s">
        <v>99</v>
      </c>
      <c r="B16" s="442">
        <v>481.75</v>
      </c>
      <c r="C16" s="442">
        <v>556.375</v>
      </c>
      <c r="D16" s="442">
        <v>652.29166666666674</v>
      </c>
      <c r="E16" s="442">
        <v>659.25</v>
      </c>
      <c r="F16" s="442">
        <v>550</v>
      </c>
      <c r="G16" s="442">
        <v>519.20833333333337</v>
      </c>
      <c r="H16" s="442">
        <v>583.24990000000003</v>
      </c>
      <c r="I16" s="442">
        <v>635.52080000000001</v>
      </c>
      <c r="J16" s="443">
        <v>427.58320000000003</v>
      </c>
      <c r="K16" s="443">
        <v>563.87490000000003</v>
      </c>
      <c r="L16" s="443">
        <v>493.60416666666703</v>
      </c>
      <c r="M16" s="444">
        <v>583.59097222222204</v>
      </c>
      <c r="N16" s="445">
        <v>-0.15419499244976242</v>
      </c>
    </row>
    <row r="17" spans="1:34">
      <c r="A17" s="438" t="s">
        <v>100</v>
      </c>
      <c r="B17" s="442">
        <v>865.66666666666663</v>
      </c>
      <c r="C17" s="442">
        <v>840.66666666666663</v>
      </c>
      <c r="D17" s="442">
        <v>682.875</v>
      </c>
      <c r="E17" s="442">
        <v>787.95833333333326</v>
      </c>
      <c r="F17" s="442">
        <v>733</v>
      </c>
      <c r="G17" s="442">
        <v>773.79169999999999</v>
      </c>
      <c r="H17" s="442">
        <v>623.74980000000005</v>
      </c>
      <c r="I17" s="442">
        <v>693.83320000000003</v>
      </c>
      <c r="J17" s="443">
        <v>841.37519999999995</v>
      </c>
      <c r="K17" s="443">
        <v>780.5</v>
      </c>
      <c r="L17" s="443">
        <v>653.20833333333303</v>
      </c>
      <c r="M17" s="444">
        <v>747.57777777777801</v>
      </c>
      <c r="N17" s="445">
        <v>-0.12623361374513309</v>
      </c>
    </row>
    <row r="18" spans="1:34">
      <c r="A18" s="438"/>
      <c r="B18" s="442"/>
      <c r="C18" s="442"/>
      <c r="D18" s="442"/>
      <c r="E18" s="446"/>
      <c r="F18" s="447"/>
      <c r="G18" s="447"/>
      <c r="H18" s="447"/>
      <c r="I18" s="447"/>
      <c r="J18" s="447"/>
      <c r="K18" s="447"/>
      <c r="L18" s="447"/>
      <c r="M18" s="447"/>
      <c r="N18" s="445"/>
    </row>
    <row r="19" spans="1:34">
      <c r="A19" s="438" t="s">
        <v>21</v>
      </c>
      <c r="B19" s="442">
        <v>5331.8750000000009</v>
      </c>
      <c r="C19" s="442">
        <v>5094.8125000000009</v>
      </c>
      <c r="D19" s="442">
        <v>4815.7708333333339</v>
      </c>
      <c r="E19" s="442">
        <v>5345.958333333333</v>
      </c>
      <c r="F19" s="442">
        <v>4916</v>
      </c>
      <c r="G19" s="442">
        <v>4573.2583666666669</v>
      </c>
      <c r="H19" s="442">
        <v>4145.4163000000008</v>
      </c>
      <c r="I19" s="442">
        <v>4007.3980000000001</v>
      </c>
      <c r="J19" s="442">
        <v>4104.5374000000002</v>
      </c>
      <c r="K19" s="442">
        <v>4813.0834999999997</v>
      </c>
      <c r="L19" s="442">
        <v>4278.1666666666661</v>
      </c>
      <c r="M19" s="448">
        <v>4800.1645833333332</v>
      </c>
      <c r="N19" s="445"/>
    </row>
    <row r="20" spans="1:34" ht="12.75" customHeight="1">
      <c r="A20" s="461" t="s">
        <v>101</v>
      </c>
      <c r="B20" s="442"/>
      <c r="C20" s="442"/>
      <c r="D20" s="442"/>
      <c r="E20" s="442"/>
      <c r="F20" s="448"/>
      <c r="G20" s="448"/>
      <c r="H20" s="448"/>
      <c r="I20" s="448"/>
      <c r="J20" s="448"/>
      <c r="K20" s="447"/>
      <c r="L20" s="447"/>
      <c r="M20" s="449"/>
      <c r="N20" s="450"/>
    </row>
    <row r="21" spans="1:34">
      <c r="A21" s="462"/>
      <c r="B21" s="451">
        <v>0.10631935164057826</v>
      </c>
      <c r="C21" s="451">
        <v>6.1382877930834967E-2</v>
      </c>
      <c r="D21" s="451">
        <v>3.2511906058778628E-3</v>
      </c>
      <c r="E21" s="451">
        <v>0.1137031325748814</v>
      </c>
      <c r="F21" s="451">
        <v>2.0028776493275169E-2</v>
      </c>
      <c r="G21" s="451">
        <v>-4.7270507651864246E-2</v>
      </c>
      <c r="H21" s="451">
        <v>-0.1364012154097145</v>
      </c>
      <c r="I21" s="451">
        <v>-0.16515404202720474</v>
      </c>
      <c r="J21" s="451">
        <v>-0.14834290842292741</v>
      </c>
      <c r="K21" s="451">
        <v>2.6913486907349515E-3</v>
      </c>
      <c r="L21" s="451">
        <v>-0.10874583727380882</v>
      </c>
      <c r="M21" s="452"/>
      <c r="N21" s="453"/>
    </row>
    <row r="22" spans="1:34" ht="22.5" customHeight="1">
      <c r="A22" s="456" t="s">
        <v>376</v>
      </c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</row>
    <row r="23" spans="1:34">
      <c r="A23" s="454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</row>
    <row r="26" spans="1:34" ht="15.75">
      <c r="P26" s="458" t="s">
        <v>118</v>
      </c>
      <c r="Q26" s="458"/>
      <c r="R26" s="458"/>
      <c r="S26" s="458"/>
      <c r="T26" s="458"/>
      <c r="V26" s="458" t="s">
        <v>240</v>
      </c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</row>
    <row r="27" spans="1:34" ht="15.75">
      <c r="P27" s="458" t="s">
        <v>119</v>
      </c>
      <c r="Q27" s="458"/>
      <c r="R27" s="458"/>
      <c r="S27" s="458"/>
      <c r="T27" s="458"/>
      <c r="V27" s="458" t="s">
        <v>373</v>
      </c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</row>
    <row r="28" spans="1:34">
      <c r="P28" s="408"/>
      <c r="Q28" s="408"/>
      <c r="R28" s="408"/>
      <c r="S28" s="408"/>
      <c r="T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</row>
    <row r="29" spans="1:34">
      <c r="P29" s="409"/>
      <c r="Q29" s="410" t="s">
        <v>121</v>
      </c>
      <c r="R29" s="410" t="s">
        <v>122</v>
      </c>
      <c r="S29" s="409"/>
      <c r="T29" s="410" t="s">
        <v>123</v>
      </c>
      <c r="V29" s="408"/>
      <c r="W29" s="408"/>
      <c r="X29" s="422" t="s">
        <v>131</v>
      </c>
      <c r="Y29" s="423"/>
      <c r="Z29" s="423"/>
      <c r="AA29" s="424"/>
      <c r="AB29" s="422" t="s">
        <v>141</v>
      </c>
      <c r="AC29" s="423"/>
      <c r="AD29" s="423"/>
      <c r="AE29" s="424"/>
      <c r="AF29" s="422" t="s">
        <v>145</v>
      </c>
      <c r="AG29" s="423"/>
      <c r="AH29" s="423"/>
    </row>
    <row r="30" spans="1:34">
      <c r="P30" s="411" t="s">
        <v>64</v>
      </c>
      <c r="Q30" s="411" t="s">
        <v>120</v>
      </c>
      <c r="R30" s="411" t="s">
        <v>120</v>
      </c>
      <c r="S30" s="411" t="s">
        <v>123</v>
      </c>
      <c r="T30" s="411" t="s">
        <v>128</v>
      </c>
      <c r="V30" s="408"/>
      <c r="W30" s="408"/>
      <c r="X30" s="425" t="s">
        <v>132</v>
      </c>
      <c r="Y30" s="426"/>
      <c r="Z30" s="426"/>
      <c r="AA30" s="424"/>
      <c r="AB30" s="425" t="s">
        <v>133</v>
      </c>
      <c r="AC30" s="426"/>
      <c r="AD30" s="426"/>
      <c r="AE30" s="424"/>
      <c r="AF30" s="425" t="s">
        <v>134</v>
      </c>
      <c r="AG30" s="426"/>
      <c r="AH30" s="426"/>
    </row>
    <row r="31" spans="1:34">
      <c r="P31" s="412" t="s">
        <v>125</v>
      </c>
      <c r="Q31" s="412" t="s">
        <v>126</v>
      </c>
      <c r="R31" s="412" t="s">
        <v>127</v>
      </c>
      <c r="S31" s="413" t="s">
        <v>124</v>
      </c>
      <c r="T31" s="413" t="s">
        <v>182</v>
      </c>
      <c r="V31" s="411" t="s">
        <v>64</v>
      </c>
      <c r="W31" s="411"/>
      <c r="X31" s="411" t="s">
        <v>121</v>
      </c>
      <c r="Y31" s="411" t="s">
        <v>129</v>
      </c>
      <c r="Z31" s="411" t="s">
        <v>130</v>
      </c>
      <c r="AA31" s="427"/>
      <c r="AB31" s="411" t="s">
        <v>121</v>
      </c>
      <c r="AC31" s="411" t="s">
        <v>129</v>
      </c>
      <c r="AD31" s="411" t="s">
        <v>130</v>
      </c>
      <c r="AE31" s="427"/>
      <c r="AF31" s="411" t="s">
        <v>121</v>
      </c>
      <c r="AG31" s="411" t="s">
        <v>129</v>
      </c>
      <c r="AH31" s="411" t="s">
        <v>130</v>
      </c>
    </row>
    <row r="32" spans="1:34">
      <c r="P32" s="414">
        <v>43101</v>
      </c>
      <c r="Q32" s="415">
        <v>2215266.1669999999</v>
      </c>
      <c r="R32" s="415">
        <v>2305584.0654216884</v>
      </c>
      <c r="S32" s="415">
        <v>90317.898421688558</v>
      </c>
      <c r="T32" s="415">
        <v>83905.327633748675</v>
      </c>
      <c r="V32" s="414">
        <v>43101</v>
      </c>
      <c r="W32" s="428"/>
      <c r="X32" s="415">
        <v>1245600.4971179999</v>
      </c>
      <c r="Y32" s="415">
        <v>1312478.4828336635</v>
      </c>
      <c r="Z32" s="415">
        <v>66877.985715663526</v>
      </c>
      <c r="AA32" s="415"/>
      <c r="AB32" s="415">
        <v>270133.33044799994</v>
      </c>
      <c r="AC32" s="415">
        <v>278760.81361695559</v>
      </c>
      <c r="AD32" s="415">
        <v>8627.4831689556595</v>
      </c>
      <c r="AE32" s="415"/>
      <c r="AF32" s="415">
        <v>268814.533635</v>
      </c>
      <c r="AG32" s="415">
        <v>274363.61247964593</v>
      </c>
      <c r="AH32" s="415">
        <v>5549.0788446459337</v>
      </c>
    </row>
    <row r="33" spans="16:34">
      <c r="P33" s="414">
        <v>43132</v>
      </c>
      <c r="Q33" s="415">
        <v>2064898.7</v>
      </c>
      <c r="R33" s="415">
        <v>2007991.9306302031</v>
      </c>
      <c r="S33" s="415">
        <v>-56906.769369796988</v>
      </c>
      <c r="T33" s="415">
        <v>-52866.388744541408</v>
      </c>
      <c r="V33" s="414">
        <v>43132</v>
      </c>
      <c r="W33" s="428"/>
      <c r="X33" s="415">
        <v>1123202.8302799999</v>
      </c>
      <c r="Y33" s="415">
        <v>1081187.6390991576</v>
      </c>
      <c r="Z33" s="415">
        <v>-42015.19118084223</v>
      </c>
      <c r="AA33" s="415"/>
      <c r="AB33" s="415">
        <v>250689.17238099998</v>
      </c>
      <c r="AC33" s="415">
        <v>245206.8874060449</v>
      </c>
      <c r="AD33" s="415">
        <v>-5482.2849749550805</v>
      </c>
      <c r="AE33" s="415"/>
      <c r="AF33" s="415">
        <v>261333.806633</v>
      </c>
      <c r="AG33" s="415">
        <v>257735.20771711657</v>
      </c>
      <c r="AH33" s="415">
        <v>-3598.5989158834273</v>
      </c>
    </row>
    <row r="34" spans="16:34">
      <c r="P34" s="414">
        <v>43160</v>
      </c>
      <c r="Q34" s="415">
        <v>2062414.077</v>
      </c>
      <c r="R34" s="415">
        <v>2068533.3330722307</v>
      </c>
      <c r="S34" s="415">
        <v>6119.256072230577</v>
      </c>
      <c r="T34" s="415">
        <v>5684.7888911022073</v>
      </c>
      <c r="V34" s="414">
        <v>43160</v>
      </c>
      <c r="W34" s="428"/>
      <c r="X34" s="415">
        <v>1119823.6269689999</v>
      </c>
      <c r="Y34" s="415">
        <v>1124111.6674870651</v>
      </c>
      <c r="Z34" s="415">
        <v>4288.040518065216</v>
      </c>
      <c r="AA34" s="415"/>
      <c r="AB34" s="415">
        <v>249868.97207899997</v>
      </c>
      <c r="AC34" s="415">
        <v>250614.45251190395</v>
      </c>
      <c r="AD34" s="415">
        <v>745.48043290397618</v>
      </c>
      <c r="AE34" s="415"/>
      <c r="AF34" s="415">
        <v>262628.04123100004</v>
      </c>
      <c r="AG34" s="415">
        <v>263224.01690984337</v>
      </c>
      <c r="AH34" s="415">
        <v>595.97567884332966</v>
      </c>
    </row>
    <row r="35" spans="16:34">
      <c r="P35" s="414">
        <v>43191</v>
      </c>
      <c r="Q35" s="415">
        <v>1768077.5989999999</v>
      </c>
      <c r="R35" s="415">
        <v>1779404.1856001571</v>
      </c>
      <c r="S35" s="415">
        <v>11326.586600157023</v>
      </c>
      <c r="T35" s="415">
        <v>10522.398951545874</v>
      </c>
      <c r="V35" s="414">
        <v>43191</v>
      </c>
      <c r="W35" s="428"/>
      <c r="X35" s="415">
        <v>924598.02489300002</v>
      </c>
      <c r="Y35" s="415">
        <v>933663.40466798469</v>
      </c>
      <c r="Z35" s="415">
        <v>9065.3797749846708</v>
      </c>
      <c r="AA35" s="415"/>
      <c r="AB35" s="415">
        <v>222462.811071</v>
      </c>
      <c r="AC35" s="415">
        <v>223275.87312084823</v>
      </c>
      <c r="AD35" s="415">
        <v>813.06204984823125</v>
      </c>
      <c r="AE35" s="415"/>
      <c r="AF35" s="415">
        <v>243873.52108700003</v>
      </c>
      <c r="AG35" s="415">
        <v>244219.8804911864</v>
      </c>
      <c r="AH35" s="415">
        <v>346.35940418636892</v>
      </c>
    </row>
    <row r="36" spans="16:34">
      <c r="P36" s="414">
        <v>43221</v>
      </c>
      <c r="Q36" s="415">
        <v>1593061.4380000001</v>
      </c>
      <c r="R36" s="415">
        <v>1611520.0068019745</v>
      </c>
      <c r="S36" s="415">
        <v>18458.568801974536</v>
      </c>
      <c r="T36" s="415">
        <v>17148.010417034344</v>
      </c>
      <c r="V36" s="414">
        <v>43221</v>
      </c>
      <c r="W36" s="428"/>
      <c r="X36" s="415">
        <v>741369.50304700003</v>
      </c>
      <c r="Y36" s="415">
        <v>757682.04358456342</v>
      </c>
      <c r="Z36" s="415">
        <v>16312.540537563385</v>
      </c>
      <c r="AA36" s="415"/>
      <c r="AB36" s="415">
        <v>203775.022662</v>
      </c>
      <c r="AC36" s="415">
        <v>204637.92442004534</v>
      </c>
      <c r="AD36" s="415">
        <v>862.90175804533646</v>
      </c>
      <c r="AE36" s="415"/>
      <c r="AF36" s="415">
        <v>238525.41172299997</v>
      </c>
      <c r="AG36" s="415">
        <v>238373.25027089298</v>
      </c>
      <c r="AH36" s="415">
        <v>-152.16145210698596</v>
      </c>
    </row>
    <row r="37" spans="16:34">
      <c r="P37" s="414">
        <v>43252</v>
      </c>
      <c r="Q37" s="415">
        <v>1565951.96</v>
      </c>
      <c r="R37" s="415">
        <v>1559953.2997715843</v>
      </c>
      <c r="S37" s="415">
        <v>-5998.6602284157279</v>
      </c>
      <c r="T37" s="415">
        <v>-5572.7553521982118</v>
      </c>
      <c r="V37" s="414">
        <v>43252</v>
      </c>
      <c r="W37" s="428"/>
      <c r="X37" s="415">
        <v>663353.18537899991</v>
      </c>
      <c r="Y37" s="415">
        <v>659761.97621224565</v>
      </c>
      <c r="Z37" s="415">
        <v>-3591.20916675427</v>
      </c>
      <c r="AA37" s="415"/>
      <c r="AB37" s="415">
        <v>201892.25566099994</v>
      </c>
      <c r="AC37" s="415">
        <v>201195.96191347748</v>
      </c>
      <c r="AD37" s="415">
        <v>-696.29374752246076</v>
      </c>
      <c r="AE37" s="415"/>
      <c r="AF37" s="415">
        <v>233343.840501</v>
      </c>
      <c r="AG37" s="415">
        <v>232697.92375349981</v>
      </c>
      <c r="AH37" s="415">
        <v>-645.91674750018865</v>
      </c>
    </row>
    <row r="38" spans="16:34">
      <c r="P38" s="414">
        <v>43282</v>
      </c>
      <c r="Q38" s="415">
        <v>1749554.2919999999</v>
      </c>
      <c r="R38" s="415">
        <v>1684287.6524307153</v>
      </c>
      <c r="S38" s="415">
        <v>-65266.639569284678</v>
      </c>
      <c r="T38" s="415">
        <v>-60632.708159865469</v>
      </c>
      <c r="V38" s="414">
        <v>43282</v>
      </c>
      <c r="W38" s="428"/>
      <c r="X38" s="415">
        <v>670337.02335200005</v>
      </c>
      <c r="Y38" s="415">
        <v>631249.83628234931</v>
      </c>
      <c r="Z38" s="415">
        <v>-39087.187069650739</v>
      </c>
      <c r="AA38" s="415"/>
      <c r="AB38" s="415">
        <v>209797.70127400002</v>
      </c>
      <c r="AC38" s="415">
        <v>202216.13631191241</v>
      </c>
      <c r="AD38" s="415">
        <v>-7581.5649620876065</v>
      </c>
      <c r="AE38" s="415"/>
      <c r="AF38" s="415">
        <v>237185.04438699997</v>
      </c>
      <c r="AG38" s="415">
        <v>230188.91200814134</v>
      </c>
      <c r="AH38" s="415">
        <v>-6996.1323788586305</v>
      </c>
    </row>
    <row r="39" spans="16:34">
      <c r="P39" s="414">
        <v>43313</v>
      </c>
      <c r="Q39" s="415">
        <v>1709931.727</v>
      </c>
      <c r="R39" s="415">
        <v>1675731.2727487276</v>
      </c>
      <c r="S39" s="415">
        <v>-34200.454251272437</v>
      </c>
      <c r="T39" s="415">
        <v>-31772.221999432099</v>
      </c>
      <c r="V39" s="414">
        <v>43313</v>
      </c>
      <c r="W39" s="428"/>
      <c r="X39" s="415">
        <v>735328.69555099995</v>
      </c>
      <c r="Y39" s="415">
        <v>714848.18045086169</v>
      </c>
      <c r="Z39" s="415">
        <v>-20480.515100138262</v>
      </c>
      <c r="AA39" s="415"/>
      <c r="AB39" s="415">
        <v>226735.50328899999</v>
      </c>
      <c r="AC39" s="415">
        <v>222762.19023543739</v>
      </c>
      <c r="AD39" s="415">
        <v>-3973.3130535625969</v>
      </c>
      <c r="AE39" s="415"/>
      <c r="AF39" s="415">
        <v>268208.49714699999</v>
      </c>
      <c r="AG39" s="415">
        <v>264545.05726765341</v>
      </c>
      <c r="AH39" s="415">
        <v>-3663.4398793465807</v>
      </c>
    </row>
    <row r="40" spans="16:34">
      <c r="P40" s="414">
        <v>43344</v>
      </c>
      <c r="Q40" s="415">
        <v>1543735.9129999999</v>
      </c>
      <c r="R40" s="415">
        <v>1545952.3993269168</v>
      </c>
      <c r="S40" s="415">
        <v>2216.4863269166945</v>
      </c>
      <c r="T40" s="415">
        <v>2059.1157977056096</v>
      </c>
      <c r="V40" s="414">
        <v>43344</v>
      </c>
      <c r="W40" s="428"/>
      <c r="X40" s="415">
        <v>680363.49579099996</v>
      </c>
      <c r="Y40" s="415">
        <v>681691.50927155023</v>
      </c>
      <c r="Z40" s="415">
        <v>1328.0134805502603</v>
      </c>
      <c r="AA40" s="415"/>
      <c r="AB40" s="415">
        <v>214191.13250400001</v>
      </c>
      <c r="AC40" s="415">
        <v>214448.68692529629</v>
      </c>
      <c r="AD40" s="415">
        <v>257.554421296285</v>
      </c>
      <c r="AE40" s="415"/>
      <c r="AF40" s="415">
        <v>242319.38924600004</v>
      </c>
      <c r="AG40" s="415">
        <v>242556.61876426084</v>
      </c>
      <c r="AH40" s="415">
        <v>237.2295182608068</v>
      </c>
    </row>
    <row r="41" spans="16:34">
      <c r="P41" s="414">
        <v>43374</v>
      </c>
      <c r="Q41" s="415">
        <v>1770977.9380000001</v>
      </c>
      <c r="R41" s="415">
        <v>1778613.5613702582</v>
      </c>
      <c r="S41" s="415">
        <v>7635.6233702583313</v>
      </c>
      <c r="T41" s="415">
        <v>7093.4941109699903</v>
      </c>
      <c r="V41" s="414">
        <v>43374</v>
      </c>
      <c r="W41" s="428"/>
      <c r="X41" s="415">
        <v>687720.73388199997</v>
      </c>
      <c r="Y41" s="415">
        <v>693718.26041482354</v>
      </c>
      <c r="Z41" s="415">
        <v>5997.5265328235691</v>
      </c>
      <c r="AA41" s="415"/>
      <c r="AB41" s="415">
        <v>199477.82797099999</v>
      </c>
      <c r="AC41" s="415">
        <v>199993.96325129722</v>
      </c>
      <c r="AD41" s="415">
        <v>516.13528029722511</v>
      </c>
      <c r="AE41" s="415"/>
      <c r="AF41" s="415">
        <v>230321.88103300001</v>
      </c>
      <c r="AG41" s="415">
        <v>230523.03005186107</v>
      </c>
      <c r="AH41" s="415">
        <v>201.14901886106236</v>
      </c>
    </row>
    <row r="42" spans="16:34">
      <c r="P42" s="416">
        <v>43405</v>
      </c>
      <c r="Q42" s="417">
        <v>1944414.706</v>
      </c>
      <c r="R42" s="417">
        <v>2027305.8968656934</v>
      </c>
      <c r="S42" s="417">
        <v>82891.190865693337</v>
      </c>
      <c r="T42" s="417">
        <v>77005.916314229107</v>
      </c>
      <c r="V42" s="414">
        <v>43405</v>
      </c>
      <c r="W42" s="428"/>
      <c r="X42" s="415">
        <v>842221.07113299996</v>
      </c>
      <c r="Y42" s="415">
        <v>905701.01286647597</v>
      </c>
      <c r="Z42" s="415">
        <v>63479.941733476007</v>
      </c>
      <c r="AA42" s="415"/>
      <c r="AB42" s="415">
        <v>210676.67024499999</v>
      </c>
      <c r="AC42" s="415">
        <v>217580.14998180978</v>
      </c>
      <c r="AD42" s="415">
        <v>6903.4797368097934</v>
      </c>
      <c r="AE42" s="415"/>
      <c r="AF42" s="415">
        <v>236703.8505</v>
      </c>
      <c r="AG42" s="415">
        <v>240606.93513278686</v>
      </c>
      <c r="AH42" s="415">
        <v>3903.0846327868639</v>
      </c>
    </row>
    <row r="43" spans="16:34">
      <c r="P43" s="418">
        <v>43435</v>
      </c>
      <c r="Q43" s="419">
        <v>2245387.2749999999</v>
      </c>
      <c r="R43" s="419">
        <v>2334378.3623164571</v>
      </c>
      <c r="S43" s="419">
        <v>88991.087316457269</v>
      </c>
      <c r="T43" s="419">
        <v>82672.720116988814</v>
      </c>
      <c r="V43" s="418">
        <v>43435</v>
      </c>
      <c r="W43" s="429"/>
      <c r="X43" s="419">
        <v>1085744.61167</v>
      </c>
      <c r="Y43" s="419">
        <v>1151652.7840308547</v>
      </c>
      <c r="Z43" s="419">
        <v>65908.172360854689</v>
      </c>
      <c r="AA43" s="415"/>
      <c r="AB43" s="415">
        <v>239354.61277900002</v>
      </c>
      <c r="AC43" s="415">
        <v>247769.340841264</v>
      </c>
      <c r="AD43" s="419">
        <v>8414.728062263981</v>
      </c>
      <c r="AE43" s="415"/>
      <c r="AF43" s="419">
        <v>261157.84510500001</v>
      </c>
      <c r="AG43" s="419">
        <v>266746.50859479344</v>
      </c>
      <c r="AH43" s="419">
        <v>5588.6634897934273</v>
      </c>
    </row>
    <row r="44" spans="16:34">
      <c r="P44" s="420" t="s">
        <v>21</v>
      </c>
      <c r="Q44" s="421">
        <v>22233671.791999999</v>
      </c>
      <c r="R44" s="421">
        <v>22379255.966356605</v>
      </c>
      <c r="S44" s="421">
        <v>145584.1743566065</v>
      </c>
      <c r="T44" s="421">
        <v>135247.69797728743</v>
      </c>
      <c r="V44" s="414" t="s">
        <v>21</v>
      </c>
      <c r="W44" s="428"/>
      <c r="X44" s="430">
        <f>SUM(X32:X43)</f>
        <v>10519663.299064999</v>
      </c>
      <c r="Y44" s="430">
        <f t="shared" ref="Y44:Z44" si="0">SUM(Y32:Y43)</f>
        <v>10647746.797201596</v>
      </c>
      <c r="Z44" s="430">
        <f t="shared" si="0"/>
        <v>128083.49813659582</v>
      </c>
      <c r="AA44" s="430"/>
      <c r="AB44" s="431">
        <f>SUM(AB32:AB43)</f>
        <v>2699055.0123640001</v>
      </c>
      <c r="AC44" s="431">
        <f t="shared" ref="AC44:AD44" si="1">SUM(AC32:AC43)</f>
        <v>2708462.3805362922</v>
      </c>
      <c r="AD44" s="430">
        <f t="shared" si="1"/>
        <v>9407.3681722927431</v>
      </c>
      <c r="AE44" s="430"/>
      <c r="AF44" s="430">
        <f>SUM(AF32:AF43)</f>
        <v>2984415.6622279999</v>
      </c>
      <c r="AG44" s="430">
        <f t="shared" ref="AG44:AH44" si="2">SUM(AG32:AG43)</f>
        <v>2985780.9534416813</v>
      </c>
      <c r="AH44" s="430">
        <f t="shared" si="2"/>
        <v>1365.2912136819796</v>
      </c>
    </row>
    <row r="45" spans="16:34"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</row>
    <row r="46" spans="16:34">
      <c r="V46" s="408"/>
      <c r="W46" s="408"/>
      <c r="X46" s="422" t="s">
        <v>144</v>
      </c>
      <c r="Y46" s="423"/>
      <c r="Z46" s="423"/>
      <c r="AA46" s="408"/>
      <c r="AB46" s="422" t="s">
        <v>146</v>
      </c>
      <c r="AC46" s="423"/>
      <c r="AD46" s="423"/>
      <c r="AE46" s="424"/>
      <c r="AF46" s="422" t="s">
        <v>137</v>
      </c>
      <c r="AG46" s="423"/>
      <c r="AH46" s="423"/>
    </row>
    <row r="47" spans="16:34">
      <c r="V47" s="408"/>
      <c r="W47" s="408"/>
      <c r="X47" s="425" t="s">
        <v>160</v>
      </c>
      <c r="Y47" s="426"/>
      <c r="Z47" s="426"/>
      <c r="AA47" s="408"/>
      <c r="AB47" s="425" t="s">
        <v>136</v>
      </c>
      <c r="AC47" s="426"/>
      <c r="AD47" s="426"/>
      <c r="AE47" s="424"/>
      <c r="AF47" s="425" t="s">
        <v>138</v>
      </c>
      <c r="AG47" s="426"/>
      <c r="AH47" s="426"/>
    </row>
    <row r="48" spans="16:34">
      <c r="V48" s="411" t="s">
        <v>64</v>
      </c>
      <c r="W48" s="411"/>
      <c r="X48" s="411" t="s">
        <v>121</v>
      </c>
      <c r="Y48" s="411" t="s">
        <v>129</v>
      </c>
      <c r="Z48" s="411" t="s">
        <v>130</v>
      </c>
      <c r="AA48" s="408"/>
      <c r="AB48" s="411" t="s">
        <v>121</v>
      </c>
      <c r="AC48" s="411" t="s">
        <v>129</v>
      </c>
      <c r="AD48" s="411" t="s">
        <v>130</v>
      </c>
      <c r="AE48" s="427"/>
      <c r="AF48" s="411" t="s">
        <v>121</v>
      </c>
      <c r="AG48" s="411" t="s">
        <v>129</v>
      </c>
      <c r="AH48" s="411" t="s">
        <v>130</v>
      </c>
    </row>
    <row r="49" spans="22:34">
      <c r="V49" s="414">
        <v>43101</v>
      </c>
      <c r="W49" s="428"/>
      <c r="X49" s="415">
        <v>161945.518912</v>
      </c>
      <c r="Y49" s="415">
        <v>162579.86511076402</v>
      </c>
      <c r="Z49" s="415">
        <v>634.34619876401848</v>
      </c>
      <c r="AA49" s="415"/>
      <c r="AB49" s="415">
        <v>123559.46893399999</v>
      </c>
      <c r="AC49" s="415">
        <v>124239.17100123415</v>
      </c>
      <c r="AD49" s="415">
        <v>679.70206723416049</v>
      </c>
      <c r="AE49" s="415"/>
      <c r="AF49" s="415">
        <v>269.38878899999997</v>
      </c>
      <c r="AG49" s="415">
        <v>269.38878899999997</v>
      </c>
      <c r="AH49" s="415">
        <v>0</v>
      </c>
    </row>
    <row r="50" spans="22:34">
      <c r="V50" s="414">
        <v>43132</v>
      </c>
      <c r="W50" s="428"/>
      <c r="X50" s="415">
        <v>162491.21689099999</v>
      </c>
      <c r="Y50" s="415">
        <v>162102.5861497841</v>
      </c>
      <c r="Z50" s="415">
        <v>-388.63074121589307</v>
      </c>
      <c r="AA50" s="415"/>
      <c r="AB50" s="415">
        <v>126618.34970199999</v>
      </c>
      <c r="AC50" s="415">
        <v>126187.68013654175</v>
      </c>
      <c r="AD50" s="415">
        <v>-430.6695654582436</v>
      </c>
      <c r="AE50" s="415"/>
      <c r="AF50" s="415">
        <v>276.13670000000002</v>
      </c>
      <c r="AG50" s="415">
        <v>276.13670000000002</v>
      </c>
      <c r="AH50" s="415">
        <v>0</v>
      </c>
    </row>
    <row r="51" spans="22:34">
      <c r="V51" s="414">
        <v>43160</v>
      </c>
      <c r="W51" s="428"/>
      <c r="X51" s="415">
        <v>151988.86018899997</v>
      </c>
      <c r="Y51" s="415">
        <v>151967.29301718075</v>
      </c>
      <c r="Z51" s="415">
        <v>-21.567171819217037</v>
      </c>
      <c r="AA51" s="415"/>
      <c r="AB51" s="415">
        <v>110877.300106</v>
      </c>
      <c r="AC51" s="415">
        <v>110858.05700292114</v>
      </c>
      <c r="AD51" s="415">
        <v>-19.24310307885753</v>
      </c>
      <c r="AE51" s="415"/>
      <c r="AF51" s="415">
        <v>280.80811599999998</v>
      </c>
      <c r="AG51" s="415">
        <v>280.80811599999998</v>
      </c>
      <c r="AH51" s="415">
        <v>0</v>
      </c>
    </row>
    <row r="52" spans="22:34">
      <c r="V52" s="414">
        <v>43191</v>
      </c>
      <c r="W52" s="428"/>
      <c r="X52" s="415">
        <v>148167.97019699999</v>
      </c>
      <c r="Y52" s="415">
        <v>148237.74637428994</v>
      </c>
      <c r="Z52" s="415">
        <v>69.776177289953921</v>
      </c>
      <c r="AA52" s="415"/>
      <c r="AB52" s="415">
        <v>117463.880595</v>
      </c>
      <c r="AC52" s="415">
        <v>117539.35717728954</v>
      </c>
      <c r="AD52" s="415">
        <v>75.476582289542421</v>
      </c>
      <c r="AE52" s="415"/>
      <c r="AF52" s="415">
        <v>266.694748</v>
      </c>
      <c r="AG52" s="415">
        <v>266.694748</v>
      </c>
      <c r="AH52" s="415">
        <v>0</v>
      </c>
    </row>
    <row r="53" spans="22:34">
      <c r="V53" s="414">
        <v>43221</v>
      </c>
      <c r="W53" s="428"/>
      <c r="X53" s="415">
        <v>153898.36760900001</v>
      </c>
      <c r="Y53" s="415">
        <v>153786.23044590678</v>
      </c>
      <c r="Z53" s="415">
        <v>-112.13716309322626</v>
      </c>
      <c r="AA53" s="415"/>
      <c r="AB53" s="415">
        <v>114577.56447499999</v>
      </c>
      <c r="AC53" s="415">
        <v>114625.66592232743</v>
      </c>
      <c r="AD53" s="415">
        <v>48.101447327440837</v>
      </c>
      <c r="AE53" s="415"/>
      <c r="AF53" s="415">
        <v>708.71026399999994</v>
      </c>
      <c r="AG53" s="415">
        <v>692.132653853904</v>
      </c>
      <c r="AH53" s="415">
        <v>-16.577610146095935</v>
      </c>
    </row>
    <row r="54" spans="22:34">
      <c r="V54" s="414">
        <v>43252</v>
      </c>
      <c r="W54" s="428"/>
      <c r="X54" s="415">
        <v>158918.754403</v>
      </c>
      <c r="Y54" s="415">
        <v>158542.03109125971</v>
      </c>
      <c r="Z54" s="415">
        <v>-376.72331174029387</v>
      </c>
      <c r="AA54" s="415"/>
      <c r="AB54" s="415">
        <v>109383.43788</v>
      </c>
      <c r="AC54" s="415">
        <v>109242.57361405484</v>
      </c>
      <c r="AD54" s="415">
        <v>-140.86426594515797</v>
      </c>
      <c r="AE54" s="415"/>
      <c r="AF54" s="415">
        <v>1878.608117</v>
      </c>
      <c r="AG54" s="415">
        <v>1853.3650875184496</v>
      </c>
      <c r="AH54" s="415">
        <v>-25.243029481550366</v>
      </c>
    </row>
    <row r="55" spans="22:34">
      <c r="V55" s="414">
        <v>43282</v>
      </c>
      <c r="W55" s="428"/>
      <c r="X55" s="415">
        <v>167929.15865</v>
      </c>
      <c r="Y55" s="415">
        <v>163802.83872263998</v>
      </c>
      <c r="Z55" s="415">
        <v>-4126.3199273600185</v>
      </c>
      <c r="AA55" s="415"/>
      <c r="AB55" s="415">
        <v>123016.44895800001</v>
      </c>
      <c r="AC55" s="415">
        <v>121357.4274842633</v>
      </c>
      <c r="AD55" s="415">
        <v>-1659.021473736706</v>
      </c>
      <c r="AE55" s="415"/>
      <c r="AF55" s="415">
        <v>3447.3845299999998</v>
      </c>
      <c r="AG55" s="415">
        <v>3163.6658384305756</v>
      </c>
      <c r="AH55" s="415">
        <v>-283.71869156942421</v>
      </c>
    </row>
    <row r="56" spans="22:34">
      <c r="V56" s="414">
        <v>43313</v>
      </c>
      <c r="W56" s="428"/>
      <c r="X56" s="415">
        <v>190164.84236800001</v>
      </c>
      <c r="Y56" s="415">
        <v>188001.51260173108</v>
      </c>
      <c r="Z56" s="415">
        <v>-2163.3297662689292</v>
      </c>
      <c r="AA56" s="415"/>
      <c r="AB56" s="415">
        <v>124369.881037</v>
      </c>
      <c r="AC56" s="415">
        <v>123539.05489997356</v>
      </c>
      <c r="AD56" s="415">
        <v>-830.82613702643721</v>
      </c>
      <c r="AE56" s="415"/>
      <c r="AF56" s="415">
        <v>4528.3572279999998</v>
      </c>
      <c r="AG56" s="415">
        <v>4378.1233659731715</v>
      </c>
      <c r="AH56" s="415">
        <v>-150.23386202682832</v>
      </c>
    </row>
    <row r="57" spans="22:34">
      <c r="V57" s="414">
        <v>43344</v>
      </c>
      <c r="W57" s="428"/>
      <c r="X57" s="415">
        <v>171078.55904699999</v>
      </c>
      <c r="Y57" s="415">
        <v>171218.65942211155</v>
      </c>
      <c r="Z57" s="415">
        <v>140.10037511156406</v>
      </c>
      <c r="AA57" s="415"/>
      <c r="AB57" s="415">
        <v>119715.634309</v>
      </c>
      <c r="AC57" s="415">
        <v>119768.66739491987</v>
      </c>
      <c r="AD57" s="415">
        <v>53.033085919872974</v>
      </c>
      <c r="AE57" s="415"/>
      <c r="AF57" s="415">
        <v>3435.8691839999997</v>
      </c>
      <c r="AG57" s="415">
        <v>3445.4260158801176</v>
      </c>
      <c r="AH57" s="415">
        <v>9.5568318801178975</v>
      </c>
    </row>
    <row r="58" spans="22:34">
      <c r="V58" s="414">
        <v>43374</v>
      </c>
      <c r="W58" s="428"/>
      <c r="X58" s="415">
        <v>159565.63705199998</v>
      </c>
      <c r="Y58" s="415">
        <v>159693.53866771597</v>
      </c>
      <c r="Z58" s="415">
        <v>127.9016157159931</v>
      </c>
      <c r="AA58" s="415"/>
      <c r="AB58" s="415">
        <v>116170.97304099999</v>
      </c>
      <c r="AC58" s="415">
        <v>116307.84485667004</v>
      </c>
      <c r="AD58" s="415">
        <v>136.87181567004882</v>
      </c>
      <c r="AE58" s="415"/>
      <c r="AF58" s="415">
        <v>1100.2293710000001</v>
      </c>
      <c r="AG58" s="415">
        <v>1100.2293710000001</v>
      </c>
      <c r="AH58" s="415">
        <v>0</v>
      </c>
    </row>
    <row r="59" spans="22:34">
      <c r="V59" s="414">
        <v>43405</v>
      </c>
      <c r="W59" s="428"/>
      <c r="X59" s="415">
        <v>149973.65151900001</v>
      </c>
      <c r="Y59" s="415">
        <v>150672.05656439194</v>
      </c>
      <c r="Z59" s="415">
        <v>698.40504539193353</v>
      </c>
      <c r="AA59" s="415"/>
      <c r="AB59" s="415">
        <v>105107.27142</v>
      </c>
      <c r="AC59" s="415">
        <v>105818.5817782451</v>
      </c>
      <c r="AD59" s="415">
        <v>711.31035824510036</v>
      </c>
      <c r="AE59" s="415"/>
      <c r="AF59" s="415">
        <v>309.864799</v>
      </c>
      <c r="AG59" s="415">
        <v>309.864799</v>
      </c>
      <c r="AH59" s="415">
        <v>0</v>
      </c>
    </row>
    <row r="60" spans="22:34">
      <c r="V60" s="418">
        <v>43435</v>
      </c>
      <c r="W60" s="429"/>
      <c r="X60" s="419">
        <v>164290.905692</v>
      </c>
      <c r="Y60" s="419">
        <v>164935.97111909025</v>
      </c>
      <c r="Z60" s="419">
        <v>645.06542709024507</v>
      </c>
      <c r="AA60" s="415"/>
      <c r="AB60" s="419">
        <v>120611.35738</v>
      </c>
      <c r="AC60" s="419">
        <v>121281.75324771709</v>
      </c>
      <c r="AD60" s="419">
        <v>670.39586771708855</v>
      </c>
      <c r="AE60" s="415"/>
      <c r="AF60" s="419">
        <v>224.08819800000001</v>
      </c>
      <c r="AG60" s="419">
        <v>224.08819800000001</v>
      </c>
      <c r="AH60" s="419">
        <v>0</v>
      </c>
    </row>
    <row r="61" spans="22:34">
      <c r="V61" s="414" t="s">
        <v>21</v>
      </c>
      <c r="W61" s="428"/>
      <c r="X61" s="430">
        <v>1940413.4425290001</v>
      </c>
      <c r="Y61" s="430">
        <v>1935540.3292868661</v>
      </c>
      <c r="Z61" s="430">
        <v>-4873.1132421338698</v>
      </c>
      <c r="AA61" s="408"/>
      <c r="AB61" s="430">
        <v>1411471.5678369999</v>
      </c>
      <c r="AC61" s="430">
        <v>1410765.8345161579</v>
      </c>
      <c r="AD61" s="430">
        <v>-705.7333208421478</v>
      </c>
      <c r="AE61" s="430"/>
      <c r="AF61" s="430">
        <v>16726.140044</v>
      </c>
      <c r="AG61" s="430">
        <v>16259.923682656217</v>
      </c>
      <c r="AH61" s="430">
        <v>-466.21636134378093</v>
      </c>
    </row>
    <row r="62" spans="22:34"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</row>
    <row r="63" spans="22:34">
      <c r="V63" s="408"/>
      <c r="W63" s="424"/>
      <c r="X63" s="422" t="s">
        <v>222</v>
      </c>
      <c r="Y63" s="423"/>
      <c r="Z63" s="423"/>
      <c r="AA63" s="408"/>
      <c r="AB63" s="422" t="s">
        <v>139</v>
      </c>
      <c r="AC63" s="423"/>
      <c r="AD63" s="423"/>
      <c r="AE63" s="424"/>
      <c r="AF63" s="422" t="s">
        <v>27</v>
      </c>
      <c r="AG63" s="423"/>
      <c r="AH63" s="423"/>
    </row>
    <row r="64" spans="22:34">
      <c r="V64" s="408"/>
      <c r="W64" s="424"/>
      <c r="X64" s="246" t="s">
        <v>374</v>
      </c>
      <c r="Y64" s="426"/>
      <c r="Z64" s="426"/>
      <c r="AA64" s="408"/>
      <c r="AB64" s="425" t="s">
        <v>140</v>
      </c>
      <c r="AC64" s="426"/>
      <c r="AD64" s="426"/>
      <c r="AE64" s="424"/>
      <c r="AF64" s="425" t="s">
        <v>143</v>
      </c>
      <c r="AG64" s="426"/>
      <c r="AH64" s="426"/>
    </row>
    <row r="65" spans="22:34">
      <c r="V65" s="411" t="s">
        <v>64</v>
      </c>
      <c r="W65" s="427"/>
      <c r="X65" s="411" t="s">
        <v>121</v>
      </c>
      <c r="Y65" s="411" t="s">
        <v>129</v>
      </c>
      <c r="Z65" s="411" t="s">
        <v>130</v>
      </c>
      <c r="AA65" s="408"/>
      <c r="AB65" s="411" t="s">
        <v>121</v>
      </c>
      <c r="AC65" s="411" t="s">
        <v>129</v>
      </c>
      <c r="AD65" s="411" t="s">
        <v>130</v>
      </c>
      <c r="AE65" s="427"/>
      <c r="AF65" s="411" t="s">
        <v>121</v>
      </c>
      <c r="AG65" s="411" t="s">
        <v>129</v>
      </c>
      <c r="AH65" s="411" t="s">
        <v>130</v>
      </c>
    </row>
    <row r="66" spans="22:34">
      <c r="V66" s="414">
        <v>43101</v>
      </c>
      <c r="W66" s="430"/>
      <c r="X66" s="415">
        <v>32012.128000000001</v>
      </c>
      <c r="Y66" s="415">
        <v>32238.365349282176</v>
      </c>
      <c r="Z66" s="415">
        <v>226.23734928217527</v>
      </c>
      <c r="AA66" s="415"/>
      <c r="AB66" s="415">
        <v>14705.562185000001</v>
      </c>
      <c r="AC66" s="415">
        <v>15984.509200517865</v>
      </c>
      <c r="AD66" s="415">
        <v>1278.9470155178642</v>
      </c>
      <c r="AE66" s="415"/>
      <c r="AF66" s="415">
        <v>997.46</v>
      </c>
      <c r="AG66" s="415">
        <v>1029.0105756855714</v>
      </c>
      <c r="AH66" s="415">
        <v>31.550575685571403</v>
      </c>
    </row>
    <row r="67" spans="22:34">
      <c r="V67" s="414">
        <v>43132</v>
      </c>
      <c r="W67" s="430"/>
      <c r="X67" s="415">
        <v>28239.23</v>
      </c>
      <c r="Y67" s="415">
        <v>28113.293790690939</v>
      </c>
      <c r="Z67" s="415">
        <v>-125.93620930906036</v>
      </c>
      <c r="AA67" s="415"/>
      <c r="AB67" s="415">
        <v>13348.269554999999</v>
      </c>
      <c r="AC67" s="415">
        <v>12542.908577137294</v>
      </c>
      <c r="AD67" s="415">
        <v>-805.36097786270511</v>
      </c>
      <c r="AE67" s="415"/>
      <c r="AF67" s="415">
        <v>897.14</v>
      </c>
      <c r="AG67" s="415">
        <v>877.42439898533053</v>
      </c>
      <c r="AH67" s="415">
        <v>-19.71560101466946</v>
      </c>
    </row>
    <row r="68" spans="22:34">
      <c r="V68" s="414">
        <v>43160</v>
      </c>
      <c r="W68" s="430"/>
      <c r="X68" s="415">
        <v>32729.637999999999</v>
      </c>
      <c r="Y68" s="415">
        <v>32717.015346709351</v>
      </c>
      <c r="Z68" s="415">
        <v>-12.622653290647577</v>
      </c>
      <c r="AA68" s="415"/>
      <c r="AB68" s="415">
        <v>14774.1</v>
      </c>
      <c r="AC68" s="415">
        <v>14881.072003025</v>
      </c>
      <c r="AD68" s="415">
        <v>106.97200302499914</v>
      </c>
      <c r="AE68" s="415"/>
      <c r="AF68" s="415">
        <v>943.66</v>
      </c>
      <c r="AG68" s="415">
        <v>945.4108794533845</v>
      </c>
      <c r="AH68" s="415">
        <v>1.7508794533845276</v>
      </c>
    </row>
    <row r="69" spans="22:34">
      <c r="V69" s="414">
        <v>43191</v>
      </c>
      <c r="W69" s="430"/>
      <c r="X69" s="415">
        <v>29653.347000000002</v>
      </c>
      <c r="Y69" s="415">
        <v>29677.589342342355</v>
      </c>
      <c r="Z69" s="415">
        <v>24.242342342353368</v>
      </c>
      <c r="AA69" s="415"/>
      <c r="AB69" s="415">
        <v>12167.918880000001</v>
      </c>
      <c r="AC69" s="415">
        <v>12291.254040215736</v>
      </c>
      <c r="AD69" s="415">
        <v>123.3351602157345</v>
      </c>
      <c r="AE69" s="415"/>
      <c r="AF69" s="415">
        <v>776.62</v>
      </c>
      <c r="AG69" s="415">
        <v>781.38586538892207</v>
      </c>
      <c r="AH69" s="415">
        <v>4.7658653889220659</v>
      </c>
    </row>
    <row r="70" spans="22:34">
      <c r="V70" s="414">
        <v>43221</v>
      </c>
      <c r="W70" s="430"/>
      <c r="X70" s="415">
        <v>28626.892</v>
      </c>
      <c r="Y70" s="415">
        <v>28627.353814170623</v>
      </c>
      <c r="Z70" s="415">
        <v>0.46181417062325636</v>
      </c>
      <c r="AA70" s="415"/>
      <c r="AB70" s="415">
        <v>9528.3856850000011</v>
      </c>
      <c r="AC70" s="415">
        <v>9723.226773721326</v>
      </c>
      <c r="AD70" s="415">
        <v>194.84108872132492</v>
      </c>
      <c r="AE70" s="415"/>
      <c r="AF70" s="415">
        <v>591.08000000000004</v>
      </c>
      <c r="AG70" s="415">
        <v>601.1173555526035</v>
      </c>
      <c r="AH70" s="415">
        <v>10.037355552603458</v>
      </c>
    </row>
    <row r="71" spans="22:34">
      <c r="V71" s="414">
        <v>43252</v>
      </c>
      <c r="W71" s="430"/>
      <c r="X71" s="415">
        <v>27309.827000000001</v>
      </c>
      <c r="Y71" s="415">
        <v>27236.089169322782</v>
      </c>
      <c r="Z71" s="415">
        <v>-73.737830677218881</v>
      </c>
      <c r="AA71" s="415"/>
      <c r="AB71" s="415">
        <v>8207.9652699999988</v>
      </c>
      <c r="AC71" s="415">
        <v>8185.6526829803652</v>
      </c>
      <c r="AD71" s="415">
        <v>-22.312587019633611</v>
      </c>
      <c r="AE71" s="415"/>
      <c r="AF71" s="415">
        <v>387.72</v>
      </c>
      <c r="AG71" s="415">
        <v>387.26751144258054</v>
      </c>
      <c r="AH71" s="415">
        <v>-0.45248855741948546</v>
      </c>
    </row>
    <row r="72" spans="22:34">
      <c r="V72" s="414">
        <v>43282</v>
      </c>
      <c r="W72" s="430"/>
      <c r="X72" s="415">
        <v>29390.128000000001</v>
      </c>
      <c r="Y72" s="415">
        <v>28739.042701810933</v>
      </c>
      <c r="Z72" s="415">
        <v>-651.08529818906754</v>
      </c>
      <c r="AA72" s="415"/>
      <c r="AB72" s="415">
        <v>6333.3257949999997</v>
      </c>
      <c r="AC72" s="415">
        <v>6090.5746375682929</v>
      </c>
      <c r="AD72" s="415">
        <v>-242.75115743170682</v>
      </c>
      <c r="AE72" s="415"/>
      <c r="AF72" s="415">
        <v>316.26</v>
      </c>
      <c r="AG72" s="415">
        <v>311.33712301843309</v>
      </c>
      <c r="AH72" s="415">
        <v>-4.9228769815669011</v>
      </c>
    </row>
    <row r="73" spans="22:34">
      <c r="V73" s="414">
        <v>43313</v>
      </c>
      <c r="W73" s="430"/>
      <c r="X73" s="415">
        <v>31555.887999999999</v>
      </c>
      <c r="Y73" s="415">
        <v>31174.145559590081</v>
      </c>
      <c r="Z73" s="415">
        <v>-381.74244040991834</v>
      </c>
      <c r="AA73" s="415"/>
      <c r="AB73" s="415">
        <v>5565.0993349999999</v>
      </c>
      <c r="AC73" s="415">
        <v>5438.8578345329915</v>
      </c>
      <c r="AD73" s="415">
        <v>-126.24150046700834</v>
      </c>
      <c r="AE73" s="415"/>
      <c r="AF73" s="415">
        <v>285.14</v>
      </c>
      <c r="AG73" s="415">
        <v>282.56325881447532</v>
      </c>
      <c r="AH73" s="415">
        <v>-2.5767411855246678</v>
      </c>
    </row>
    <row r="74" spans="22:34">
      <c r="V74" s="414">
        <v>43344</v>
      </c>
      <c r="W74" s="430"/>
      <c r="X74" s="415">
        <v>30000.577000000001</v>
      </c>
      <c r="Y74" s="415">
        <v>30025.864382424552</v>
      </c>
      <c r="Z74" s="415">
        <v>25.287382424550742</v>
      </c>
      <c r="AA74" s="415"/>
      <c r="AB74" s="415">
        <v>5746.4796399999996</v>
      </c>
      <c r="AC74" s="415">
        <v>5754.6513390354412</v>
      </c>
      <c r="AD74" s="415">
        <v>8.1716990354416339</v>
      </c>
      <c r="AE74" s="415"/>
      <c r="AF74" s="415">
        <v>298.26</v>
      </c>
      <c r="AG74" s="415">
        <v>298.4267942267989</v>
      </c>
      <c r="AH74" s="415">
        <v>0.16679422679891331</v>
      </c>
    </row>
    <row r="75" spans="22:34">
      <c r="V75" s="414">
        <v>43374</v>
      </c>
      <c r="W75" s="430"/>
      <c r="X75" s="415">
        <v>17504.791000000001</v>
      </c>
      <c r="Y75" s="415">
        <v>17538.369850530344</v>
      </c>
      <c r="Z75" s="415">
        <v>33.578850530342606</v>
      </c>
      <c r="AA75" s="415"/>
      <c r="AB75" s="415">
        <v>7995.505725</v>
      </c>
      <c r="AC75" s="415">
        <v>8072.6758809875437</v>
      </c>
      <c r="AD75" s="415">
        <v>77.170155987543694</v>
      </c>
      <c r="AE75" s="415"/>
      <c r="AF75" s="415">
        <v>353.44</v>
      </c>
      <c r="AG75" s="415">
        <v>356.60178508422302</v>
      </c>
      <c r="AH75" s="415">
        <v>3.1617850842230268</v>
      </c>
    </row>
    <row r="76" spans="22:34">
      <c r="V76" s="414">
        <v>43405</v>
      </c>
      <c r="W76" s="430"/>
      <c r="X76" s="415">
        <v>35966.337</v>
      </c>
      <c r="Y76" s="415">
        <v>36240.032688241474</v>
      </c>
      <c r="Z76" s="415">
        <v>273.69568824147427</v>
      </c>
      <c r="AA76" s="415"/>
      <c r="AB76" s="415">
        <v>9194.1588350000002</v>
      </c>
      <c r="AC76" s="415">
        <v>10198.784454522111</v>
      </c>
      <c r="AD76" s="415">
        <v>1004.6256195221104</v>
      </c>
      <c r="AE76" s="415"/>
      <c r="AF76" s="415">
        <v>515.476</v>
      </c>
      <c r="AG76" s="415">
        <v>546.84645175589424</v>
      </c>
      <c r="AH76" s="415">
        <v>31.370451755894237</v>
      </c>
    </row>
    <row r="77" spans="22:34">
      <c r="V77" s="418">
        <v>43435</v>
      </c>
      <c r="W77" s="430"/>
      <c r="X77" s="419">
        <v>28404.613000000001</v>
      </c>
      <c r="Y77" s="419">
        <v>28613.618204702387</v>
      </c>
      <c r="Z77" s="419">
        <v>209.00520470238553</v>
      </c>
      <c r="AA77" s="415"/>
      <c r="AB77" s="419">
        <v>12572.569045</v>
      </c>
      <c r="AC77" s="419">
        <v>13778.477715450066</v>
      </c>
      <c r="AD77" s="419">
        <v>1205.908670450066</v>
      </c>
      <c r="AE77" s="415"/>
      <c r="AF77" s="419">
        <v>768.62400000000002</v>
      </c>
      <c r="AG77" s="419">
        <v>799.40423511705433</v>
      </c>
      <c r="AH77" s="419">
        <v>30.780235117054303</v>
      </c>
    </row>
    <row r="78" spans="22:34">
      <c r="V78" s="414" t="s">
        <v>21</v>
      </c>
      <c r="W78" s="430"/>
      <c r="X78" s="430">
        <v>351393.39600000001</v>
      </c>
      <c r="Y78" s="430">
        <v>350940.78019981796</v>
      </c>
      <c r="Z78" s="430">
        <v>-452.61580018200766</v>
      </c>
      <c r="AA78" s="408"/>
      <c r="AB78" s="430">
        <v>120139.33994999999</v>
      </c>
      <c r="AC78" s="430">
        <v>122942.64513969402</v>
      </c>
      <c r="AD78" s="430">
        <v>2803.3051896940306</v>
      </c>
      <c r="AE78" s="430"/>
      <c r="AF78" s="430">
        <v>7130.88</v>
      </c>
      <c r="AG78" s="430">
        <v>7216.7962345252708</v>
      </c>
      <c r="AH78" s="430">
        <v>85.91623452527142</v>
      </c>
    </row>
    <row r="79" spans="22:34">
      <c r="V79" s="408"/>
      <c r="W79" s="408"/>
      <c r="X79" s="408"/>
      <c r="Y79" s="408"/>
      <c r="Z79" s="408"/>
      <c r="AA79" s="408"/>
      <c r="AB79" s="408"/>
      <c r="AC79" s="408"/>
      <c r="AD79" s="408"/>
      <c r="AE79" s="408"/>
      <c r="AF79" s="408"/>
      <c r="AG79" s="408"/>
      <c r="AH79" s="408"/>
    </row>
    <row r="80" spans="22:34">
      <c r="V80" s="408"/>
      <c r="W80" s="408"/>
      <c r="X80" s="422" t="s">
        <v>21</v>
      </c>
      <c r="Y80" s="423"/>
      <c r="Z80" s="423"/>
      <c r="AA80" s="408"/>
      <c r="AB80" s="408"/>
      <c r="AC80" s="408"/>
      <c r="AD80" s="408"/>
      <c r="AE80" s="408"/>
      <c r="AF80" s="408"/>
      <c r="AG80" s="408"/>
      <c r="AH80" s="408"/>
    </row>
    <row r="81" spans="22:34">
      <c r="V81" s="408"/>
      <c r="W81" s="408"/>
      <c r="X81" s="246" t="s">
        <v>375</v>
      </c>
      <c r="Y81" s="426"/>
      <c r="Z81" s="426"/>
      <c r="AA81" s="408"/>
      <c r="AB81" s="408"/>
      <c r="AC81" s="408"/>
      <c r="AD81" s="408"/>
      <c r="AE81" s="408"/>
      <c r="AF81" s="408"/>
      <c r="AG81" s="408"/>
      <c r="AH81" s="408"/>
    </row>
    <row r="82" spans="22:34">
      <c r="V82" s="411" t="s">
        <v>64</v>
      </c>
      <c r="W82" s="408"/>
      <c r="X82" s="411" t="s">
        <v>121</v>
      </c>
      <c r="Y82" s="411" t="s">
        <v>129</v>
      </c>
      <c r="Z82" s="411" t="s">
        <v>130</v>
      </c>
      <c r="AA82" s="408"/>
      <c r="AB82" s="408"/>
      <c r="AC82" s="408"/>
      <c r="AD82" s="408"/>
      <c r="AE82" s="408"/>
      <c r="AF82" s="408"/>
      <c r="AG82" s="408"/>
      <c r="AH82" s="408"/>
    </row>
    <row r="83" spans="22:34">
      <c r="V83" s="414">
        <v>43101</v>
      </c>
      <c r="W83" s="408"/>
      <c r="X83" s="415">
        <v>2118037.8880210002</v>
      </c>
      <c r="Y83" s="415">
        <v>2201943.218956749</v>
      </c>
      <c r="Z83" s="415">
        <v>83905.330935748905</v>
      </c>
      <c r="AA83" s="408"/>
      <c r="AB83" s="408"/>
      <c r="AC83" s="408"/>
      <c r="AD83" s="408"/>
      <c r="AE83" s="408"/>
      <c r="AF83" s="408"/>
      <c r="AG83" s="408"/>
      <c r="AH83" s="408"/>
    </row>
    <row r="84" spans="22:34">
      <c r="V84" s="414">
        <v>43132</v>
      </c>
      <c r="W84" s="408"/>
      <c r="X84" s="415">
        <v>1967096.1521419995</v>
      </c>
      <c r="Y84" s="415">
        <v>1914229.7639754582</v>
      </c>
      <c r="Z84" s="415">
        <v>-52866.388166541314</v>
      </c>
      <c r="AA84" s="408"/>
      <c r="AB84" s="408"/>
      <c r="AC84" s="408"/>
      <c r="AD84" s="408"/>
      <c r="AE84" s="408"/>
      <c r="AF84" s="408"/>
      <c r="AG84" s="408"/>
      <c r="AH84" s="408"/>
    </row>
    <row r="85" spans="22:34">
      <c r="V85" s="414">
        <v>43160</v>
      </c>
      <c r="W85" s="408"/>
      <c r="X85" s="415">
        <v>1943915.0066899997</v>
      </c>
      <c r="Y85" s="415">
        <v>1949599.793274102</v>
      </c>
      <c r="Z85" s="415">
        <v>5684.786584102183</v>
      </c>
      <c r="AA85" s="408"/>
      <c r="AB85" s="408"/>
      <c r="AC85" s="408"/>
      <c r="AD85" s="408"/>
      <c r="AE85" s="408"/>
      <c r="AF85" s="408"/>
      <c r="AG85" s="408"/>
      <c r="AH85" s="408"/>
    </row>
    <row r="86" spans="22:34">
      <c r="V86" s="414">
        <v>43191</v>
      </c>
      <c r="W86" s="408"/>
      <c r="X86" s="415">
        <v>1699430.7884710003</v>
      </c>
      <c r="Y86" s="415">
        <v>1709953.1858275458</v>
      </c>
      <c r="Z86" s="415">
        <v>10522.397356545778</v>
      </c>
      <c r="AA86" s="408"/>
      <c r="AB86" s="408"/>
      <c r="AC86" s="408"/>
      <c r="AD86" s="408"/>
      <c r="AE86" s="408"/>
      <c r="AF86" s="408"/>
      <c r="AG86" s="408"/>
      <c r="AH86" s="408"/>
    </row>
    <row r="87" spans="22:34">
      <c r="V87" s="414">
        <v>43221</v>
      </c>
      <c r="W87" s="408"/>
      <c r="X87" s="415">
        <v>1491600.9374650002</v>
      </c>
      <c r="Y87" s="415">
        <v>1508748.9452410345</v>
      </c>
      <c r="Z87" s="415">
        <v>17148.007776034407</v>
      </c>
      <c r="AA87" s="408"/>
      <c r="AB87" s="408"/>
      <c r="AC87" s="408"/>
      <c r="AD87" s="408"/>
      <c r="AE87" s="408"/>
      <c r="AF87" s="408"/>
      <c r="AG87" s="408"/>
      <c r="AH87" s="408"/>
    </row>
    <row r="88" spans="22:34">
      <c r="V88" s="414">
        <v>43252</v>
      </c>
      <c r="W88" s="408"/>
      <c r="X88" s="415">
        <v>1404675.594211</v>
      </c>
      <c r="Y88" s="415">
        <v>1399102.8410358017</v>
      </c>
      <c r="Z88" s="415">
        <v>-5572.7531751981933</v>
      </c>
      <c r="AA88" s="408"/>
      <c r="AB88" s="408"/>
      <c r="AC88" s="408"/>
      <c r="AD88" s="408"/>
      <c r="AE88" s="408"/>
      <c r="AF88" s="408"/>
      <c r="AG88" s="408"/>
      <c r="AH88" s="408"/>
    </row>
    <row r="89" spans="22:34">
      <c r="V89" s="414">
        <v>43282</v>
      </c>
      <c r="W89" s="408"/>
      <c r="X89" s="415">
        <v>1447752.4749459997</v>
      </c>
      <c r="Y89" s="415">
        <v>1387119.7711101344</v>
      </c>
      <c r="Z89" s="415">
        <v>-60632.703835865468</v>
      </c>
      <c r="AA89" s="408"/>
      <c r="AB89" s="408"/>
      <c r="AC89" s="408"/>
      <c r="AD89" s="408"/>
      <c r="AE89" s="408"/>
      <c r="AF89" s="408"/>
      <c r="AG89" s="408"/>
      <c r="AH89" s="408"/>
    </row>
    <row r="90" spans="22:34">
      <c r="V90" s="414">
        <v>43313</v>
      </c>
      <c r="W90" s="408"/>
      <c r="X90" s="415">
        <v>1586741.9039549998</v>
      </c>
      <c r="Y90" s="415">
        <v>1554969.6854745678</v>
      </c>
      <c r="Z90" s="415">
        <v>-31772.218480432082</v>
      </c>
      <c r="AA90" s="408"/>
      <c r="AB90" s="408"/>
      <c r="AC90" s="408"/>
      <c r="AD90" s="408"/>
      <c r="AE90" s="408"/>
      <c r="AF90" s="408"/>
      <c r="AG90" s="408"/>
      <c r="AH90" s="408"/>
    </row>
    <row r="91" spans="22:34">
      <c r="V91" s="414">
        <v>43344</v>
      </c>
      <c r="W91" s="408"/>
      <c r="X91" s="415">
        <v>1467149.3967210001</v>
      </c>
      <c r="Y91" s="415">
        <v>1469208.5103097057</v>
      </c>
      <c r="Z91" s="415">
        <v>2059.1135887056985</v>
      </c>
      <c r="AA91" s="408"/>
      <c r="AB91" s="408"/>
      <c r="AC91" s="408"/>
      <c r="AD91" s="408"/>
      <c r="AE91" s="408"/>
      <c r="AF91" s="408"/>
      <c r="AG91" s="408"/>
      <c r="AH91" s="408"/>
    </row>
    <row r="92" spans="22:34">
      <c r="V92" s="414">
        <v>43374</v>
      </c>
      <c r="W92" s="408"/>
      <c r="X92" s="415">
        <v>1420211.0190750002</v>
      </c>
      <c r="Y92" s="415">
        <v>1427304.51412997</v>
      </c>
      <c r="Z92" s="415">
        <v>7093.4950549700079</v>
      </c>
      <c r="AA92" s="408"/>
      <c r="AB92" s="408"/>
      <c r="AC92" s="408"/>
      <c r="AD92" s="408"/>
      <c r="AE92" s="408"/>
      <c r="AF92" s="408"/>
      <c r="AG92" s="408"/>
      <c r="AH92" s="408"/>
    </row>
    <row r="93" spans="22:34">
      <c r="V93" s="414">
        <v>43405</v>
      </c>
      <c r="W93" s="408"/>
      <c r="X93" s="415">
        <v>1590668.351451</v>
      </c>
      <c r="Y93" s="415">
        <v>1667674.2647172292</v>
      </c>
      <c r="Z93" s="415">
        <v>77005.913266229181</v>
      </c>
      <c r="AA93" s="408"/>
      <c r="AB93" s="408"/>
      <c r="AC93" s="408"/>
      <c r="AD93" s="408"/>
      <c r="AE93" s="408"/>
      <c r="AF93" s="408"/>
      <c r="AG93" s="408"/>
      <c r="AH93" s="408"/>
    </row>
    <row r="94" spans="22:34">
      <c r="V94" s="418">
        <v>43435</v>
      </c>
      <c r="W94" s="408"/>
      <c r="X94" s="419">
        <v>1913129.2268690001</v>
      </c>
      <c r="Y94" s="419">
        <v>1995801.9461869893</v>
      </c>
      <c r="Z94" s="419">
        <v>82672.719317988944</v>
      </c>
      <c r="AA94" s="408"/>
      <c r="AB94" s="408"/>
      <c r="AC94" s="408"/>
      <c r="AD94" s="408"/>
      <c r="AE94" s="408"/>
      <c r="AF94" s="408"/>
      <c r="AG94" s="408"/>
      <c r="AH94" s="408"/>
    </row>
    <row r="95" spans="22:34">
      <c r="V95" s="414" t="s">
        <v>21</v>
      </c>
      <c r="W95" s="408"/>
      <c r="X95" s="430">
        <v>20050408.740016997</v>
      </c>
      <c r="Y95" s="430">
        <v>20185656.440239288</v>
      </c>
      <c r="Z95" s="430">
        <v>135247.70022228803</v>
      </c>
      <c r="AA95" s="408"/>
      <c r="AB95" s="408"/>
      <c r="AC95" s="408"/>
      <c r="AD95" s="408"/>
      <c r="AE95" s="408"/>
      <c r="AF95" s="408"/>
      <c r="AG95" s="408"/>
      <c r="AH95" s="408"/>
    </row>
  </sheetData>
  <mergeCells count="9">
    <mergeCell ref="A22:N22"/>
    <mergeCell ref="A1:N1"/>
    <mergeCell ref="P26:T26"/>
    <mergeCell ref="P27:T27"/>
    <mergeCell ref="V26:AH26"/>
    <mergeCell ref="V27:AH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7" t="s">
        <v>29</v>
      </c>
    </row>
    <row r="2" spans="1:28">
      <c r="A2" s="67" t="s">
        <v>28</v>
      </c>
    </row>
    <row r="3" spans="1:28">
      <c r="A3" s="91" t="s">
        <v>170</v>
      </c>
    </row>
    <row r="4" spans="1:28">
      <c r="A4" s="110" t="s">
        <v>60</v>
      </c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65">
        <f>'SAP BW Actual Usage'!C9</f>
        <v>1245600497.118</v>
      </c>
      <c r="C8" s="65">
        <f>'SAP BW Actual Usage'!D9</f>
        <v>1123202830.28</v>
      </c>
      <c r="D8" s="65">
        <f>'SAP BW Actual Usage'!E9</f>
        <v>1119823626.9689999</v>
      </c>
      <c r="E8" s="65">
        <f>'SAP BW Actual Usage'!F9</f>
        <v>924598024.89300001</v>
      </c>
      <c r="F8" s="65">
        <f>'SAP BW Actual Usage'!G9</f>
        <v>741369503.04700005</v>
      </c>
      <c r="G8" s="65">
        <f>'SAP BW Actual Usage'!H9</f>
        <v>663353185.37899995</v>
      </c>
      <c r="H8" s="65">
        <f>'SAP BW Actual Usage'!I9</f>
        <v>670337023.352</v>
      </c>
      <c r="I8" s="65">
        <f>'SAP BW Actual Usage'!J9</f>
        <v>735328695.551</v>
      </c>
      <c r="J8" s="65">
        <f>'SAP BW Actual Usage'!K9</f>
        <v>680363495.79100001</v>
      </c>
      <c r="K8" s="65">
        <f>'SAP BW Actual Usage'!L9</f>
        <v>687720733.88199997</v>
      </c>
      <c r="L8" s="65">
        <f>'SAP BW Actual Usage'!M9</f>
        <v>842221071.13300002</v>
      </c>
      <c r="M8" s="65">
        <f>'SAP BW Actual Usage'!N9</f>
        <v>1085744611.6700001</v>
      </c>
      <c r="N8" s="224">
        <f t="shared" ref="N8:N9" si="0">SUM(B8:M8)</f>
        <v>10519663299.064999</v>
      </c>
    </row>
    <row r="9" spans="1:28">
      <c r="A9" s="90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225">
        <f t="shared" si="0"/>
        <v>10519663299.064999</v>
      </c>
    </row>
    <row r="10" spans="1:28">
      <c r="A10" s="91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26"/>
    </row>
    <row r="11" spans="1:28">
      <c r="A11" s="97" t="s">
        <v>36</v>
      </c>
      <c r="B11" s="65">
        <f>'SAP BW Actual Usage'!C10</f>
        <v>27592309.217</v>
      </c>
      <c r="C11" s="65">
        <f>'SAP BW Actual Usage'!D10</f>
        <v>25743291.204</v>
      </c>
      <c r="D11" s="65">
        <f>'SAP BW Actual Usage'!E10</f>
        <v>25148347.254999999</v>
      </c>
      <c r="E11" s="65">
        <f>'SAP BW Actual Usage'!F10</f>
        <v>21812218.140000001</v>
      </c>
      <c r="F11" s="65">
        <f>'SAP BW Actual Usage'!G10</f>
        <v>18056250.261</v>
      </c>
      <c r="G11" s="65">
        <f>'SAP BW Actual Usage'!H10</f>
        <v>17691476.054000001</v>
      </c>
      <c r="H11" s="65">
        <f>'SAP BW Actual Usage'!I10</f>
        <v>17509270.335000001</v>
      </c>
      <c r="I11" s="65">
        <f>'SAP BW Actual Usage'!J10</f>
        <v>18663334.009</v>
      </c>
      <c r="J11" s="65">
        <f>'SAP BW Actual Usage'!K10</f>
        <v>18027881.932</v>
      </c>
      <c r="K11" s="65">
        <f>'SAP BW Actual Usage'!L10</f>
        <v>17435796.017000001</v>
      </c>
      <c r="L11" s="65">
        <f>'SAP BW Actual Usage'!M10</f>
        <v>19283903.647999998</v>
      </c>
      <c r="M11" s="65">
        <f>'SAP BW Actual Usage'!N10</f>
        <v>24238708.647999998</v>
      </c>
      <c r="N11" s="224">
        <f>SUM(B11:M11)</f>
        <v>251202786.72</v>
      </c>
    </row>
    <row r="12" spans="1:28" s="88" customFormat="1">
      <c r="A12" s="97" t="s">
        <v>153</v>
      </c>
      <c r="B12" s="92">
        <f>'SAP BW Actual Usage'!C14</f>
        <v>242459951.23099998</v>
      </c>
      <c r="C12" s="92">
        <f>'SAP BW Actual Usage'!D14</f>
        <v>224867111.17699999</v>
      </c>
      <c r="D12" s="92">
        <f>'SAP BW Actual Usage'!E14</f>
        <v>224646384.82399997</v>
      </c>
      <c r="E12" s="92">
        <f>'SAP BW Actual Usage'!F14</f>
        <v>200580672.93099999</v>
      </c>
      <c r="F12" s="92">
        <f>'SAP BW Actual Usage'!G14</f>
        <v>185648102.40099999</v>
      </c>
      <c r="G12" s="92">
        <f>'SAP BW Actual Usage'!H14</f>
        <v>184134839.60699996</v>
      </c>
      <c r="H12" s="92">
        <f>'SAP BW Actual Usage'!I14</f>
        <v>192213327.93900001</v>
      </c>
      <c r="I12" s="92">
        <f>'SAP BW Actual Usage'!J14</f>
        <v>207997878.27999997</v>
      </c>
      <c r="J12" s="92">
        <f>'SAP BW Actual Usage'!K14</f>
        <v>196094959.572</v>
      </c>
      <c r="K12" s="92">
        <f>'SAP BW Actual Usage'!L14</f>
        <v>181974725.954</v>
      </c>
      <c r="L12" s="92">
        <f>'SAP BW Actual Usage'!M14</f>
        <v>191312326.59699997</v>
      </c>
      <c r="M12" s="92">
        <f>'SAP BW Actual Usage'!N14</f>
        <v>215036493.13100001</v>
      </c>
      <c r="N12" s="226">
        <f>SUM(B12:M12)</f>
        <v>2446966773.6439996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225">
        <f>SUM(B13:M13)</f>
        <v>2698169560.3639994</v>
      </c>
    </row>
    <row r="14" spans="1:28">
      <c r="A14" s="91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224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65">
        <f>'SAP BW Actual Usage'!C12</f>
        <v>14974428.268999999</v>
      </c>
      <c r="C15" s="65">
        <f>'SAP BW Actual Usage'!D12</f>
        <v>13502408.460999999</v>
      </c>
      <c r="D15" s="65">
        <f>'SAP BW Actual Usage'!E12</f>
        <v>13696146.333000001</v>
      </c>
      <c r="E15" s="65">
        <f>'SAP BW Actual Usage'!F12</f>
        <v>11899442.74</v>
      </c>
      <c r="F15" s="65">
        <f>'SAP BW Actual Usage'!G12</f>
        <v>10675498.311000001</v>
      </c>
      <c r="G15" s="65">
        <f>'SAP BW Actual Usage'!H12</f>
        <v>10215371.359999999</v>
      </c>
      <c r="H15" s="65">
        <f>'SAP BW Actual Usage'!I12</f>
        <v>10303818.370999999</v>
      </c>
      <c r="I15" s="65">
        <f>'SAP BW Actual Usage'!J12</f>
        <v>12414786.642999999</v>
      </c>
      <c r="J15" s="65">
        <f>'SAP BW Actual Usage'!K12</f>
        <v>10899104.057</v>
      </c>
      <c r="K15" s="65">
        <f>'SAP BW Actual Usage'!L12</f>
        <v>10692755.982999999</v>
      </c>
      <c r="L15" s="65">
        <f>'SAP BW Actual Usage'!M12</f>
        <v>11529397.039999999</v>
      </c>
      <c r="M15" s="65">
        <f>'SAP BW Actual Usage'!N12</f>
        <v>13476483.731000001</v>
      </c>
      <c r="N15" s="224">
        <f>SUM(B15:M15)</f>
        <v>144279641.29899999</v>
      </c>
    </row>
    <row r="16" spans="1:28" s="88" customFormat="1">
      <c r="A16" s="97" t="s">
        <v>154</v>
      </c>
      <c r="B16" s="92">
        <f>'SAP BW Actual Usage'!C15</f>
        <v>253178476.366</v>
      </c>
      <c r="C16" s="92">
        <f>'SAP BW Actual Usage'!D15</f>
        <v>247212428.17199999</v>
      </c>
      <c r="D16" s="92">
        <f>'SAP BW Actual Usage'!E15</f>
        <v>248278744.898</v>
      </c>
      <c r="E16" s="92">
        <f>'SAP BW Actual Usage'!F15</f>
        <v>231408313.347</v>
      </c>
      <c r="F16" s="92">
        <f>'SAP BW Actual Usage'!G15</f>
        <v>227280428.412</v>
      </c>
      <c r="G16" s="92">
        <f>'SAP BW Actual Usage'!H15</f>
        <v>222571489.141</v>
      </c>
      <c r="H16" s="92">
        <f>'SAP BW Actual Usage'!I15</f>
        <v>226313146.016</v>
      </c>
      <c r="I16" s="92">
        <f>'SAP BW Actual Usage'!J15</f>
        <v>255163980.50400001</v>
      </c>
      <c r="J16" s="92">
        <f>'SAP BW Actual Usage'!K15</f>
        <v>230822615.18900001</v>
      </c>
      <c r="K16" s="92">
        <f>'SAP BW Actual Usage'!L15</f>
        <v>219063495.05000001</v>
      </c>
      <c r="L16" s="92">
        <f>'SAP BW Actual Usage'!M15</f>
        <v>224681333.46000001</v>
      </c>
      <c r="M16" s="92">
        <f>'SAP BW Actual Usage'!N15</f>
        <v>247141871.37400001</v>
      </c>
      <c r="N16" s="226">
        <f>SUM(B16:M16)</f>
        <v>2833116321.9290004</v>
      </c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225">
        <f>SUM(B17:M17)</f>
        <v>2977395963.2280002</v>
      </c>
    </row>
    <row r="18" spans="1:28">
      <c r="A18" s="91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224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65">
        <f>'SAP BW Actual Usage'!C13</f>
        <v>1647040</v>
      </c>
      <c r="C19" s="65">
        <f>'SAP BW Actual Usage'!D13</f>
        <v>1432900</v>
      </c>
      <c r="D19" s="65">
        <f>'SAP BW Actual Usage'!E13</f>
        <v>1526880</v>
      </c>
      <c r="E19" s="65">
        <f>'SAP BW Actual Usage'!F13</f>
        <v>1447900</v>
      </c>
      <c r="F19" s="65">
        <f>'SAP BW Actual Usage'!G13</f>
        <v>1122660</v>
      </c>
      <c r="G19" s="65">
        <f>'SAP BW Actual Usage'!H13</f>
        <v>966260</v>
      </c>
      <c r="H19" s="65">
        <f>'SAP BW Actual Usage'!I13</f>
        <v>1106120</v>
      </c>
      <c r="I19" s="65">
        <f>'SAP BW Actual Usage'!J13</f>
        <v>2188700</v>
      </c>
      <c r="J19" s="65">
        <f>'SAP BW Actual Usage'!K13</f>
        <v>1448440</v>
      </c>
      <c r="K19" s="65">
        <f>'SAP BW Actual Usage'!L13</f>
        <v>1191980</v>
      </c>
      <c r="L19" s="65">
        <f>'SAP BW Actual Usage'!M13</f>
        <v>1243960.1000000001</v>
      </c>
      <c r="M19" s="65">
        <f>'SAP BW Actual Usage'!N13</f>
        <v>1437039.9</v>
      </c>
      <c r="N19" s="224">
        <f>SUM(B19:M19)</f>
        <v>16759880</v>
      </c>
    </row>
    <row r="20" spans="1:28" s="88" customFormat="1">
      <c r="A20" s="97" t="s">
        <v>155</v>
      </c>
      <c r="B20" s="92">
        <f>'SAP BW Actual Usage'!C16</f>
        <v>156475578.912</v>
      </c>
      <c r="C20" s="92">
        <f>'SAP BW Actual Usage'!D16</f>
        <v>157621456.891</v>
      </c>
      <c r="D20" s="92">
        <f>'SAP BW Actual Usage'!E16</f>
        <v>146486140.18899998</v>
      </c>
      <c r="E20" s="92">
        <f>'SAP BW Actual Usage'!F16</f>
        <v>143220450.197</v>
      </c>
      <c r="F20" s="92">
        <f>'SAP BW Actual Usage'!G16</f>
        <v>149052732.609</v>
      </c>
      <c r="G20" s="92">
        <f>'SAP BW Actual Usage'!H16</f>
        <v>155402049.403</v>
      </c>
      <c r="H20" s="92">
        <f>'SAP BW Actual Usage'!I16</f>
        <v>161766178.65000001</v>
      </c>
      <c r="I20" s="92">
        <f>'SAP BW Actual Usage'!J16</f>
        <v>183615102.368</v>
      </c>
      <c r="J20" s="92">
        <f>'SAP BW Actual Usage'!K16</f>
        <v>165499659.04699999</v>
      </c>
      <c r="K20" s="92">
        <f>'SAP BW Actual Usage'!L16</f>
        <v>154696497.05199999</v>
      </c>
      <c r="L20" s="92">
        <f>'SAP BW Actual Usage'!M16</f>
        <v>145368431.419</v>
      </c>
      <c r="M20" s="92">
        <f>'SAP BW Actual Usage'!N16</f>
        <v>158815985.792</v>
      </c>
      <c r="N20" s="226">
        <f>SUM(B20:M20)</f>
        <v>1878020262.5289998</v>
      </c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225">
        <f>SUM(B21:M21)</f>
        <v>1894780142.529</v>
      </c>
    </row>
    <row r="22" spans="1:28">
      <c r="A22" s="91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224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65">
        <f>'SAP BW Actual Usage'!C11</f>
        <v>3098040</v>
      </c>
      <c r="C23" s="65">
        <f>'SAP BW Actual Usage'!D11</f>
        <v>2614020</v>
      </c>
      <c r="D23" s="65">
        <f>'SAP BW Actual Usage'!E11</f>
        <v>2836440</v>
      </c>
      <c r="E23" s="65">
        <f>'SAP BW Actual Usage'!F11</f>
        <v>2486280</v>
      </c>
      <c r="F23" s="65">
        <f>'SAP BW Actual Usage'!G11</f>
        <v>2272140</v>
      </c>
      <c r="G23" s="65">
        <f>'SAP BW Actual Usage'!H11</f>
        <v>2309160</v>
      </c>
      <c r="H23" s="65">
        <f>'SAP BW Actual Usage'!I11</f>
        <v>2267400</v>
      </c>
      <c r="I23" s="65">
        <f>'SAP BW Actual Usage'!J11</f>
        <v>2356640.4</v>
      </c>
      <c r="J23" s="65">
        <f>'SAP BW Actual Usage'!K11</f>
        <v>2426801.1</v>
      </c>
      <c r="K23" s="65">
        <f>'SAP BW Actual Usage'!L11</f>
        <v>2291272.2000000002</v>
      </c>
      <c r="L23" s="65">
        <f>'SAP BW Actual Usage'!M11</f>
        <v>1691340</v>
      </c>
      <c r="M23" s="65">
        <f>'SAP BW Actual Usage'!N11</f>
        <v>3304326.3</v>
      </c>
      <c r="N23" s="224">
        <f>SUM(B23:M23)</f>
        <v>29953860</v>
      </c>
    </row>
    <row r="24" spans="1:28" s="88" customFormat="1">
      <c r="A24" s="97" t="s">
        <v>6</v>
      </c>
      <c r="B24" s="92">
        <f>'SAP BW Actual Usage'!C18</f>
        <v>111293428.93399999</v>
      </c>
      <c r="C24" s="92">
        <f>'SAP BW Actual Usage'!D18</f>
        <v>112448329.70199999</v>
      </c>
      <c r="D24" s="92">
        <f>'SAP BW Actual Usage'!E18</f>
        <v>100970460.10600001</v>
      </c>
      <c r="E24" s="92">
        <f>'SAP BW Actual Usage'!F18</f>
        <v>106215200.595</v>
      </c>
      <c r="F24" s="92">
        <f>'SAP BW Actual Usage'!G18</f>
        <v>103197424.47499999</v>
      </c>
      <c r="G24" s="92">
        <f>'SAP BW Actual Usage'!H18</f>
        <v>101103077.88</v>
      </c>
      <c r="H24" s="92">
        <f>'SAP BW Actual Usage'!I18</f>
        <v>107121848.958</v>
      </c>
      <c r="I24" s="92">
        <f>'SAP BW Actual Usage'!J18</f>
        <v>111938040.63699999</v>
      </c>
      <c r="J24" s="92">
        <f>'SAP BW Actual Usage'!K18</f>
        <v>108706433.20900001</v>
      </c>
      <c r="K24" s="92">
        <f>'SAP BW Actual Usage'!L18</f>
        <v>100648500.84099999</v>
      </c>
      <c r="L24" s="92">
        <f>'SAP BW Actual Usage'!M18</f>
        <v>96160731.420000002</v>
      </c>
      <c r="M24" s="92">
        <f>'SAP BW Actual Usage'!N18</f>
        <v>108100631.08000001</v>
      </c>
      <c r="N24" s="226">
        <f>SUM(B24:M24)</f>
        <v>1267904107.8369999</v>
      </c>
    </row>
    <row r="25" spans="1:28">
      <c r="A25" s="90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225">
        <f t="shared" si="5"/>
        <v>1297857967.8369999</v>
      </c>
    </row>
    <row r="26" spans="1:28">
      <c r="A26" s="91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224"/>
    </row>
    <row r="27" spans="1:28">
      <c r="A27" s="90" t="s">
        <v>5</v>
      </c>
      <c r="B27" s="65">
        <f>'SAP BW Actual Usage'!C17</f>
        <v>269388.78899999999</v>
      </c>
      <c r="C27" s="65">
        <f>'SAP BW Actual Usage'!D17</f>
        <v>276136.7</v>
      </c>
      <c r="D27" s="65">
        <f>'SAP BW Actual Usage'!E17</f>
        <v>280808.11599999998</v>
      </c>
      <c r="E27" s="65">
        <f>'SAP BW Actual Usage'!F17</f>
        <v>266694.74800000002</v>
      </c>
      <c r="F27" s="65">
        <f>'SAP BW Actual Usage'!G17</f>
        <v>708710.26399999997</v>
      </c>
      <c r="G27" s="65">
        <f>'SAP BW Actual Usage'!H17</f>
        <v>1878608.1170000001</v>
      </c>
      <c r="H27" s="65">
        <f>'SAP BW Actual Usage'!I17</f>
        <v>3447384.53</v>
      </c>
      <c r="I27" s="65">
        <f>'SAP BW Actual Usage'!J17</f>
        <v>4528357.2280000001</v>
      </c>
      <c r="J27" s="65">
        <f>'SAP BW Actual Usage'!K17</f>
        <v>3435869.1839999999</v>
      </c>
      <c r="K27" s="65">
        <f>'SAP BW Actual Usage'!L17</f>
        <v>1100229.371</v>
      </c>
      <c r="L27" s="65">
        <f>'SAP BW Actual Usage'!M17</f>
        <v>309864.799</v>
      </c>
      <c r="M27" s="65">
        <f>'SAP BW Actual Usage'!N17</f>
        <v>224088.198</v>
      </c>
      <c r="N27" s="224">
        <f t="shared" ref="N27:N30" si="6">SUM(B27:M27)</f>
        <v>16726140.044000002</v>
      </c>
    </row>
    <row r="28" spans="1:28">
      <c r="A28" s="90" t="s">
        <v>24</v>
      </c>
      <c r="B28" s="65">
        <f>'SAP BW Actual Usage'!C20</f>
        <v>45745730.302000001</v>
      </c>
      <c r="C28" s="65">
        <f>'SAP BW Actual Usage'!D20</f>
        <v>43929830.578000002</v>
      </c>
      <c r="D28" s="65">
        <f>'SAP BW Actual Usage'!E20</f>
        <v>44503265.692999996</v>
      </c>
      <c r="E28" s="65">
        <f>'SAP BW Actual Usage'!F20</f>
        <v>42551050.405000001</v>
      </c>
      <c r="F28" s="65">
        <f>'SAP BW Actual Usage'!G20</f>
        <v>42098019.358999997</v>
      </c>
      <c r="G28" s="65">
        <f>'SAP BW Actual Usage'!H20</f>
        <v>36454394.177000001</v>
      </c>
      <c r="H28" s="65">
        <f>'SAP BW Actual Usage'!I20</f>
        <v>48717375.324000001</v>
      </c>
      <c r="I28" s="65">
        <f>'SAP BW Actual Usage'!J20</f>
        <v>46696152.519000001</v>
      </c>
      <c r="J28" s="65">
        <f>'SAP BW Actual Usage'!K20</f>
        <v>43379395.791000001</v>
      </c>
      <c r="K28" s="65">
        <f>'SAP BW Actual Usage'!L20</f>
        <v>35046087.943999998</v>
      </c>
      <c r="L28" s="65">
        <f>'SAP BW Actual Usage'!M20</f>
        <v>47156353.952</v>
      </c>
      <c r="M28" s="65">
        <f>'SAP BW Actual Usage'!N20</f>
        <v>42267793.200999998</v>
      </c>
      <c r="N28" s="224">
        <f t="shared" si="6"/>
        <v>518545449.245</v>
      </c>
    </row>
    <row r="29" spans="1:28" s="99" customFormat="1">
      <c r="A29" s="102" t="s">
        <v>8</v>
      </c>
      <c r="B29" s="100">
        <f>'SAP BW Actual Usage'!C21</f>
        <v>14705562.185000001</v>
      </c>
      <c r="C29" s="100">
        <f>'SAP BW Actual Usage'!D21</f>
        <v>13348269.555</v>
      </c>
      <c r="D29" s="100">
        <f>'SAP BW Actual Usage'!E21</f>
        <v>14774100</v>
      </c>
      <c r="E29" s="100">
        <f>'SAP BW Actual Usage'!F21</f>
        <v>12167918.880000001</v>
      </c>
      <c r="F29" s="100">
        <f>'SAP BW Actual Usage'!G21</f>
        <v>9528385.6850000005</v>
      </c>
      <c r="G29" s="100">
        <f>'SAP BW Actual Usage'!H21</f>
        <v>8207965.2699999996</v>
      </c>
      <c r="H29" s="100">
        <f>'SAP BW Actual Usage'!I21</f>
        <v>6333325.7949999999</v>
      </c>
      <c r="I29" s="100">
        <f>'SAP BW Actual Usage'!J21</f>
        <v>5565099.335</v>
      </c>
      <c r="J29" s="100">
        <f>'SAP BW Actual Usage'!K21</f>
        <v>5746479.6399999997</v>
      </c>
      <c r="K29" s="100">
        <f>'SAP BW Actual Usage'!L21</f>
        <v>7995505.7249999996</v>
      </c>
      <c r="L29" s="100">
        <f>'SAP BW Actual Usage'!M21</f>
        <v>9194158.8350000009</v>
      </c>
      <c r="M29" s="100">
        <f>'SAP BW Actual Usage'!N21</f>
        <v>12572569.045</v>
      </c>
      <c r="N29" s="227">
        <f t="shared" si="6"/>
        <v>120139339.95</v>
      </c>
    </row>
    <row r="30" spans="1:28">
      <c r="A30" s="90" t="s">
        <v>59</v>
      </c>
      <c r="B30" s="65">
        <f>'SAP BW Actual Usage'!C8</f>
        <v>997460</v>
      </c>
      <c r="C30" s="65">
        <f>'SAP BW Actual Usage'!D8</f>
        <v>897140</v>
      </c>
      <c r="D30" s="65">
        <f>'SAP BW Actual Usage'!E8</f>
        <v>943660</v>
      </c>
      <c r="E30" s="65">
        <f>'SAP BW Actual Usage'!F8</f>
        <v>776620</v>
      </c>
      <c r="F30" s="65">
        <f>'SAP BW Actual Usage'!G8</f>
        <v>591080</v>
      </c>
      <c r="G30" s="65">
        <f>'SAP BW Actual Usage'!H8</f>
        <v>387720</v>
      </c>
      <c r="H30" s="65">
        <f>'SAP BW Actual Usage'!I8</f>
        <v>316260</v>
      </c>
      <c r="I30" s="65">
        <f>'SAP BW Actual Usage'!J8</f>
        <v>285140</v>
      </c>
      <c r="J30" s="65">
        <f>'SAP BW Actual Usage'!K8</f>
        <v>298260</v>
      </c>
      <c r="K30" s="65">
        <f>'SAP BW Actual Usage'!L8</f>
        <v>353440</v>
      </c>
      <c r="L30" s="65">
        <f>'SAP BW Actual Usage'!M8</f>
        <v>515476</v>
      </c>
      <c r="M30" s="65">
        <f>'SAP BW Actual Usage'!N8</f>
        <v>768624</v>
      </c>
      <c r="N30" s="224">
        <f t="shared" si="6"/>
        <v>7130880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</row>
    <row r="32" spans="1:28" s="91" customFormat="1">
      <c r="A32" s="96" t="s">
        <v>21</v>
      </c>
      <c r="B32" s="116">
        <f t="shared" ref="B32:N32" si="7">SUM(B9,B13,B17,B21,B25,B27:B30)</f>
        <v>2118037891.323</v>
      </c>
      <c r="C32" s="116">
        <f t="shared" si="7"/>
        <v>1967096152.72</v>
      </c>
      <c r="D32" s="116">
        <f t="shared" si="7"/>
        <v>1943915004.3829997</v>
      </c>
      <c r="E32" s="116">
        <f t="shared" si="7"/>
        <v>1699430786.8760002</v>
      </c>
      <c r="F32" s="116">
        <f t="shared" si="7"/>
        <v>1491600934.8239999</v>
      </c>
      <c r="G32" s="116">
        <f t="shared" si="7"/>
        <v>1404675596.388</v>
      </c>
      <c r="H32" s="116">
        <f t="shared" si="7"/>
        <v>1447752479.27</v>
      </c>
      <c r="I32" s="116">
        <f t="shared" si="7"/>
        <v>1586741907.474</v>
      </c>
      <c r="J32" s="116">
        <f t="shared" si="7"/>
        <v>1467149394.5120001</v>
      </c>
      <c r="K32" s="116">
        <f t="shared" si="7"/>
        <v>1420211020.0189998</v>
      </c>
      <c r="L32" s="116">
        <f t="shared" si="7"/>
        <v>1590668348.4030001</v>
      </c>
      <c r="M32" s="116">
        <f t="shared" si="7"/>
        <v>1913129226.0700002</v>
      </c>
      <c r="N32" s="225">
        <f t="shared" si="7"/>
        <v>20050408742.261993</v>
      </c>
    </row>
    <row r="33" spans="1:14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226"/>
    </row>
    <row r="34" spans="1:14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5" spans="1:14">
      <c r="A35" s="87" t="s">
        <v>35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</row>
    <row r="36" spans="1:14">
      <c r="A36" s="67" t="s">
        <v>26</v>
      </c>
      <c r="B36" s="63">
        <f t="shared" ref="B36:M36" si="8">B7</f>
        <v>43101</v>
      </c>
      <c r="C36" s="63">
        <f t="shared" si="8"/>
        <v>43132</v>
      </c>
      <c r="D36" s="63">
        <f t="shared" si="8"/>
        <v>43160</v>
      </c>
      <c r="E36" s="63">
        <f t="shared" si="8"/>
        <v>43191</v>
      </c>
      <c r="F36" s="63">
        <f t="shared" si="8"/>
        <v>43221</v>
      </c>
      <c r="G36" s="63">
        <f t="shared" si="8"/>
        <v>43252</v>
      </c>
      <c r="H36" s="63">
        <f t="shared" si="8"/>
        <v>43282</v>
      </c>
      <c r="I36" s="63">
        <f t="shared" si="8"/>
        <v>43313</v>
      </c>
      <c r="J36" s="63">
        <f t="shared" si="8"/>
        <v>43344</v>
      </c>
      <c r="K36" s="63">
        <f t="shared" si="8"/>
        <v>43374</v>
      </c>
      <c r="L36" s="63">
        <f t="shared" si="8"/>
        <v>43405</v>
      </c>
      <c r="M36" s="63">
        <f t="shared" si="8"/>
        <v>43435</v>
      </c>
      <c r="N36" s="86" t="s">
        <v>20</v>
      </c>
    </row>
    <row r="37" spans="1:14">
      <c r="A37" s="68" t="s">
        <v>22</v>
      </c>
      <c r="B37" s="65">
        <f>'SAP BW Actual Usage'!C23</f>
        <v>5833297.7620000001</v>
      </c>
      <c r="C37" s="65">
        <f>'SAP BW Actual Usage'!D23</f>
        <v>5903361.0930000003</v>
      </c>
      <c r="D37" s="65">
        <f>'SAP BW Actual Usage'!E23</f>
        <v>5627651.4330000002</v>
      </c>
      <c r="E37" s="65">
        <f>'SAP BW Actual Usage'!F23</f>
        <v>6038794.7130000005</v>
      </c>
      <c r="F37" s="65">
        <f>'SAP BW Actual Usage'!G23</f>
        <v>6061283.9859999996</v>
      </c>
      <c r="G37" s="65">
        <f>'SAP BW Actual Usage'!H23</f>
        <v>5842414.602</v>
      </c>
      <c r="H37" s="65">
        <f>'SAP BW Actual Usage'!I23</f>
        <v>5831969.0729999999</v>
      </c>
      <c r="I37" s="65">
        <f>'SAP BW Actual Usage'!J23</f>
        <v>5908433.5570000019</v>
      </c>
      <c r="J37" s="65">
        <f>'SAP BW Actual Usage'!K23</f>
        <v>5836334.4180000005</v>
      </c>
      <c r="K37" s="65">
        <f>'SAP BW Actual Usage'!L23</f>
        <v>6065007.6610000003</v>
      </c>
      <c r="L37" s="65">
        <f>'SAP BW Actual Usage'!M23</f>
        <v>5708355.3970000008</v>
      </c>
      <c r="M37" s="65">
        <f>'SAP BW Actual Usage'!N23</f>
        <v>5547688.523000001</v>
      </c>
      <c r="N37" s="4">
        <f>SUM(B37:M37)</f>
        <v>70204592.217999995</v>
      </c>
    </row>
    <row r="38" spans="1:14">
      <c r="A38" s="68" t="s">
        <v>40</v>
      </c>
      <c r="B38" s="65">
        <f>'SAP BW Actual Usage'!C22</f>
        <v>51923761.625</v>
      </c>
      <c r="C38" s="65">
        <f>'SAP BW Actual Usage'!D22</f>
        <v>83844828.819000006</v>
      </c>
      <c r="D38" s="65">
        <f>'SAP BW Actual Usage'!E22</f>
        <v>16550318.004999999</v>
      </c>
      <c r="E38" s="65">
        <f>'SAP BW Actual Usage'!F22</f>
        <v>52598779.873999998</v>
      </c>
      <c r="F38" s="65">
        <f>'SAP BW Actual Usage'!G22</f>
        <v>51025804.240999997</v>
      </c>
      <c r="G38" s="65">
        <f>'SAP BW Actual Usage'!H22</f>
        <v>53857181.723000005</v>
      </c>
      <c r="H38" s="65">
        <f>'SAP BW Actual Usage'!I22</f>
        <v>54193014.815999992</v>
      </c>
      <c r="I38" s="65">
        <f>'SAP BW Actual Usage'!J22</f>
        <v>50846186.817000002</v>
      </c>
      <c r="J38" s="65">
        <f>'SAP BW Actual Usage'!K22</f>
        <v>59524700.609000005</v>
      </c>
      <c r="K38" s="65">
        <f>'SAP BW Actual Usage'!L22</f>
        <v>50962795.626000002</v>
      </c>
      <c r="L38" s="65">
        <f>'SAP BW Actual Usage'!M22</f>
        <v>52294545.349000007</v>
      </c>
      <c r="M38" s="65">
        <f>'SAP BW Actual Usage'!N22</f>
        <v>40049706.736000001</v>
      </c>
      <c r="N38" s="4">
        <f>SUM(B38:M38)</f>
        <v>617671624.24000001</v>
      </c>
    </row>
    <row r="39" spans="1:14">
      <c r="A39" s="68" t="s">
        <v>7</v>
      </c>
      <c r="B39" s="65">
        <f>'SAP BW Actual Usage'!C19</f>
        <v>6000</v>
      </c>
      <c r="C39" s="65">
        <f>'SAP BW Actual Usage'!D19</f>
        <v>5400</v>
      </c>
      <c r="D39" s="65">
        <f>'SAP BW Actual Usage'!E19</f>
        <v>5400</v>
      </c>
      <c r="E39" s="65">
        <f>'SAP BW Actual Usage'!F19</f>
        <v>2496.6</v>
      </c>
      <c r="F39" s="65">
        <f>'SAP BW Actual Usage'!G19</f>
        <v>357143.4</v>
      </c>
      <c r="G39" s="65">
        <f>'SAP BW Actual Usage'!H19</f>
        <v>628320</v>
      </c>
      <c r="H39" s="65">
        <f>'SAP BW Actual Usage'!I19</f>
        <v>649320</v>
      </c>
      <c r="I39" s="65">
        <f>'SAP BW Actual Usage'!J19</f>
        <v>1006380</v>
      </c>
      <c r="J39" s="65">
        <f>'SAP BW Actual Usage'!K19</f>
        <v>750660</v>
      </c>
      <c r="K39" s="65">
        <f>'SAP BW Actual Usage'!L19</f>
        <v>794580</v>
      </c>
      <c r="L39" s="65">
        <f>'SAP BW Actual Usage'!M19</f>
        <v>235920</v>
      </c>
      <c r="M39" s="65">
        <f>'SAP BW Actual Usage'!N19</f>
        <v>5760</v>
      </c>
      <c r="N39" s="4">
        <f>SUM(B39:M39)</f>
        <v>4447380</v>
      </c>
    </row>
    <row r="40" spans="1:14">
      <c r="A40" s="68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4"/>
    </row>
    <row r="41" spans="1:14">
      <c r="A41" s="96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A42" s="30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>
      <c r="A43" s="30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s="95" customFormat="1" ht="13.5" thickBot="1">
      <c r="A44" s="93" t="s">
        <v>23</v>
      </c>
      <c r="B44" s="118">
        <f t="shared" ref="B44:N44" si="10">B41+B32</f>
        <v>2175800950.71</v>
      </c>
      <c r="C44" s="118">
        <f t="shared" si="10"/>
        <v>2056849742.632</v>
      </c>
      <c r="D44" s="118">
        <f t="shared" si="10"/>
        <v>1966098373.8209996</v>
      </c>
      <c r="E44" s="118">
        <f t="shared" si="10"/>
        <v>1758070858.0630002</v>
      </c>
      <c r="F44" s="118">
        <f t="shared" si="10"/>
        <v>1549045166.451</v>
      </c>
      <c r="G44" s="118">
        <f t="shared" si="10"/>
        <v>1465003512.7130001</v>
      </c>
      <c r="H44" s="118">
        <f t="shared" si="10"/>
        <v>1508426783.1589999</v>
      </c>
      <c r="I44" s="118">
        <f t="shared" si="10"/>
        <v>1644502907.848</v>
      </c>
      <c r="J44" s="118">
        <f t="shared" si="10"/>
        <v>1533261089.539</v>
      </c>
      <c r="K44" s="118">
        <f t="shared" si="10"/>
        <v>1478033403.3059998</v>
      </c>
      <c r="L44" s="118">
        <f t="shared" si="10"/>
        <v>1648907169.1490002</v>
      </c>
      <c r="M44" s="118">
        <f t="shared" si="10"/>
        <v>1958732381.3290002</v>
      </c>
      <c r="N44" s="118">
        <f t="shared" si="10"/>
        <v>20742732338.719994</v>
      </c>
    </row>
    <row r="45" spans="1:14" ht="15.75" thickTop="1">
      <c r="A45" s="30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</row>
    <row r="47" spans="1:14">
      <c r="B47" s="299"/>
      <c r="C47" s="299"/>
      <c r="D47" s="299"/>
      <c r="E47" s="299"/>
      <c r="F47" s="299"/>
      <c r="G47" s="299"/>
      <c r="H47" s="299"/>
      <c r="I47" s="299"/>
    </row>
    <row r="48" spans="1:14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3" spans="2:9">
      <c r="B53" s="299"/>
      <c r="C53" s="299"/>
      <c r="D53" s="299"/>
      <c r="E53" s="299"/>
      <c r="F53" s="299"/>
      <c r="G53" s="299"/>
      <c r="H53" s="299"/>
      <c r="I53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  <row r="56" spans="2:9">
      <c r="B56" s="299"/>
      <c r="C56" s="299"/>
      <c r="D56" s="299"/>
      <c r="E56" s="299"/>
      <c r="F56" s="299"/>
      <c r="G56" s="297"/>
      <c r="H56" s="297"/>
      <c r="I56" s="297"/>
    </row>
    <row r="57" spans="2:9">
      <c r="B57" s="299"/>
      <c r="C57" s="299"/>
      <c r="D57" s="299"/>
      <c r="E57" s="299"/>
      <c r="F57" s="299"/>
      <c r="G57" s="297"/>
      <c r="H57" s="297"/>
      <c r="I57" s="297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7" t="s">
        <v>29</v>
      </c>
      <c r="B1" s="67"/>
    </row>
    <row r="2" spans="1:30">
      <c r="A2" s="67" t="s">
        <v>28</v>
      </c>
      <c r="B2" s="67"/>
    </row>
    <row r="3" spans="1:30">
      <c r="A3" s="91" t="s">
        <v>170</v>
      </c>
      <c r="B3" s="30"/>
    </row>
    <row r="4" spans="1:30">
      <c r="A4" s="110" t="s">
        <v>61</v>
      </c>
    </row>
    <row r="5" spans="1:30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175"/>
    </row>
    <row r="6" spans="1:30">
      <c r="A6" s="87" t="s">
        <v>85</v>
      </c>
      <c r="B6" s="87"/>
      <c r="N6" s="283"/>
    </row>
    <row r="7" spans="1:30">
      <c r="A7" s="67" t="s">
        <v>26</v>
      </c>
      <c r="B7" s="111" t="s">
        <v>58</v>
      </c>
      <c r="C7" s="112">
        <f>'Sales &amp; Revenue Adj.'!C5</f>
        <v>43101</v>
      </c>
      <c r="D7" s="112">
        <f>'Sales &amp; Revenue Adj.'!D5</f>
        <v>43132</v>
      </c>
      <c r="E7" s="112">
        <f>'Sales &amp; Revenue Adj.'!E5</f>
        <v>43160</v>
      </c>
      <c r="F7" s="112">
        <f>'Sales &amp; Revenue Adj.'!F5</f>
        <v>43191</v>
      </c>
      <c r="G7" s="112">
        <f>'Sales &amp; Revenue Adj.'!G5</f>
        <v>43221</v>
      </c>
      <c r="H7" s="112">
        <f>'Sales &amp; Revenue Adj.'!H5</f>
        <v>43252</v>
      </c>
      <c r="I7" s="112">
        <f>'Sales &amp; Revenue Adj.'!I5</f>
        <v>43282</v>
      </c>
      <c r="J7" s="112">
        <f>'Sales &amp; Revenue Adj.'!J5</f>
        <v>43313</v>
      </c>
      <c r="K7" s="112">
        <f>'Sales &amp; Revenue Adj.'!K5</f>
        <v>43344</v>
      </c>
      <c r="L7" s="112">
        <f>'Sales &amp; Revenue Adj.'!L5</f>
        <v>43374</v>
      </c>
      <c r="M7" s="112">
        <f>'Sales &amp; Revenue Adj.'!M5</f>
        <v>43405</v>
      </c>
      <c r="N7" s="112">
        <f>'Sales &amp; Revenue Adj.'!N5</f>
        <v>43435</v>
      </c>
      <c r="O7" s="113" t="s">
        <v>20</v>
      </c>
    </row>
    <row r="8" spans="1:30" s="107" customFormat="1">
      <c r="A8" s="108" t="s">
        <v>55</v>
      </c>
      <c r="B8" s="36">
        <v>5</v>
      </c>
      <c r="C8" s="328">
        <v>997460</v>
      </c>
      <c r="D8" s="328">
        <v>897140</v>
      </c>
      <c r="E8" s="328">
        <v>943660</v>
      </c>
      <c r="F8" s="328">
        <v>776620</v>
      </c>
      <c r="G8" s="328">
        <v>591080</v>
      </c>
      <c r="H8" s="329">
        <v>387720</v>
      </c>
      <c r="I8" s="328">
        <v>316260</v>
      </c>
      <c r="J8" s="328">
        <v>285140</v>
      </c>
      <c r="K8" s="328">
        <v>298260</v>
      </c>
      <c r="L8" s="328">
        <v>353440</v>
      </c>
      <c r="M8" s="328">
        <v>515476</v>
      </c>
      <c r="N8" s="328">
        <v>768624</v>
      </c>
      <c r="O8" s="115">
        <f>SUM(C8:N8)</f>
        <v>7130880</v>
      </c>
      <c r="Q8"/>
      <c r="R8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</row>
    <row r="9" spans="1:30" s="107" customFormat="1">
      <c r="A9" s="106" t="s">
        <v>156</v>
      </c>
      <c r="B9" s="36">
        <v>7</v>
      </c>
      <c r="C9" s="328">
        <v>1245600497.118</v>
      </c>
      <c r="D9" s="328">
        <v>1123202830.28</v>
      </c>
      <c r="E9" s="328">
        <v>1119823626.9689999</v>
      </c>
      <c r="F9" s="328">
        <v>924598024.89300001</v>
      </c>
      <c r="G9" s="328">
        <v>741369503.04700005</v>
      </c>
      <c r="H9" s="329">
        <v>663353185.37899995</v>
      </c>
      <c r="I9" s="328">
        <v>670337023.352</v>
      </c>
      <c r="J9" s="328">
        <v>735328695.551</v>
      </c>
      <c r="K9" s="328">
        <v>680363495.79100001</v>
      </c>
      <c r="L9" s="328">
        <v>687720733.88199997</v>
      </c>
      <c r="M9" s="328">
        <v>842221071.13300002</v>
      </c>
      <c r="N9" s="328">
        <v>1085744611.6700001</v>
      </c>
      <c r="O9" s="115">
        <f t="shared" ref="O9:O24" si="0">SUM(C9:N9)</f>
        <v>10519663299.064999</v>
      </c>
      <c r="Q9"/>
      <c r="R9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</row>
    <row r="10" spans="1:30" s="107" customFormat="1">
      <c r="A10" s="108" t="s">
        <v>36</v>
      </c>
      <c r="B10" s="36">
        <v>8</v>
      </c>
      <c r="C10" s="328">
        <v>27592309.217</v>
      </c>
      <c r="D10" s="328">
        <v>25743291.204</v>
      </c>
      <c r="E10" s="328">
        <v>25148347.254999999</v>
      </c>
      <c r="F10" s="328">
        <v>21812218.140000001</v>
      </c>
      <c r="G10" s="328">
        <v>18056250.261</v>
      </c>
      <c r="H10" s="329">
        <v>17691476.054000001</v>
      </c>
      <c r="I10" s="328">
        <v>17509270.335000001</v>
      </c>
      <c r="J10" s="328">
        <v>18663334.009</v>
      </c>
      <c r="K10" s="328">
        <v>18027881.932</v>
      </c>
      <c r="L10" s="328">
        <v>17435796.017000001</v>
      </c>
      <c r="M10" s="328">
        <v>19283903.647999998</v>
      </c>
      <c r="N10" s="328">
        <v>24238708.647999998</v>
      </c>
      <c r="O10" s="115">
        <f t="shared" si="0"/>
        <v>251202786.72</v>
      </c>
      <c r="Q10"/>
      <c r="R10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</row>
    <row r="11" spans="1:30" s="107" customFormat="1">
      <c r="A11" s="108" t="s">
        <v>39</v>
      </c>
      <c r="B11" s="24">
        <v>10</v>
      </c>
      <c r="C11" s="328">
        <v>3098040</v>
      </c>
      <c r="D11" s="328">
        <v>2614020</v>
      </c>
      <c r="E11" s="328">
        <v>2836440</v>
      </c>
      <c r="F11" s="328">
        <v>2486280</v>
      </c>
      <c r="G11" s="328">
        <v>2272140</v>
      </c>
      <c r="H11" s="329">
        <v>2309160</v>
      </c>
      <c r="I11" s="328">
        <v>2267400</v>
      </c>
      <c r="J11" s="328">
        <v>2356640.4</v>
      </c>
      <c r="K11" s="328">
        <v>2426801.1</v>
      </c>
      <c r="L11" s="328">
        <v>2291272.2000000002</v>
      </c>
      <c r="M11" s="328">
        <v>1691340</v>
      </c>
      <c r="N11" s="328">
        <v>3304326.3</v>
      </c>
      <c r="O11" s="115">
        <f t="shared" si="0"/>
        <v>29953860</v>
      </c>
      <c r="Q11"/>
      <c r="R11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s="107" customFormat="1">
      <c r="A12" s="108" t="s">
        <v>37</v>
      </c>
      <c r="B12" s="36">
        <v>11</v>
      </c>
      <c r="C12" s="328">
        <v>14974428.268999999</v>
      </c>
      <c r="D12" s="328">
        <v>13502408.460999999</v>
      </c>
      <c r="E12" s="328">
        <v>13696146.333000001</v>
      </c>
      <c r="F12" s="328">
        <v>11899442.74</v>
      </c>
      <c r="G12" s="328">
        <v>10675498.311000001</v>
      </c>
      <c r="H12" s="329">
        <v>10215371.359999999</v>
      </c>
      <c r="I12" s="328">
        <v>10303818.370999999</v>
      </c>
      <c r="J12" s="328">
        <v>12414786.642999999</v>
      </c>
      <c r="K12" s="328">
        <v>10899104.057</v>
      </c>
      <c r="L12" s="328">
        <v>10692755.982999999</v>
      </c>
      <c r="M12" s="328">
        <v>11529397.039999999</v>
      </c>
      <c r="N12" s="328">
        <v>13476483.731000001</v>
      </c>
      <c r="O12" s="115">
        <f t="shared" si="0"/>
        <v>144279641.29899999</v>
      </c>
      <c r="Q12"/>
      <c r="R12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s="107" customFormat="1">
      <c r="A13" s="108" t="s">
        <v>38</v>
      </c>
      <c r="B13" s="36">
        <v>12</v>
      </c>
      <c r="C13" s="328">
        <v>1647040</v>
      </c>
      <c r="D13" s="328">
        <v>1432900</v>
      </c>
      <c r="E13" s="328">
        <v>1526880</v>
      </c>
      <c r="F13" s="328">
        <v>1447900</v>
      </c>
      <c r="G13" s="328">
        <v>1122660</v>
      </c>
      <c r="H13" s="329">
        <v>966260</v>
      </c>
      <c r="I13" s="328">
        <v>1106120</v>
      </c>
      <c r="J13" s="328">
        <v>2188700</v>
      </c>
      <c r="K13" s="328">
        <v>1448440</v>
      </c>
      <c r="L13" s="328">
        <v>1191980</v>
      </c>
      <c r="M13" s="328">
        <v>1243960.1000000001</v>
      </c>
      <c r="N13" s="328">
        <v>1437039.9</v>
      </c>
      <c r="O13" s="115">
        <f t="shared" si="0"/>
        <v>16759880</v>
      </c>
      <c r="Q13"/>
      <c r="R13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</row>
    <row r="14" spans="1:30" s="107" customFormat="1">
      <c r="A14" s="106" t="s">
        <v>153</v>
      </c>
      <c r="B14" s="36">
        <v>24</v>
      </c>
      <c r="C14" s="328">
        <v>242459951.23099998</v>
      </c>
      <c r="D14" s="328">
        <v>224867111.17699999</v>
      </c>
      <c r="E14" s="328">
        <v>224646384.82399997</v>
      </c>
      <c r="F14" s="328">
        <v>200580672.93099999</v>
      </c>
      <c r="G14" s="328">
        <v>185648102.40099999</v>
      </c>
      <c r="H14" s="329">
        <v>184134839.60699996</v>
      </c>
      <c r="I14" s="328">
        <v>192213327.93900001</v>
      </c>
      <c r="J14" s="328">
        <v>207997878.27999997</v>
      </c>
      <c r="K14" s="328">
        <v>196094959.572</v>
      </c>
      <c r="L14" s="328">
        <v>181974725.954</v>
      </c>
      <c r="M14" s="328">
        <v>191312326.59699997</v>
      </c>
      <c r="N14" s="328">
        <v>215036493.13100001</v>
      </c>
      <c r="O14" s="115">
        <f t="shared" si="0"/>
        <v>2446966773.6439996</v>
      </c>
      <c r="Q14"/>
      <c r="R14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</row>
    <row r="15" spans="1:30" s="107" customFormat="1">
      <c r="A15" s="106" t="s">
        <v>154</v>
      </c>
      <c r="B15" s="36">
        <v>25</v>
      </c>
      <c r="C15" s="328">
        <v>253178476.366</v>
      </c>
      <c r="D15" s="328">
        <v>247212428.17199999</v>
      </c>
      <c r="E15" s="328">
        <v>248278744.898</v>
      </c>
      <c r="F15" s="328">
        <v>231408313.347</v>
      </c>
      <c r="G15" s="328">
        <v>227280428.412</v>
      </c>
      <c r="H15" s="329">
        <v>222571489.141</v>
      </c>
      <c r="I15" s="328">
        <v>226313146.016</v>
      </c>
      <c r="J15" s="328">
        <v>255163980.50400001</v>
      </c>
      <c r="K15" s="328">
        <v>230822615.18900001</v>
      </c>
      <c r="L15" s="328">
        <v>219063495.05000001</v>
      </c>
      <c r="M15" s="328">
        <v>224681333.46000001</v>
      </c>
      <c r="N15" s="328">
        <v>247141871.37400001</v>
      </c>
      <c r="O15" s="115">
        <f t="shared" si="0"/>
        <v>2833116321.9290004</v>
      </c>
      <c r="Q15"/>
      <c r="R15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</row>
    <row r="16" spans="1:30" s="107" customFormat="1">
      <c r="A16" s="106" t="s">
        <v>155</v>
      </c>
      <c r="B16" s="36">
        <v>26</v>
      </c>
      <c r="C16" s="328">
        <v>156475578.912</v>
      </c>
      <c r="D16" s="328">
        <v>157621456.891</v>
      </c>
      <c r="E16" s="328">
        <v>146486140.18899998</v>
      </c>
      <c r="F16" s="328">
        <v>143220450.197</v>
      </c>
      <c r="G16" s="328">
        <v>149052732.609</v>
      </c>
      <c r="H16" s="329">
        <v>155402049.403</v>
      </c>
      <c r="I16" s="328">
        <v>161766178.65000001</v>
      </c>
      <c r="J16" s="328">
        <v>183615102.368</v>
      </c>
      <c r="K16" s="328">
        <v>165499659.04699999</v>
      </c>
      <c r="L16" s="328">
        <v>154696497.05199999</v>
      </c>
      <c r="M16" s="328">
        <v>145368431.419</v>
      </c>
      <c r="N16" s="328">
        <v>158815985.792</v>
      </c>
      <c r="O16" s="115">
        <f t="shared" si="0"/>
        <v>1878020262.5289998</v>
      </c>
      <c r="Q16"/>
      <c r="R1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</row>
    <row r="17" spans="1:30" s="107" customFormat="1">
      <c r="A17" s="108" t="s">
        <v>5</v>
      </c>
      <c r="B17" s="36">
        <v>29</v>
      </c>
      <c r="C17" s="328">
        <v>269388.78899999999</v>
      </c>
      <c r="D17" s="328">
        <v>276136.7</v>
      </c>
      <c r="E17" s="328">
        <v>280808.11599999998</v>
      </c>
      <c r="F17" s="328">
        <v>266694.74800000002</v>
      </c>
      <c r="G17" s="328">
        <v>708710.26399999997</v>
      </c>
      <c r="H17" s="329">
        <v>1878608.1170000001</v>
      </c>
      <c r="I17" s="328">
        <v>3447384.53</v>
      </c>
      <c r="J17" s="328">
        <v>4528357.2280000001</v>
      </c>
      <c r="K17" s="328">
        <v>3435869.1839999999</v>
      </c>
      <c r="L17" s="328">
        <v>1100229.371</v>
      </c>
      <c r="M17" s="328">
        <v>309864.799</v>
      </c>
      <c r="N17" s="328">
        <v>224088.198</v>
      </c>
      <c r="O17" s="115">
        <f t="shared" si="0"/>
        <v>16726140.044000002</v>
      </c>
      <c r="Q17"/>
      <c r="R17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</row>
    <row r="18" spans="1:30" s="107" customFormat="1">
      <c r="A18" s="108" t="s">
        <v>6</v>
      </c>
      <c r="B18" s="36">
        <v>31</v>
      </c>
      <c r="C18" s="328">
        <v>111293428.93399999</v>
      </c>
      <c r="D18" s="328">
        <v>112448329.70199999</v>
      </c>
      <c r="E18" s="328">
        <v>100970460.10600001</v>
      </c>
      <c r="F18" s="328">
        <v>106215200.595</v>
      </c>
      <c r="G18" s="328">
        <v>103197424.47499999</v>
      </c>
      <c r="H18" s="329">
        <v>101103077.88</v>
      </c>
      <c r="I18" s="328">
        <v>107121848.958</v>
      </c>
      <c r="J18" s="328">
        <v>111938040.63699999</v>
      </c>
      <c r="K18" s="328">
        <v>108706433.20900001</v>
      </c>
      <c r="L18" s="328">
        <v>100648500.84099999</v>
      </c>
      <c r="M18" s="328">
        <v>96160731.420000002</v>
      </c>
      <c r="N18" s="328">
        <v>108100631.08000001</v>
      </c>
      <c r="O18" s="115">
        <f t="shared" si="0"/>
        <v>1267904107.8369999</v>
      </c>
      <c r="Q18"/>
      <c r="R18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</row>
    <row r="19" spans="1:30" s="107" customFormat="1">
      <c r="A19" s="68" t="s">
        <v>7</v>
      </c>
      <c r="B19" s="36">
        <v>35</v>
      </c>
      <c r="C19" s="328">
        <v>6000</v>
      </c>
      <c r="D19" s="328">
        <v>5400</v>
      </c>
      <c r="E19" s="328">
        <v>5400</v>
      </c>
      <c r="F19" s="328">
        <v>2496.6</v>
      </c>
      <c r="G19" s="328">
        <v>357143.4</v>
      </c>
      <c r="H19" s="329">
        <v>628320</v>
      </c>
      <c r="I19" s="328">
        <v>649320</v>
      </c>
      <c r="J19" s="328">
        <v>1006380</v>
      </c>
      <c r="K19" s="328">
        <v>750660</v>
      </c>
      <c r="L19" s="328">
        <v>794580</v>
      </c>
      <c r="M19" s="328">
        <v>235920</v>
      </c>
      <c r="N19" s="328">
        <v>5760</v>
      </c>
      <c r="O19" s="115">
        <f t="shared" si="0"/>
        <v>4447380</v>
      </c>
      <c r="Q19"/>
      <c r="R19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</row>
    <row r="20" spans="1:30" s="109" customFormat="1">
      <c r="A20" s="362" t="s">
        <v>24</v>
      </c>
      <c r="B20" s="36">
        <v>40</v>
      </c>
      <c r="C20" s="328">
        <v>45745730.302000001</v>
      </c>
      <c r="D20" s="328">
        <v>43929830.578000002</v>
      </c>
      <c r="E20" s="328">
        <v>44503265.692999996</v>
      </c>
      <c r="F20" s="328">
        <v>42551050.405000001</v>
      </c>
      <c r="G20" s="328">
        <v>42098019.358999997</v>
      </c>
      <c r="H20" s="329">
        <v>36454394.177000001</v>
      </c>
      <c r="I20" s="328">
        <v>48717375.324000001</v>
      </c>
      <c r="J20" s="328">
        <v>46696152.519000001</v>
      </c>
      <c r="K20" s="328">
        <v>43379395.791000001</v>
      </c>
      <c r="L20" s="328">
        <v>35046087.943999998</v>
      </c>
      <c r="M20" s="328">
        <v>47156353.952</v>
      </c>
      <c r="N20" s="328">
        <v>42267793.200999998</v>
      </c>
      <c r="O20" s="115">
        <f t="shared" si="0"/>
        <v>518545449.245</v>
      </c>
      <c r="Q20"/>
      <c r="R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</row>
    <row r="21" spans="1:30" s="107" customFormat="1">
      <c r="A21" s="108" t="s">
        <v>8</v>
      </c>
      <c r="B21" s="36">
        <v>43</v>
      </c>
      <c r="C21" s="328">
        <v>14705562.185000001</v>
      </c>
      <c r="D21" s="328">
        <v>13348269.555</v>
      </c>
      <c r="E21" s="328">
        <v>14774100</v>
      </c>
      <c r="F21" s="328">
        <v>12167918.880000001</v>
      </c>
      <c r="G21" s="328">
        <v>9528385.6850000005</v>
      </c>
      <c r="H21" s="329">
        <v>8207965.2699999996</v>
      </c>
      <c r="I21" s="328">
        <v>6333325.7949999999</v>
      </c>
      <c r="J21" s="328">
        <v>5565099.335</v>
      </c>
      <c r="K21" s="328">
        <v>5746479.6399999997</v>
      </c>
      <c r="L21" s="328">
        <v>7995505.7249999996</v>
      </c>
      <c r="M21" s="328">
        <v>9194158.8350000009</v>
      </c>
      <c r="N21" s="328">
        <v>12572569.045</v>
      </c>
      <c r="O21" s="115">
        <f t="shared" si="0"/>
        <v>120139339.95</v>
      </c>
      <c r="Q21"/>
      <c r="R21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</row>
    <row r="22" spans="1:30">
      <c r="A22" s="90" t="s">
        <v>158</v>
      </c>
      <c r="B22" s="114" t="s">
        <v>57</v>
      </c>
      <c r="C22" s="328">
        <v>51923761.625</v>
      </c>
      <c r="D22" s="328">
        <v>83844828.819000006</v>
      </c>
      <c r="E22" s="328">
        <v>16550318.004999999</v>
      </c>
      <c r="F22" s="328">
        <v>52598779.873999998</v>
      </c>
      <c r="G22" s="328">
        <v>51025804.240999997</v>
      </c>
      <c r="H22" s="329">
        <v>53857181.723000005</v>
      </c>
      <c r="I22" s="328">
        <v>54193014.815999992</v>
      </c>
      <c r="J22" s="328">
        <v>50846186.817000002</v>
      </c>
      <c r="K22" s="328">
        <v>59524700.609000005</v>
      </c>
      <c r="L22" s="328">
        <v>50962795.626000002</v>
      </c>
      <c r="M22" s="328">
        <v>52294545.349000007</v>
      </c>
      <c r="N22" s="328">
        <v>40049706.736000001</v>
      </c>
      <c r="O22" s="115">
        <f t="shared" si="0"/>
        <v>617671624.24000001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</row>
    <row r="23" spans="1:30">
      <c r="A23" s="90" t="s">
        <v>157</v>
      </c>
      <c r="B23" s="114" t="s">
        <v>56</v>
      </c>
      <c r="C23" s="328">
        <v>5833297.7620000001</v>
      </c>
      <c r="D23" s="328">
        <v>5903361.0930000003</v>
      </c>
      <c r="E23" s="328">
        <v>5627651.4330000002</v>
      </c>
      <c r="F23" s="328">
        <v>6038794.7130000005</v>
      </c>
      <c r="G23" s="328">
        <v>6061283.9859999996</v>
      </c>
      <c r="H23" s="329">
        <v>5842414.602</v>
      </c>
      <c r="I23" s="328">
        <v>5831969.0729999999</v>
      </c>
      <c r="J23" s="328">
        <v>5908433.5570000019</v>
      </c>
      <c r="K23" s="328">
        <v>5836334.4180000005</v>
      </c>
      <c r="L23" s="328">
        <v>6065007.6610000003</v>
      </c>
      <c r="M23" s="328">
        <v>5708355.3970000008</v>
      </c>
      <c r="N23" s="328">
        <v>5547688.523000001</v>
      </c>
      <c r="O23" s="115">
        <f t="shared" si="0"/>
        <v>70204592.217999995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</row>
    <row r="24" spans="1:30" s="95" customFormat="1">
      <c r="A24" s="93" t="s">
        <v>23</v>
      </c>
      <c r="B24" s="93"/>
      <c r="C24" s="94">
        <f t="shared" ref="C24:N24" si="1">SUM(C8:C23)</f>
        <v>2175800950.71</v>
      </c>
      <c r="D24" s="94">
        <f t="shared" si="1"/>
        <v>2056849742.632</v>
      </c>
      <c r="E24" s="94">
        <f t="shared" si="1"/>
        <v>1966098373.8209999</v>
      </c>
      <c r="F24" s="94">
        <f t="shared" si="1"/>
        <v>1758070858.0630002</v>
      </c>
      <c r="G24" s="94">
        <f t="shared" si="1"/>
        <v>1549045166.451</v>
      </c>
      <c r="H24" s="94">
        <f t="shared" si="1"/>
        <v>1465003512.7130001</v>
      </c>
      <c r="I24" s="94">
        <f t="shared" si="1"/>
        <v>1508426783.1589999</v>
      </c>
      <c r="J24" s="94">
        <f t="shared" si="1"/>
        <v>1644502907.8479998</v>
      </c>
      <c r="K24" s="94">
        <f t="shared" si="1"/>
        <v>1533261089.5390003</v>
      </c>
      <c r="L24" s="94">
        <f t="shared" si="1"/>
        <v>1478033403.306</v>
      </c>
      <c r="M24" s="94">
        <f t="shared" si="1"/>
        <v>1648907169.1489999</v>
      </c>
      <c r="N24" s="94">
        <f t="shared" si="1"/>
        <v>1958732381.3290002</v>
      </c>
      <c r="O24" s="115">
        <f t="shared" si="0"/>
        <v>20742732338.719997</v>
      </c>
    </row>
    <row r="25" spans="1:30" ht="15">
      <c r="A25" s="30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176"/>
      <c r="O25" s="69"/>
    </row>
    <row r="26" spans="1:30">
      <c r="N26" s="36"/>
    </row>
    <row r="27" spans="1:30">
      <c r="A27" s="67" t="s">
        <v>29</v>
      </c>
    </row>
    <row r="28" spans="1:30">
      <c r="A28" s="67" t="s">
        <v>147</v>
      </c>
    </row>
    <row r="29" spans="1:30">
      <c r="A29" t="s">
        <v>162</v>
      </c>
    </row>
    <row r="30" spans="1:30">
      <c r="A30" s="67" t="s">
        <v>85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283"/>
    </row>
    <row r="31" spans="1:30">
      <c r="A31" s="67" t="s">
        <v>26</v>
      </c>
      <c r="B31" s="67" t="s">
        <v>58</v>
      </c>
      <c r="C31" s="112">
        <f t="shared" ref="C31:N31" si="2">C7</f>
        <v>43101</v>
      </c>
      <c r="D31" s="112">
        <f t="shared" si="2"/>
        <v>43132</v>
      </c>
      <c r="E31" s="112">
        <f t="shared" si="2"/>
        <v>43160</v>
      </c>
      <c r="F31" s="112">
        <f t="shared" si="2"/>
        <v>43191</v>
      </c>
      <c r="G31" s="112">
        <f t="shared" si="2"/>
        <v>43221</v>
      </c>
      <c r="H31" s="112">
        <f t="shared" si="2"/>
        <v>43252</v>
      </c>
      <c r="I31" s="112">
        <f t="shared" si="2"/>
        <v>43282</v>
      </c>
      <c r="J31" s="112">
        <f t="shared" si="2"/>
        <v>43313</v>
      </c>
      <c r="K31" s="112">
        <f t="shared" si="2"/>
        <v>43344</v>
      </c>
      <c r="L31" s="112">
        <f t="shared" si="2"/>
        <v>43374</v>
      </c>
      <c r="M31" s="112">
        <f t="shared" si="2"/>
        <v>43405</v>
      </c>
      <c r="N31" s="112">
        <f t="shared" si="2"/>
        <v>43435</v>
      </c>
    </row>
    <row r="32" spans="1:30">
      <c r="A32" s="108" t="s">
        <v>55</v>
      </c>
      <c r="B32" s="250">
        <v>5</v>
      </c>
      <c r="C32" s="330">
        <v>8</v>
      </c>
      <c r="D32" s="330">
        <v>8</v>
      </c>
      <c r="E32" s="330">
        <v>8</v>
      </c>
      <c r="F32" s="330">
        <v>8</v>
      </c>
      <c r="G32" s="330">
        <v>8</v>
      </c>
      <c r="H32" s="330">
        <v>8</v>
      </c>
      <c r="I32" s="330">
        <v>8</v>
      </c>
      <c r="J32" s="330">
        <v>8</v>
      </c>
      <c r="K32" s="330">
        <v>8</v>
      </c>
      <c r="L32" s="330">
        <v>8</v>
      </c>
      <c r="M32" s="330">
        <v>8</v>
      </c>
      <c r="N32" s="330">
        <v>8</v>
      </c>
    </row>
    <row r="33" spans="1:14">
      <c r="A33" s="106" t="s">
        <v>156</v>
      </c>
      <c r="B33" s="250">
        <v>7</v>
      </c>
      <c r="C33" s="330">
        <v>1005060</v>
      </c>
      <c r="D33" s="330">
        <v>1006215</v>
      </c>
      <c r="E33" s="330">
        <v>1006855</v>
      </c>
      <c r="F33" s="330">
        <v>1007514</v>
      </c>
      <c r="G33" s="330">
        <v>1008561</v>
      </c>
      <c r="H33" s="330">
        <v>1009696</v>
      </c>
      <c r="I33" s="330">
        <v>1010120</v>
      </c>
      <c r="J33" s="330">
        <v>1011178</v>
      </c>
      <c r="K33" s="330">
        <v>1012929</v>
      </c>
      <c r="L33" s="330">
        <v>1014406</v>
      </c>
      <c r="M33" s="330">
        <v>1016565</v>
      </c>
      <c r="N33" s="330">
        <v>1017763</v>
      </c>
    </row>
    <row r="34" spans="1:14">
      <c r="A34" s="108" t="s">
        <v>36</v>
      </c>
      <c r="B34" s="250">
        <v>8</v>
      </c>
      <c r="C34" s="330">
        <v>29987</v>
      </c>
      <c r="D34" s="330">
        <v>29970</v>
      </c>
      <c r="E34" s="330">
        <v>30012</v>
      </c>
      <c r="F34" s="330">
        <v>30016</v>
      </c>
      <c r="G34" s="330">
        <v>30040</v>
      </c>
      <c r="H34" s="330">
        <v>30049</v>
      </c>
      <c r="I34" s="330">
        <v>30083</v>
      </c>
      <c r="J34" s="330">
        <v>30112</v>
      </c>
      <c r="K34" s="330">
        <v>30107</v>
      </c>
      <c r="L34" s="330">
        <v>30128</v>
      </c>
      <c r="M34" s="330">
        <v>30153</v>
      </c>
      <c r="N34" s="330">
        <v>30152</v>
      </c>
    </row>
    <row r="35" spans="1:14">
      <c r="A35" s="108" t="s">
        <v>39</v>
      </c>
      <c r="B35" s="250">
        <v>10</v>
      </c>
      <c r="C35" s="330">
        <v>13</v>
      </c>
      <c r="D35" s="330">
        <v>13</v>
      </c>
      <c r="E35" s="330">
        <v>13</v>
      </c>
      <c r="F35" s="330">
        <v>13</v>
      </c>
      <c r="G35" s="330">
        <v>13</v>
      </c>
      <c r="H35" s="330">
        <v>13</v>
      </c>
      <c r="I35" s="330">
        <v>13</v>
      </c>
      <c r="J35" s="330">
        <v>13</v>
      </c>
      <c r="K35" s="330">
        <v>13</v>
      </c>
      <c r="L35" s="330">
        <v>13</v>
      </c>
      <c r="M35" s="330">
        <v>13</v>
      </c>
      <c r="N35" s="330">
        <v>13</v>
      </c>
    </row>
    <row r="36" spans="1:14">
      <c r="A36" s="108" t="s">
        <v>37</v>
      </c>
      <c r="B36" s="250">
        <v>11</v>
      </c>
      <c r="C36" s="330">
        <v>307</v>
      </c>
      <c r="D36" s="330">
        <v>308</v>
      </c>
      <c r="E36" s="330">
        <v>305</v>
      </c>
      <c r="F36" s="330">
        <v>307</v>
      </c>
      <c r="G36" s="330">
        <v>305</v>
      </c>
      <c r="H36" s="330">
        <v>305</v>
      </c>
      <c r="I36" s="330">
        <v>306</v>
      </c>
      <c r="J36" s="330">
        <v>306</v>
      </c>
      <c r="K36" s="330">
        <v>304</v>
      </c>
      <c r="L36" s="330">
        <v>305</v>
      </c>
      <c r="M36" s="330">
        <v>304</v>
      </c>
      <c r="N36" s="330">
        <v>303</v>
      </c>
    </row>
    <row r="37" spans="1:14">
      <c r="A37" s="108" t="s">
        <v>38</v>
      </c>
      <c r="B37" s="250">
        <v>12</v>
      </c>
      <c r="C37" s="330">
        <v>13</v>
      </c>
      <c r="D37" s="330">
        <v>13</v>
      </c>
      <c r="E37" s="330">
        <v>13</v>
      </c>
      <c r="F37" s="330">
        <v>13</v>
      </c>
      <c r="G37" s="330">
        <v>13</v>
      </c>
      <c r="H37" s="330">
        <v>13</v>
      </c>
      <c r="I37" s="330">
        <v>13</v>
      </c>
      <c r="J37" s="330">
        <v>14</v>
      </c>
      <c r="K37" s="330">
        <v>14</v>
      </c>
      <c r="L37" s="330">
        <v>14</v>
      </c>
      <c r="M37" s="330">
        <v>14</v>
      </c>
      <c r="N37" s="330">
        <v>14</v>
      </c>
    </row>
    <row r="38" spans="1:14">
      <c r="A38" s="106" t="s">
        <v>153</v>
      </c>
      <c r="B38" s="250">
        <v>24</v>
      </c>
      <c r="C38" s="330">
        <v>90968</v>
      </c>
      <c r="D38" s="330">
        <v>91153</v>
      </c>
      <c r="E38" s="330">
        <v>91252</v>
      </c>
      <c r="F38" s="330">
        <v>91258</v>
      </c>
      <c r="G38" s="330">
        <v>91332</v>
      </c>
      <c r="H38" s="330">
        <v>91543</v>
      </c>
      <c r="I38" s="330">
        <v>91620</v>
      </c>
      <c r="J38" s="330">
        <v>91735</v>
      </c>
      <c r="K38" s="330">
        <v>91870</v>
      </c>
      <c r="L38" s="330">
        <v>91902</v>
      </c>
      <c r="M38" s="330">
        <v>91842</v>
      </c>
      <c r="N38" s="330">
        <v>91794</v>
      </c>
    </row>
    <row r="39" spans="1:14">
      <c r="A39" s="106" t="s">
        <v>154</v>
      </c>
      <c r="B39" s="250">
        <v>25</v>
      </c>
      <c r="C39" s="330">
        <v>6977</v>
      </c>
      <c r="D39" s="330">
        <v>7077</v>
      </c>
      <c r="E39" s="330">
        <v>7201</v>
      </c>
      <c r="F39" s="330">
        <v>7315</v>
      </c>
      <c r="G39" s="330">
        <v>7372</v>
      </c>
      <c r="H39" s="330">
        <v>7273</v>
      </c>
      <c r="I39" s="330">
        <v>7242</v>
      </c>
      <c r="J39" s="330">
        <v>7243</v>
      </c>
      <c r="K39" s="330">
        <v>7248</v>
      </c>
      <c r="L39" s="330">
        <v>7288</v>
      </c>
      <c r="M39" s="330">
        <v>7339</v>
      </c>
      <c r="N39" s="330">
        <v>7348</v>
      </c>
    </row>
    <row r="40" spans="1:14">
      <c r="A40" s="106" t="s">
        <v>155</v>
      </c>
      <c r="B40" s="250">
        <v>26</v>
      </c>
      <c r="C40" s="330">
        <v>790</v>
      </c>
      <c r="D40" s="330">
        <v>785</v>
      </c>
      <c r="E40" s="330">
        <v>786</v>
      </c>
      <c r="F40" s="330">
        <v>790</v>
      </c>
      <c r="G40" s="330">
        <v>819</v>
      </c>
      <c r="H40" s="330">
        <v>848</v>
      </c>
      <c r="I40" s="330">
        <v>846</v>
      </c>
      <c r="J40" s="330">
        <v>849</v>
      </c>
      <c r="K40" s="330">
        <v>849</v>
      </c>
      <c r="L40" s="330">
        <v>836</v>
      </c>
      <c r="M40" s="330">
        <v>806</v>
      </c>
      <c r="N40" s="330">
        <v>808</v>
      </c>
    </row>
    <row r="41" spans="1:14">
      <c r="A41" s="108" t="s">
        <v>5</v>
      </c>
      <c r="B41" s="250">
        <v>29</v>
      </c>
      <c r="C41" s="330">
        <v>533</v>
      </c>
      <c r="D41" s="330">
        <v>521</v>
      </c>
      <c r="E41" s="330">
        <v>529</v>
      </c>
      <c r="F41" s="330">
        <v>564</v>
      </c>
      <c r="G41" s="330">
        <v>629</v>
      </c>
      <c r="H41" s="330">
        <v>665</v>
      </c>
      <c r="I41" s="330">
        <v>687</v>
      </c>
      <c r="J41" s="330">
        <v>695</v>
      </c>
      <c r="K41" s="330">
        <v>683</v>
      </c>
      <c r="L41" s="330">
        <v>633</v>
      </c>
      <c r="M41" s="330">
        <v>554</v>
      </c>
      <c r="N41" s="330">
        <v>539</v>
      </c>
    </row>
    <row r="42" spans="1:14">
      <c r="A42" s="108" t="s">
        <v>6</v>
      </c>
      <c r="B42" s="250">
        <v>31</v>
      </c>
      <c r="C42" s="330">
        <v>469</v>
      </c>
      <c r="D42" s="330">
        <v>467</v>
      </c>
      <c r="E42" s="330">
        <v>468</v>
      </c>
      <c r="F42" s="330">
        <v>470</v>
      </c>
      <c r="G42" s="330">
        <v>469</v>
      </c>
      <c r="H42" s="330">
        <v>470</v>
      </c>
      <c r="I42" s="330">
        <v>470</v>
      </c>
      <c r="J42" s="330">
        <v>469</v>
      </c>
      <c r="K42" s="330">
        <v>468</v>
      </c>
      <c r="L42" s="330">
        <v>469</v>
      </c>
      <c r="M42" s="330">
        <v>469</v>
      </c>
      <c r="N42" s="330">
        <v>468</v>
      </c>
    </row>
    <row r="43" spans="1:14">
      <c r="A43" s="68" t="s">
        <v>7</v>
      </c>
      <c r="B43" s="250">
        <v>35</v>
      </c>
      <c r="C43" s="330">
        <v>1</v>
      </c>
      <c r="D43" s="330">
        <v>1</v>
      </c>
      <c r="E43" s="330">
        <v>1</v>
      </c>
      <c r="F43" s="330">
        <v>1</v>
      </c>
      <c r="G43" s="330">
        <v>2</v>
      </c>
      <c r="H43" s="330">
        <v>2</v>
      </c>
      <c r="I43" s="330">
        <v>2</v>
      </c>
      <c r="J43" s="330">
        <v>2</v>
      </c>
      <c r="K43" s="330">
        <v>2</v>
      </c>
      <c r="L43" s="330">
        <v>2</v>
      </c>
      <c r="M43" s="330">
        <v>2</v>
      </c>
      <c r="N43" s="330">
        <v>2</v>
      </c>
    </row>
    <row r="44" spans="1:14">
      <c r="A44" s="362" t="s">
        <v>24</v>
      </c>
      <c r="B44" s="250">
        <v>40</v>
      </c>
      <c r="C44" s="330">
        <v>130</v>
      </c>
      <c r="D44" s="330">
        <v>128</v>
      </c>
      <c r="E44" s="330">
        <v>128</v>
      </c>
      <c r="F44" s="330">
        <v>128</v>
      </c>
      <c r="G44" s="330">
        <v>128</v>
      </c>
      <c r="H44" s="330">
        <v>128</v>
      </c>
      <c r="I44" s="330">
        <v>129</v>
      </c>
      <c r="J44" s="330">
        <v>129</v>
      </c>
      <c r="K44" s="330">
        <v>129</v>
      </c>
      <c r="L44" s="330">
        <v>129</v>
      </c>
      <c r="M44" s="330">
        <v>129</v>
      </c>
      <c r="N44" s="330">
        <v>127</v>
      </c>
    </row>
    <row r="45" spans="1:14">
      <c r="A45" s="108" t="s">
        <v>8</v>
      </c>
      <c r="B45" s="250">
        <v>43</v>
      </c>
      <c r="C45" s="330">
        <v>157</v>
      </c>
      <c r="D45" s="330">
        <v>156</v>
      </c>
      <c r="E45" s="330">
        <v>156</v>
      </c>
      <c r="F45" s="330">
        <v>155</v>
      </c>
      <c r="G45" s="330">
        <v>155</v>
      </c>
      <c r="H45" s="330">
        <v>155</v>
      </c>
      <c r="I45" s="330">
        <v>155</v>
      </c>
      <c r="J45" s="330">
        <v>154</v>
      </c>
      <c r="K45" s="330">
        <v>154</v>
      </c>
      <c r="L45" s="330">
        <v>153</v>
      </c>
      <c r="M45" s="330">
        <v>153</v>
      </c>
      <c r="N45" s="330">
        <v>153</v>
      </c>
    </row>
    <row r="46" spans="1:14">
      <c r="A46" s="90" t="s">
        <v>158</v>
      </c>
      <c r="B46" s="250" t="s">
        <v>57</v>
      </c>
      <c r="C46" s="330">
        <v>25</v>
      </c>
      <c r="D46" s="330">
        <v>25</v>
      </c>
      <c r="E46" s="330">
        <v>25</v>
      </c>
      <c r="F46" s="330">
        <v>25</v>
      </c>
      <c r="G46" s="330">
        <v>25</v>
      </c>
      <c r="H46" s="330">
        <v>25</v>
      </c>
      <c r="I46" s="330">
        <v>25</v>
      </c>
      <c r="J46" s="330">
        <v>25</v>
      </c>
      <c r="K46" s="330">
        <v>25</v>
      </c>
      <c r="L46" s="330">
        <v>25</v>
      </c>
      <c r="M46" s="330">
        <v>25</v>
      </c>
      <c r="N46" s="330">
        <v>25</v>
      </c>
    </row>
    <row r="47" spans="1:14">
      <c r="A47" s="90" t="s">
        <v>157</v>
      </c>
      <c r="B47" s="250" t="s">
        <v>56</v>
      </c>
      <c r="C47" s="330">
        <v>7688</v>
      </c>
      <c r="D47" s="330">
        <v>7711</v>
      </c>
      <c r="E47" s="330">
        <v>7732</v>
      </c>
      <c r="F47" s="330">
        <v>7767</v>
      </c>
      <c r="G47" s="330">
        <v>7804</v>
      </c>
      <c r="H47" s="330">
        <v>7850</v>
      </c>
      <c r="I47" s="330">
        <v>7854</v>
      </c>
      <c r="J47" s="330">
        <v>7869</v>
      </c>
      <c r="K47" s="330">
        <v>7883</v>
      </c>
      <c r="L47" s="330">
        <v>7905</v>
      </c>
      <c r="M47" s="330">
        <v>7924</v>
      </c>
      <c r="N47" s="330">
        <v>7963</v>
      </c>
    </row>
    <row r="48" spans="1:14">
      <c r="A48" t="s">
        <v>148</v>
      </c>
      <c r="B48" s="250"/>
      <c r="C48" s="330">
        <v>13</v>
      </c>
      <c r="D48" s="330">
        <v>13</v>
      </c>
      <c r="E48" s="330">
        <v>13</v>
      </c>
      <c r="F48" s="330">
        <v>13</v>
      </c>
      <c r="G48" s="330">
        <v>13</v>
      </c>
      <c r="H48" s="330">
        <v>13</v>
      </c>
      <c r="I48" s="330">
        <v>13</v>
      </c>
      <c r="J48" s="330">
        <v>13</v>
      </c>
      <c r="K48" s="330">
        <v>13</v>
      </c>
      <c r="L48" s="330">
        <v>13</v>
      </c>
      <c r="M48" s="330">
        <v>13</v>
      </c>
      <c r="N48" s="330">
        <v>13</v>
      </c>
    </row>
    <row r="49" spans="1:14">
      <c r="A49" t="s">
        <v>149</v>
      </c>
      <c r="B49" s="250"/>
      <c r="C49" s="330">
        <v>3</v>
      </c>
      <c r="D49" s="330">
        <v>3</v>
      </c>
      <c r="E49" s="330">
        <v>3</v>
      </c>
      <c r="F49" s="330">
        <v>3</v>
      </c>
      <c r="G49" s="330">
        <v>3</v>
      </c>
      <c r="H49" s="330">
        <v>3</v>
      </c>
      <c r="I49" s="330">
        <v>3</v>
      </c>
      <c r="J49" s="330">
        <v>3</v>
      </c>
      <c r="K49" s="330">
        <v>3</v>
      </c>
      <c r="L49" s="330">
        <v>3</v>
      </c>
      <c r="M49" s="330">
        <v>3</v>
      </c>
      <c r="N49" s="330">
        <v>3</v>
      </c>
    </row>
    <row r="50" spans="1:14">
      <c r="A50" t="s">
        <v>23</v>
      </c>
      <c r="B50" s="250"/>
      <c r="C50" s="297">
        <f>SUM(C32:C49)</f>
        <v>1143142</v>
      </c>
      <c r="D50" s="297">
        <f t="shared" ref="D50:N50" si="3">SUM(D32:D49)</f>
        <v>1144567</v>
      </c>
      <c r="E50" s="297">
        <f t="shared" si="3"/>
        <v>1145500</v>
      </c>
      <c r="F50" s="297">
        <f t="shared" si="3"/>
        <v>1146360</v>
      </c>
      <c r="G50" s="297">
        <f t="shared" si="3"/>
        <v>1147691</v>
      </c>
      <c r="H50" s="297">
        <f t="shared" si="3"/>
        <v>1149059</v>
      </c>
      <c r="I50" s="297">
        <f t="shared" si="3"/>
        <v>1149589</v>
      </c>
      <c r="J50" s="297">
        <f t="shared" si="3"/>
        <v>1150817</v>
      </c>
      <c r="K50" s="297">
        <f t="shared" si="3"/>
        <v>1152702</v>
      </c>
      <c r="L50" s="297">
        <f t="shared" si="3"/>
        <v>1154232</v>
      </c>
      <c r="M50" s="297">
        <f t="shared" si="3"/>
        <v>1156316</v>
      </c>
      <c r="N50" s="297">
        <f t="shared" si="3"/>
        <v>1157496</v>
      </c>
    </row>
    <row r="51" spans="1:14">
      <c r="A51" s="99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99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8" bestFit="1" customWidth="1"/>
    <col min="3" max="3" width="12.28515625" style="178" customWidth="1"/>
    <col min="4" max="5" width="11.7109375" style="178" customWidth="1"/>
    <col min="6" max="6" width="12.28515625" style="178" customWidth="1"/>
    <col min="7" max="10" width="12.7109375" style="178" customWidth="1"/>
    <col min="11" max="11" width="14.28515625" style="178" bestFit="1" customWidth="1"/>
    <col min="12" max="12" width="13" style="178" bestFit="1" customWidth="1"/>
    <col min="13" max="13" width="10.7109375" style="178" customWidth="1"/>
    <col min="14" max="14" width="12.7109375" style="178" bestFit="1" customWidth="1"/>
    <col min="15" max="15" width="11.7109375" style="178" customWidth="1"/>
    <col min="16" max="16384" width="9.28515625" style="178"/>
  </cols>
  <sheetData>
    <row r="1" spans="1:30" ht="18">
      <c r="A1" s="174" t="s">
        <v>179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30">
      <c r="A2" s="129"/>
      <c r="B2" s="130"/>
      <c r="C2" s="131"/>
      <c r="D2" s="131"/>
      <c r="E2" s="131"/>
      <c r="F2" s="132" t="s">
        <v>62</v>
      </c>
      <c r="G2" s="131"/>
      <c r="H2" s="131"/>
      <c r="I2" s="131"/>
      <c r="J2" s="131"/>
      <c r="K2" s="133"/>
      <c r="L2" s="130"/>
      <c r="M2" s="134"/>
      <c r="N2" s="134"/>
      <c r="O2" s="128"/>
    </row>
    <row r="3" spans="1:30" ht="38.25">
      <c r="A3" s="135" t="s">
        <v>63</v>
      </c>
      <c r="B3" s="136" t="s">
        <v>64</v>
      </c>
      <c r="C3" s="137" t="s">
        <v>65</v>
      </c>
      <c r="D3" s="137" t="s">
        <v>66</v>
      </c>
      <c r="E3" s="138" t="s">
        <v>102</v>
      </c>
      <c r="F3" s="137" t="s">
        <v>67</v>
      </c>
      <c r="G3" s="137" t="s">
        <v>68</v>
      </c>
      <c r="H3" s="137" t="s">
        <v>69</v>
      </c>
      <c r="I3" s="137" t="s">
        <v>70</v>
      </c>
      <c r="J3" s="137" t="s">
        <v>71</v>
      </c>
      <c r="K3" s="139" t="s">
        <v>72</v>
      </c>
      <c r="L3" s="140" t="s">
        <v>73</v>
      </c>
      <c r="M3" s="136" t="s">
        <v>74</v>
      </c>
      <c r="N3" s="141" t="s">
        <v>75</v>
      </c>
      <c r="O3" s="141" t="s">
        <v>86</v>
      </c>
      <c r="Q3" s="352" t="s">
        <v>168</v>
      </c>
      <c r="R3" s="352" t="s">
        <v>169</v>
      </c>
    </row>
    <row r="4" spans="1:30">
      <c r="A4" s="253">
        <v>2018</v>
      </c>
      <c r="B4" s="143">
        <v>1</v>
      </c>
      <c r="C4" s="256">
        <v>723.21388888888896</v>
      </c>
      <c r="D4" s="257">
        <v>0</v>
      </c>
      <c r="E4" s="331">
        <v>628.70833333333326</v>
      </c>
      <c r="F4" s="331">
        <v>0</v>
      </c>
      <c r="G4" s="256">
        <v>131.923611111111</v>
      </c>
      <c r="H4" s="331">
        <v>49.499999999999993</v>
      </c>
      <c r="I4" s="256">
        <v>0</v>
      </c>
      <c r="J4" s="335">
        <v>0</v>
      </c>
      <c r="K4" s="318">
        <v>2215266.1669999999</v>
      </c>
      <c r="L4" s="272">
        <f t="shared" ref="L4:L15" si="0">K4/M4*1000</f>
        <v>1937.9020046783992</v>
      </c>
      <c r="M4" s="323">
        <f>SUM('SAP BW Actual Usage'!C32:C47)</f>
        <v>1143126</v>
      </c>
      <c r="N4" s="326">
        <f t="shared" ref="N4:N15" si="1">(L4+(C4-E4)*C22+(G4-H4)*D22+(D4-F4)*E22+(I4-J4)*F22)*M4/1000</f>
        <v>2305584.0654216884</v>
      </c>
      <c r="O4" s="309">
        <f t="shared" ref="O4:O9" si="2">N4-K4</f>
        <v>90317.898421688471</v>
      </c>
      <c r="P4" s="85"/>
      <c r="Q4" s="353">
        <v>413.27916666666698</v>
      </c>
      <c r="R4" s="354">
        <v>318.70833333333337</v>
      </c>
    </row>
    <row r="5" spans="1:30">
      <c r="A5" s="262">
        <f>A4</f>
        <v>2018</v>
      </c>
      <c r="B5" s="143">
        <v>2</v>
      </c>
      <c r="C5" s="144">
        <v>616.98611111111097</v>
      </c>
      <c r="D5" s="248">
        <v>0</v>
      </c>
      <c r="E5" s="332">
        <v>672.58333333333303</v>
      </c>
      <c r="F5" s="333">
        <v>0</v>
      </c>
      <c r="G5" s="144">
        <v>89.9930555555556</v>
      </c>
      <c r="H5" s="333">
        <v>140.583333333333</v>
      </c>
      <c r="I5" s="144">
        <v>0</v>
      </c>
      <c r="J5" s="336">
        <v>0</v>
      </c>
      <c r="K5" s="319">
        <f>2064898700/1000</f>
        <v>2064898.7</v>
      </c>
      <c r="L5" s="273">
        <f t="shared" si="0"/>
        <v>1804.1124423463873</v>
      </c>
      <c r="M5" s="323">
        <f>SUM('SAP BW Actual Usage'!D32:D47)</f>
        <v>1144551</v>
      </c>
      <c r="N5" s="327">
        <f t="shared" si="1"/>
        <v>2007991.9306302031</v>
      </c>
      <c r="O5" s="310">
        <f t="shared" si="2"/>
        <v>-56906.76936979685</v>
      </c>
      <c r="P5" s="85"/>
      <c r="Q5" s="353">
        <v>337.004166666667</v>
      </c>
      <c r="R5" s="354">
        <v>392.58333333333297</v>
      </c>
    </row>
    <row r="6" spans="1:30">
      <c r="A6" s="262">
        <f t="shared" ref="A6:A15" si="3">A5</f>
        <v>2018</v>
      </c>
      <c r="B6" s="143">
        <v>3</v>
      </c>
      <c r="C6" s="144">
        <v>592.16805555555595</v>
      </c>
      <c r="D6" s="248">
        <v>0</v>
      </c>
      <c r="E6" s="332">
        <v>589.83333333333337</v>
      </c>
      <c r="F6" s="332">
        <v>0</v>
      </c>
      <c r="G6" s="144">
        <v>42.775694444444397</v>
      </c>
      <c r="H6" s="333">
        <v>34.208333333333329</v>
      </c>
      <c r="I6" s="144">
        <v>0.102777777777778</v>
      </c>
      <c r="J6" s="336">
        <v>0</v>
      </c>
      <c r="K6" s="320">
        <f>2062414077/1000</f>
        <v>2062414.077</v>
      </c>
      <c r="L6" s="273">
        <f t="shared" si="0"/>
        <v>1800.4739280513741</v>
      </c>
      <c r="M6" s="323">
        <f>SUM('SAP BW Actual Usage'!E32:E47)</f>
        <v>1145484</v>
      </c>
      <c r="N6" s="327">
        <f t="shared" si="1"/>
        <v>2068533.3330722307</v>
      </c>
      <c r="O6" s="310">
        <f t="shared" si="2"/>
        <v>6119.2560722306371</v>
      </c>
      <c r="P6" s="85"/>
      <c r="Q6" s="353">
        <v>283.70277777777801</v>
      </c>
      <c r="R6" s="354">
        <v>288.375</v>
      </c>
    </row>
    <row r="7" spans="1:30">
      <c r="A7" s="142">
        <f t="shared" si="3"/>
        <v>2018</v>
      </c>
      <c r="B7" s="143">
        <v>4</v>
      </c>
      <c r="C7" s="144">
        <v>450.14722222222201</v>
      </c>
      <c r="D7" s="248">
        <v>0.68472222222222301</v>
      </c>
      <c r="E7" s="332">
        <v>419.04166666666703</v>
      </c>
      <c r="F7" s="332">
        <v>1.2083333333333299</v>
      </c>
      <c r="G7" s="144">
        <v>8.6638888888888896</v>
      </c>
      <c r="H7" s="332">
        <v>2.9166666666666701</v>
      </c>
      <c r="I7" s="144">
        <v>3.7069444444444501</v>
      </c>
      <c r="J7" s="336">
        <v>13.0833333333333</v>
      </c>
      <c r="K7" s="320">
        <f>1768077599/1000</f>
        <v>1768077.5989999999</v>
      </c>
      <c r="L7" s="273">
        <f t="shared" si="0"/>
        <v>1542.362152198642</v>
      </c>
      <c r="M7" s="323">
        <f>SUM('SAP BW Actual Usage'!F32:F47)</f>
        <v>1146344</v>
      </c>
      <c r="N7" s="327">
        <f t="shared" si="1"/>
        <v>1779404.1856001571</v>
      </c>
      <c r="O7" s="310">
        <f t="shared" si="2"/>
        <v>11326.586600157199</v>
      </c>
      <c r="P7" s="85"/>
      <c r="Q7" s="353">
        <v>166.16249999999999</v>
      </c>
      <c r="R7" s="354">
        <v>149.5</v>
      </c>
    </row>
    <row r="8" spans="1:30">
      <c r="A8" s="142">
        <f t="shared" si="3"/>
        <v>2018</v>
      </c>
      <c r="B8" s="143">
        <v>5</v>
      </c>
      <c r="C8" s="144">
        <v>296.66111111111098</v>
      </c>
      <c r="D8" s="248">
        <v>6.1736111111111098</v>
      </c>
      <c r="E8" s="332">
        <v>172.458333333333</v>
      </c>
      <c r="F8" s="333">
        <v>13.2083333333333</v>
      </c>
      <c r="G8" s="144">
        <v>0.41666666666666702</v>
      </c>
      <c r="H8" s="332">
        <v>0</v>
      </c>
      <c r="I8" s="144">
        <v>26.405555555555601</v>
      </c>
      <c r="J8" s="337">
        <v>45.7916666666667</v>
      </c>
      <c r="K8" s="319">
        <f>1593061438/1000</f>
        <v>1593061.4380000001</v>
      </c>
      <c r="L8" s="273">
        <f t="shared" si="0"/>
        <v>1388.0771455333609</v>
      </c>
      <c r="M8" s="323">
        <f>SUM('SAP BW Actual Usage'!G32:G47)</f>
        <v>1147675</v>
      </c>
      <c r="N8" s="327">
        <f t="shared" si="1"/>
        <v>1611520.0068019745</v>
      </c>
      <c r="O8" s="310">
        <f t="shared" si="2"/>
        <v>18458.568801974412</v>
      </c>
      <c r="P8" s="85"/>
      <c r="Q8" s="353">
        <v>58.012500000000003</v>
      </c>
      <c r="R8" s="354">
        <v>2.875</v>
      </c>
    </row>
    <row r="9" spans="1:30">
      <c r="A9" s="142">
        <f t="shared" si="3"/>
        <v>2018</v>
      </c>
      <c r="B9" s="143">
        <v>6</v>
      </c>
      <c r="C9" s="144">
        <v>162.50833333333301</v>
      </c>
      <c r="D9" s="248">
        <v>25.720833333333299</v>
      </c>
      <c r="E9" s="332">
        <v>124.833333333333</v>
      </c>
      <c r="F9" s="333">
        <v>31.9166666666667</v>
      </c>
      <c r="G9" s="144">
        <v>0</v>
      </c>
      <c r="H9" s="332">
        <v>0</v>
      </c>
      <c r="I9" s="144">
        <v>70.143055555555506</v>
      </c>
      <c r="J9" s="337">
        <v>85.2083333333333</v>
      </c>
      <c r="K9" s="319">
        <f>1565951960/1000</f>
        <v>1565951.96</v>
      </c>
      <c r="L9" s="273">
        <f t="shared" si="0"/>
        <v>1362.8314693183804</v>
      </c>
      <c r="M9" s="324">
        <f>SUM('SAP BW Actual Usage'!H32:H47)</f>
        <v>1149043</v>
      </c>
      <c r="N9" s="327">
        <f t="shared" si="1"/>
        <v>1559953.2997715843</v>
      </c>
      <c r="O9" s="310">
        <f t="shared" si="2"/>
        <v>-5998.6602284156252</v>
      </c>
      <c r="P9" s="85"/>
      <c r="Q9" s="353">
        <v>7.9180555555555596</v>
      </c>
      <c r="R9" s="354">
        <v>2.125</v>
      </c>
    </row>
    <row r="10" spans="1:30">
      <c r="A10" s="142">
        <f t="shared" si="3"/>
        <v>2018</v>
      </c>
      <c r="B10" s="143">
        <v>7</v>
      </c>
      <c r="C10" s="144">
        <v>57.0138888888889</v>
      </c>
      <c r="D10" s="269">
        <v>73.7916666666667</v>
      </c>
      <c r="E10" s="333">
        <v>16.5833333333333</v>
      </c>
      <c r="F10" s="333">
        <v>171.208333333333</v>
      </c>
      <c r="G10" s="144">
        <v>0</v>
      </c>
      <c r="H10" s="332">
        <v>0</v>
      </c>
      <c r="I10" s="144">
        <v>179.29305555555601</v>
      </c>
      <c r="J10" s="338">
        <v>309.625</v>
      </c>
      <c r="K10" s="321">
        <v>1749554.2919999999</v>
      </c>
      <c r="L10" s="273">
        <f t="shared" si="0"/>
        <v>1521.9166525309831</v>
      </c>
      <c r="M10" s="324">
        <f>SUM('SAP BW Actual Usage'!I32:I47)</f>
        <v>1149573</v>
      </c>
      <c r="N10" s="327">
        <f t="shared" si="1"/>
        <v>1684287.6524307153</v>
      </c>
      <c r="O10" s="310">
        <f t="shared" ref="O10:O15" si="4">N10-K10</f>
        <v>-65266.639569284627</v>
      </c>
      <c r="P10" s="262"/>
      <c r="Q10" s="248">
        <v>0.11944444444444501</v>
      </c>
      <c r="R10" s="337">
        <v>0</v>
      </c>
      <c r="S10" s="144"/>
      <c r="T10" s="144"/>
      <c r="U10" s="144"/>
      <c r="V10" s="144"/>
      <c r="W10" s="144"/>
      <c r="X10" s="144"/>
      <c r="Y10" s="248"/>
      <c r="Z10" s="263"/>
      <c r="AA10" s="144"/>
      <c r="AB10" s="169"/>
      <c r="AC10" s="264"/>
      <c r="AD10" s="265"/>
    </row>
    <row r="11" spans="1:30">
      <c r="A11" s="142">
        <f t="shared" si="3"/>
        <v>2018</v>
      </c>
      <c r="B11" s="143">
        <v>8</v>
      </c>
      <c r="C11" s="144">
        <v>47.509722222222202</v>
      </c>
      <c r="D11" s="269">
        <v>66.988888888888894</v>
      </c>
      <c r="E11" s="333">
        <v>25.0833333333333</v>
      </c>
      <c r="F11" s="333">
        <v>114.916666666667</v>
      </c>
      <c r="G11" s="144">
        <v>0</v>
      </c>
      <c r="H11" s="333">
        <v>0</v>
      </c>
      <c r="I11" s="144">
        <v>178.052777777778</v>
      </c>
      <c r="J11" s="338">
        <v>246.5</v>
      </c>
      <c r="K11" s="321">
        <f>1709931727/1000</f>
        <v>1709931.727</v>
      </c>
      <c r="L11" s="273">
        <f t="shared" si="0"/>
        <v>1485.8622185764523</v>
      </c>
      <c r="M11" s="324">
        <f>SUM('SAP BW Actual Usage'!J32:J47)</f>
        <v>1150801</v>
      </c>
      <c r="N11" s="327">
        <f t="shared" si="1"/>
        <v>1675731.2727487276</v>
      </c>
      <c r="O11" s="310">
        <f t="shared" si="4"/>
        <v>-34200.454251272371</v>
      </c>
      <c r="P11" s="262"/>
      <c r="Q11" s="248">
        <v>0</v>
      </c>
      <c r="R11" s="337">
        <v>0</v>
      </c>
      <c r="S11" s="144"/>
      <c r="T11" s="258"/>
      <c r="U11" s="258"/>
      <c r="V11" s="144"/>
      <c r="W11" s="144"/>
      <c r="X11" s="144"/>
      <c r="Y11" s="259"/>
      <c r="Z11" s="266"/>
      <c r="AA11" s="144"/>
      <c r="AB11" s="169"/>
      <c r="AC11" s="264"/>
      <c r="AD11" s="265"/>
    </row>
    <row r="12" spans="1:30">
      <c r="A12" s="142">
        <f t="shared" si="3"/>
        <v>2018</v>
      </c>
      <c r="B12" s="143">
        <v>9</v>
      </c>
      <c r="C12" s="144">
        <v>136.759722222222</v>
      </c>
      <c r="D12" s="269">
        <v>18.197222222222202</v>
      </c>
      <c r="E12" s="333">
        <v>116.666666666667</v>
      </c>
      <c r="F12" s="333">
        <v>8.5416666666666607</v>
      </c>
      <c r="G12" s="144">
        <v>0</v>
      </c>
      <c r="H12" s="333">
        <v>0</v>
      </c>
      <c r="I12" s="144">
        <v>72.752777777777794</v>
      </c>
      <c r="J12" s="338">
        <v>62.2916666666666</v>
      </c>
      <c r="K12" s="321">
        <f>1543735913/1000</f>
        <v>1543735.9129999999</v>
      </c>
      <c r="L12" s="273">
        <f t="shared" si="0"/>
        <v>1339.2510302025009</v>
      </c>
      <c r="M12" s="324">
        <f>SUM('SAP BW Actual Usage'!K32:K47)</f>
        <v>1152686</v>
      </c>
      <c r="N12" s="327">
        <f t="shared" si="1"/>
        <v>1545952.3993269168</v>
      </c>
      <c r="O12" s="310">
        <f t="shared" si="4"/>
        <v>2216.4863269168418</v>
      </c>
      <c r="P12" s="262"/>
      <c r="Q12" s="248">
        <v>4.0513888888888898</v>
      </c>
      <c r="R12" s="337">
        <v>0</v>
      </c>
      <c r="S12" s="144"/>
      <c r="T12" s="258"/>
      <c r="U12" s="258"/>
      <c r="V12" s="144"/>
      <c r="W12" s="144"/>
      <c r="X12" s="144"/>
      <c r="Y12" s="259"/>
      <c r="Z12" s="266"/>
      <c r="AA12" s="144"/>
      <c r="AB12" s="169"/>
      <c r="AC12" s="264"/>
      <c r="AD12" s="265"/>
    </row>
    <row r="13" spans="1:30">
      <c r="A13" s="142">
        <f t="shared" si="3"/>
        <v>2018</v>
      </c>
      <c r="B13" s="143">
        <v>10</v>
      </c>
      <c r="C13" s="144">
        <v>386.027777777778</v>
      </c>
      <c r="D13" s="269">
        <v>0</v>
      </c>
      <c r="E13" s="333">
        <v>366.375</v>
      </c>
      <c r="F13" s="333">
        <v>0</v>
      </c>
      <c r="G13" s="144">
        <v>2.8333333333333299</v>
      </c>
      <c r="H13" s="333">
        <v>0</v>
      </c>
      <c r="I13" s="144">
        <v>1.8902777777777799</v>
      </c>
      <c r="J13" s="338">
        <v>4.1666666666664298E-2</v>
      </c>
      <c r="K13" s="321">
        <f>1770977938/1000</f>
        <v>1770977.9380000001</v>
      </c>
      <c r="L13" s="273">
        <f t="shared" si="0"/>
        <v>1534.3557341086937</v>
      </c>
      <c r="M13" s="324">
        <f>SUM('SAP BW Actual Usage'!L32:L47)</f>
        <v>1154216</v>
      </c>
      <c r="N13" s="327">
        <f t="shared" si="1"/>
        <v>1778613.5613702582</v>
      </c>
      <c r="O13" s="310">
        <f t="shared" si="4"/>
        <v>7635.6233702581376</v>
      </c>
      <c r="P13" s="262"/>
      <c r="Q13" s="248">
        <v>99.504166666666606</v>
      </c>
      <c r="R13" s="337">
        <v>69.7083333333333</v>
      </c>
      <c r="S13" s="144"/>
      <c r="T13" s="258"/>
      <c r="U13" s="258"/>
      <c r="V13" s="144"/>
      <c r="W13" s="258"/>
      <c r="X13" s="144"/>
      <c r="Y13" s="259"/>
      <c r="Z13" s="145"/>
      <c r="AA13" s="144"/>
      <c r="AB13" s="169"/>
      <c r="AC13" s="264"/>
      <c r="AD13" s="265"/>
    </row>
    <row r="14" spans="1:30">
      <c r="A14" s="142">
        <f t="shared" si="3"/>
        <v>2018</v>
      </c>
      <c r="B14" s="143">
        <v>11</v>
      </c>
      <c r="C14" s="144">
        <v>583.59097222222204</v>
      </c>
      <c r="D14" s="248">
        <v>0</v>
      </c>
      <c r="E14" s="333">
        <v>493.60416666666703</v>
      </c>
      <c r="F14" s="333">
        <v>0</v>
      </c>
      <c r="G14" s="144">
        <v>54.622222222222199</v>
      </c>
      <c r="H14" s="333">
        <v>13.8333333333333</v>
      </c>
      <c r="I14" s="144">
        <v>2.9166666666666698E-2</v>
      </c>
      <c r="J14" s="337">
        <v>0</v>
      </c>
      <c r="K14" s="319">
        <f>1944414706/1000</f>
        <v>1944414.706</v>
      </c>
      <c r="L14" s="273">
        <f t="shared" si="0"/>
        <v>1681.583244832656</v>
      </c>
      <c r="M14" s="324">
        <f>SUM('SAP BW Actual Usage'!M32:M47)</f>
        <v>1156300</v>
      </c>
      <c r="N14" s="327">
        <f t="shared" si="1"/>
        <v>2027305.8968656934</v>
      </c>
      <c r="O14" s="310">
        <f t="shared" si="4"/>
        <v>82891.190865693381</v>
      </c>
      <c r="P14" s="262"/>
      <c r="Q14" s="248">
        <v>285.20763888888899</v>
      </c>
      <c r="R14" s="337">
        <v>199.958333333333</v>
      </c>
      <c r="S14" s="144"/>
      <c r="T14" s="258"/>
      <c r="U14" s="144"/>
      <c r="V14" s="144"/>
      <c r="W14" s="258"/>
      <c r="X14" s="144"/>
      <c r="Y14" s="248"/>
      <c r="Z14" s="145"/>
      <c r="AA14" s="144"/>
      <c r="AB14" s="169"/>
      <c r="AC14" s="264"/>
      <c r="AD14" s="265"/>
    </row>
    <row r="15" spans="1:30">
      <c r="A15" s="252">
        <f t="shared" si="3"/>
        <v>2018</v>
      </c>
      <c r="B15" s="143">
        <v>12</v>
      </c>
      <c r="C15" s="260">
        <v>747.57777777777801</v>
      </c>
      <c r="D15" s="261">
        <v>0</v>
      </c>
      <c r="E15" s="334">
        <v>653.20833333333303</v>
      </c>
      <c r="F15" s="334">
        <v>0</v>
      </c>
      <c r="G15" s="260">
        <v>148.73472222222199</v>
      </c>
      <c r="H15" s="334">
        <v>68.4583333333333</v>
      </c>
      <c r="I15" s="260">
        <v>0</v>
      </c>
      <c r="J15" s="339">
        <v>0</v>
      </c>
      <c r="K15" s="322">
        <f>2245387275/1000</f>
        <v>2245387.2749999999</v>
      </c>
      <c r="L15" s="286">
        <f t="shared" si="0"/>
        <v>1939.8929355150844</v>
      </c>
      <c r="M15" s="325">
        <f>SUM('SAP BW Actual Usage'!N32:N47)</f>
        <v>1157480</v>
      </c>
      <c r="N15" s="327">
        <f t="shared" si="1"/>
        <v>2334378.3623164571</v>
      </c>
      <c r="O15" s="311">
        <f t="shared" si="4"/>
        <v>88991.087316457182</v>
      </c>
      <c r="P15" s="262"/>
      <c r="Q15" s="248">
        <v>437.754166666667</v>
      </c>
      <c r="R15" s="337">
        <v>343.20833333333297</v>
      </c>
      <c r="S15" s="144"/>
      <c r="T15" s="258"/>
      <c r="U15" s="144"/>
      <c r="V15" s="144"/>
      <c r="W15" s="258"/>
      <c r="X15" s="144"/>
      <c r="Y15" s="248"/>
      <c r="Z15" s="145"/>
      <c r="AA15" s="144"/>
      <c r="AB15" s="267"/>
      <c r="AC15" s="264"/>
      <c r="AD15" s="265"/>
    </row>
    <row r="16" spans="1:30">
      <c r="A16" s="477" t="s">
        <v>178</v>
      </c>
      <c r="B16" s="478"/>
      <c r="C16" s="146"/>
      <c r="D16" s="270"/>
      <c r="E16" s="147"/>
      <c r="F16" s="147"/>
      <c r="G16" s="147"/>
      <c r="H16" s="147"/>
      <c r="I16" s="147"/>
      <c r="J16" s="268"/>
      <c r="K16" s="276">
        <f>SUM(K4:K15)</f>
        <v>22233671.791999999</v>
      </c>
      <c r="L16" s="274"/>
      <c r="M16" s="275"/>
      <c r="N16" s="276">
        <f>SUM(N4:N15)</f>
        <v>22379255.966356605</v>
      </c>
      <c r="O16" s="240"/>
    </row>
    <row r="17" spans="1:15">
      <c r="A17" s="148" t="s">
        <v>87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277"/>
      <c r="M17" s="277"/>
      <c r="N17" s="278">
        <f>N16-$K16</f>
        <v>145584.17435660586</v>
      </c>
      <c r="O17" s="170"/>
    </row>
    <row r="18" spans="1:15">
      <c r="A18" s="292" t="s">
        <v>181</v>
      </c>
      <c r="B18" s="128"/>
      <c r="C18" s="128"/>
      <c r="D18" s="128"/>
      <c r="E18" s="128"/>
      <c r="F18" s="128"/>
      <c r="G18" s="271"/>
      <c r="H18" s="128"/>
      <c r="I18" s="128"/>
      <c r="J18" s="128"/>
      <c r="K18" s="128"/>
      <c r="L18" s="171"/>
      <c r="M18" s="128"/>
      <c r="N18" s="128"/>
      <c r="O18" s="128"/>
    </row>
    <row r="19" spans="1:15">
      <c r="A19" s="249"/>
      <c r="B19" s="128"/>
      <c r="C19" s="128"/>
      <c r="D19" s="128"/>
      <c r="E19" s="128"/>
      <c r="F19" s="128"/>
      <c r="G19" s="271"/>
      <c r="H19" s="128"/>
      <c r="I19" s="128"/>
      <c r="J19" s="128"/>
      <c r="K19" s="128"/>
      <c r="L19" s="171"/>
      <c r="M19" s="128"/>
      <c r="N19" s="128"/>
      <c r="O19" s="128"/>
    </row>
    <row r="20" spans="1:15" ht="15.75">
      <c r="A20" s="151" t="s">
        <v>180</v>
      </c>
      <c r="B20" s="152"/>
      <c r="C20" s="152"/>
      <c r="D20" s="152"/>
      <c r="E20" s="152"/>
      <c r="F20" s="152"/>
      <c r="G20" s="152"/>
      <c r="H20" s="128"/>
      <c r="I20" s="128"/>
      <c r="J20" s="128"/>
      <c r="K20" s="128"/>
      <c r="L20" s="179"/>
      <c r="M20" s="180"/>
      <c r="N20" s="181"/>
      <c r="O20" s="128"/>
    </row>
    <row r="21" spans="1:15">
      <c r="A21" s="139" t="s">
        <v>63</v>
      </c>
      <c r="B21" s="153" t="s">
        <v>64</v>
      </c>
      <c r="C21" s="154" t="s">
        <v>76</v>
      </c>
      <c r="D21" s="155" t="s">
        <v>115</v>
      </c>
      <c r="E21" s="154" t="s">
        <v>116</v>
      </c>
      <c r="F21" s="156" t="s">
        <v>79</v>
      </c>
      <c r="G21" s="152"/>
      <c r="H21" s="128"/>
      <c r="I21" s="128"/>
      <c r="J21" s="128"/>
      <c r="K21" s="128"/>
      <c r="L21" s="159"/>
      <c r="M21" s="170"/>
      <c r="N21" s="128"/>
      <c r="O21" s="128"/>
    </row>
    <row r="22" spans="1:15">
      <c r="A22" s="253">
        <f>A4</f>
        <v>2018</v>
      </c>
      <c r="B22" s="254">
        <f>B4</f>
        <v>1</v>
      </c>
      <c r="C22" s="255">
        <v>0.83603099999999997</v>
      </c>
      <c r="D22" s="255">
        <v>0</v>
      </c>
      <c r="E22" s="255">
        <v>0</v>
      </c>
      <c r="F22" s="255">
        <v>0</v>
      </c>
      <c r="G22" s="128"/>
      <c r="H22" s="128"/>
      <c r="I22" s="128"/>
      <c r="J22" s="128"/>
      <c r="K22" s="128"/>
      <c r="L22" s="128"/>
      <c r="M22" s="128"/>
      <c r="N22" s="128"/>
      <c r="O22" s="128"/>
    </row>
    <row r="23" spans="1:15">
      <c r="A23" s="142">
        <f t="shared" ref="A23:B23" si="5">A5</f>
        <v>2018</v>
      </c>
      <c r="B23" s="157">
        <f t="shared" si="5"/>
        <v>2</v>
      </c>
      <c r="C23" s="158">
        <v>0.76440200000000003</v>
      </c>
      <c r="D23" s="158">
        <v>0.142737</v>
      </c>
      <c r="E23" s="158">
        <v>0</v>
      </c>
      <c r="F23" s="158">
        <v>0</v>
      </c>
      <c r="G23" s="128"/>
      <c r="H23" s="128"/>
      <c r="I23" s="128"/>
      <c r="J23" s="128"/>
      <c r="K23" s="128"/>
      <c r="L23" s="128"/>
      <c r="M23" s="128"/>
      <c r="N23" s="128"/>
      <c r="O23" s="128"/>
    </row>
    <row r="24" spans="1:15">
      <c r="A24" s="142">
        <f t="shared" ref="A24:B24" si="6">A6</f>
        <v>2018</v>
      </c>
      <c r="B24" s="157">
        <f t="shared" si="6"/>
        <v>3</v>
      </c>
      <c r="C24" s="158">
        <v>0.51232100000000003</v>
      </c>
      <c r="D24" s="158">
        <v>0.48392299999999999</v>
      </c>
      <c r="E24" s="158">
        <v>0</v>
      </c>
      <c r="F24" s="158">
        <v>0</v>
      </c>
      <c r="G24" s="128"/>
      <c r="H24" s="128"/>
      <c r="I24" s="128"/>
      <c r="J24" s="128"/>
      <c r="K24" s="128"/>
      <c r="L24" s="128"/>
      <c r="M24" s="128"/>
      <c r="N24" s="128"/>
      <c r="O24" s="128"/>
    </row>
    <row r="25" spans="1:15">
      <c r="A25" s="142">
        <f t="shared" ref="A25:B25" si="7">A7</f>
        <v>2018</v>
      </c>
      <c r="B25" s="157">
        <f t="shared" si="7"/>
        <v>4</v>
      </c>
      <c r="C25" s="158">
        <v>0.31764799999999999</v>
      </c>
      <c r="D25" s="158">
        <v>0</v>
      </c>
      <c r="E25" s="158">
        <v>0</v>
      </c>
      <c r="F25" s="158">
        <v>0</v>
      </c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5">
      <c r="A26" s="142">
        <f t="shared" ref="A26:B26" si="8">A8</f>
        <v>2018</v>
      </c>
      <c r="B26" s="157">
        <f t="shared" si="8"/>
        <v>5</v>
      </c>
      <c r="C26" s="182">
        <v>0.18571799999999999</v>
      </c>
      <c r="D26" s="158">
        <v>0</v>
      </c>
      <c r="E26" s="158">
        <v>0</v>
      </c>
      <c r="F26" s="158">
        <v>0.36021900000000001</v>
      </c>
      <c r="G26" s="128"/>
      <c r="H26" s="128"/>
      <c r="I26" s="128"/>
      <c r="J26" s="128"/>
      <c r="K26" s="128"/>
      <c r="L26" s="128"/>
      <c r="M26" s="128"/>
      <c r="N26" s="128"/>
      <c r="O26" s="128"/>
    </row>
    <row r="27" spans="1:15">
      <c r="A27" s="142">
        <f t="shared" ref="A27:B27" si="9">A9</f>
        <v>2018</v>
      </c>
      <c r="B27" s="157">
        <f t="shared" si="9"/>
        <v>6</v>
      </c>
      <c r="C27" s="158">
        <v>0</v>
      </c>
      <c r="D27" s="158">
        <v>0</v>
      </c>
      <c r="E27" s="158">
        <v>0</v>
      </c>
      <c r="F27" s="158">
        <v>0.34653</v>
      </c>
      <c r="G27" s="128"/>
      <c r="H27" s="128"/>
      <c r="I27" s="128"/>
      <c r="J27" s="128"/>
      <c r="K27" s="128"/>
      <c r="L27" s="128"/>
      <c r="M27" s="128"/>
      <c r="N27" s="128"/>
      <c r="O27" s="128"/>
    </row>
    <row r="28" spans="1:15">
      <c r="A28" s="142">
        <f t="shared" ref="A28:B28" si="10">A10</f>
        <v>2018</v>
      </c>
      <c r="B28" s="157">
        <f t="shared" si="10"/>
        <v>7</v>
      </c>
      <c r="C28" s="158">
        <v>0</v>
      </c>
      <c r="D28" s="158">
        <v>0</v>
      </c>
      <c r="E28" s="158">
        <v>0</v>
      </c>
      <c r="F28" s="158">
        <v>0.435616</v>
      </c>
      <c r="G28" s="128"/>
      <c r="H28" s="128"/>
      <c r="I28" s="128"/>
      <c r="J28" s="128"/>
      <c r="K28" s="128"/>
      <c r="L28" s="128"/>
      <c r="M28" s="128"/>
      <c r="N28" s="128"/>
      <c r="O28" s="128"/>
    </row>
    <row r="29" spans="1:15">
      <c r="A29" s="142">
        <f t="shared" ref="A29:B29" si="11">A11</f>
        <v>2018</v>
      </c>
      <c r="B29" s="157">
        <f t="shared" si="11"/>
        <v>8</v>
      </c>
      <c r="C29" s="158">
        <v>0</v>
      </c>
      <c r="D29" s="158">
        <v>0</v>
      </c>
      <c r="E29" s="158">
        <v>0</v>
      </c>
      <c r="F29" s="158">
        <v>0.43418600000000002</v>
      </c>
      <c r="G29" s="128"/>
      <c r="H29" s="128"/>
      <c r="I29" s="128"/>
      <c r="J29" s="128"/>
      <c r="K29" s="128"/>
      <c r="L29" s="128"/>
      <c r="M29" s="128"/>
      <c r="N29" s="128"/>
      <c r="O29" s="128"/>
    </row>
    <row r="30" spans="1:15">
      <c r="A30" s="142">
        <f t="shared" ref="A30:B30" si="12">A12</f>
        <v>2018</v>
      </c>
      <c r="B30" s="157">
        <f t="shared" si="12"/>
        <v>9</v>
      </c>
      <c r="C30" s="158">
        <v>0</v>
      </c>
      <c r="D30" s="158">
        <v>0</v>
      </c>
      <c r="E30" s="158">
        <v>0</v>
      </c>
      <c r="F30" s="158">
        <v>0.183813</v>
      </c>
      <c r="G30" s="128"/>
      <c r="H30" s="128"/>
      <c r="I30" s="128"/>
      <c r="J30" s="128"/>
      <c r="K30" s="128"/>
      <c r="L30" s="128"/>
      <c r="M30" s="128"/>
      <c r="N30" s="128"/>
      <c r="O30" s="128"/>
    </row>
    <row r="31" spans="1:15">
      <c r="A31" s="142">
        <f t="shared" ref="A31:B31" si="13">A13</f>
        <v>2018</v>
      </c>
      <c r="B31" s="157">
        <f t="shared" si="13"/>
        <v>10</v>
      </c>
      <c r="C31" s="158">
        <v>0.336615</v>
      </c>
      <c r="D31" s="158">
        <v>0</v>
      </c>
      <c r="E31" s="158">
        <v>0</v>
      </c>
      <c r="F31" s="158">
        <v>0</v>
      </c>
      <c r="G31" s="128"/>
      <c r="H31" s="128"/>
      <c r="I31" s="128"/>
      <c r="J31" s="128"/>
      <c r="K31" s="128"/>
      <c r="L31" s="128"/>
      <c r="M31" s="128"/>
      <c r="N31" s="128"/>
      <c r="O31" s="128"/>
    </row>
    <row r="32" spans="1:15">
      <c r="A32" s="142">
        <f t="shared" ref="A32:B32" si="14">A14</f>
        <v>2018</v>
      </c>
      <c r="B32" s="157">
        <f t="shared" si="14"/>
        <v>11</v>
      </c>
      <c r="C32" s="182">
        <v>0.64807800000000004</v>
      </c>
      <c r="D32" s="158">
        <v>0.327739</v>
      </c>
      <c r="E32" s="158">
        <v>0</v>
      </c>
      <c r="F32" s="158">
        <v>0</v>
      </c>
      <c r="G32" s="128"/>
      <c r="H32" s="128"/>
      <c r="I32" s="128"/>
      <c r="J32" s="128"/>
      <c r="K32" s="128"/>
      <c r="L32" s="128"/>
      <c r="M32" s="128"/>
      <c r="N32" s="128"/>
      <c r="O32" s="128"/>
    </row>
    <row r="33" spans="1:15">
      <c r="A33" s="252">
        <f t="shared" ref="A33:B33" si="15">A15</f>
        <v>2018</v>
      </c>
      <c r="B33" s="172">
        <f t="shared" si="15"/>
        <v>12</v>
      </c>
      <c r="C33" s="173">
        <v>0.458038</v>
      </c>
      <c r="D33" s="173">
        <v>0.41928500000000002</v>
      </c>
      <c r="E33" s="173">
        <v>0</v>
      </c>
      <c r="F33" s="173">
        <v>0</v>
      </c>
      <c r="G33" s="128"/>
      <c r="H33" s="128"/>
      <c r="I33" s="128"/>
      <c r="J33" s="128"/>
      <c r="K33" s="128"/>
      <c r="L33" s="128"/>
      <c r="M33" s="128"/>
      <c r="N33" s="128"/>
      <c r="O33" s="128"/>
    </row>
    <row r="34" spans="1:15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</row>
    <row r="35" spans="1:15" ht="15.75">
      <c r="A35" s="160" t="s">
        <v>80</v>
      </c>
      <c r="B35" s="150" t="s">
        <v>81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</row>
    <row r="36" spans="1:15">
      <c r="A36" s="128"/>
      <c r="B36" s="150" t="s">
        <v>82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</row>
    <row r="37" spans="1:15">
      <c r="A37" s="128"/>
      <c r="B37" s="150" t="s">
        <v>83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</row>
    <row r="38" spans="1:15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</row>
    <row r="39" spans="1:15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</row>
    <row r="40" spans="1:15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</row>
    <row r="41" spans="1:1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9"/>
    <col min="2" max="12" width="7.5703125" style="199" customWidth="1"/>
    <col min="13" max="13" width="9.28515625" style="199"/>
    <col min="14" max="14" width="14.28515625" style="199" customWidth="1"/>
    <col min="15" max="15" width="16.7109375" style="200" customWidth="1"/>
    <col min="16" max="16384" width="9.28515625" style="199"/>
  </cols>
  <sheetData>
    <row r="4" spans="1:17">
      <c r="A4" s="482" t="s">
        <v>189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201" t="s">
        <v>88</v>
      </c>
    </row>
    <row r="6" spans="1:17" ht="20.25" customHeight="1">
      <c r="A6" s="202"/>
      <c r="B6" s="479"/>
      <c r="C6" s="479"/>
      <c r="D6" s="479"/>
      <c r="E6" s="479"/>
      <c r="F6" s="479"/>
      <c r="G6" s="479"/>
      <c r="H6" s="479"/>
      <c r="I6" s="357"/>
      <c r="J6" s="357"/>
      <c r="K6" s="357"/>
      <c r="L6" s="380"/>
      <c r="M6" s="203"/>
      <c r="N6" s="204"/>
    </row>
    <row r="7" spans="1:17" ht="36" customHeight="1">
      <c r="A7" s="205"/>
      <c r="B7" s="206">
        <v>2008</v>
      </c>
      <c r="C7" s="206">
        <f t="shared" ref="C7" si="0">B7+1</f>
        <v>2009</v>
      </c>
      <c r="D7" s="206">
        <f t="shared" ref="D7" si="1">C7+1</f>
        <v>2010</v>
      </c>
      <c r="E7" s="206">
        <f t="shared" ref="E7" si="2">D7+1</f>
        <v>2011</v>
      </c>
      <c r="F7" s="206">
        <f t="shared" ref="F7" si="3">E7+1</f>
        <v>2012</v>
      </c>
      <c r="G7" s="206">
        <f t="shared" ref="G7" si="4">F7+1</f>
        <v>2013</v>
      </c>
      <c r="H7" s="206">
        <f t="shared" ref="H7" si="5">G7+1</f>
        <v>2014</v>
      </c>
      <c r="I7" s="206">
        <f t="shared" ref="I7:J7" si="6">H7+1</f>
        <v>2015</v>
      </c>
      <c r="J7" s="206">
        <f t="shared" si="6"/>
        <v>2016</v>
      </c>
      <c r="K7" s="206">
        <f>J7+1</f>
        <v>2017</v>
      </c>
      <c r="L7" s="206">
        <f>K7+1</f>
        <v>2018</v>
      </c>
      <c r="M7" s="207" t="s">
        <v>117</v>
      </c>
      <c r="N7" s="280" t="s">
        <v>188</v>
      </c>
    </row>
    <row r="8" spans="1:17">
      <c r="A8" s="205" t="s">
        <v>89</v>
      </c>
      <c r="B8" s="208">
        <v>819.58333333333326</v>
      </c>
      <c r="C8" s="208">
        <v>812.5</v>
      </c>
      <c r="D8" s="208">
        <v>561.95833333333326</v>
      </c>
      <c r="E8" s="208">
        <v>716.33333333333303</v>
      </c>
      <c r="F8" s="279">
        <v>778</v>
      </c>
      <c r="G8" s="279">
        <v>828</v>
      </c>
      <c r="H8" s="279">
        <v>666.12490000000003</v>
      </c>
      <c r="I8" s="279">
        <v>629.33349999999996</v>
      </c>
      <c r="J8" s="360">
        <v>664.25019999999995</v>
      </c>
      <c r="K8" s="361">
        <v>845.54160000000002</v>
      </c>
      <c r="L8" s="361">
        <v>628.70833333333303</v>
      </c>
      <c r="M8" s="359">
        <f>'System Model '!C4</f>
        <v>723.21388888888896</v>
      </c>
      <c r="N8" s="358">
        <f>L8/M8-1</f>
        <v>-0.13067442012313912</v>
      </c>
      <c r="O8" s="359">
        <v>723.21388888888896</v>
      </c>
      <c r="P8" s="209"/>
      <c r="Q8" s="211"/>
    </row>
    <row r="9" spans="1:17">
      <c r="A9" s="205" t="s">
        <v>90</v>
      </c>
      <c r="B9" s="208">
        <v>629.83333333333337</v>
      </c>
      <c r="C9" s="208">
        <v>659.625</v>
      </c>
      <c r="D9" s="208">
        <v>515</v>
      </c>
      <c r="E9" s="208">
        <v>725.95833333333348</v>
      </c>
      <c r="F9" s="279">
        <v>629</v>
      </c>
      <c r="G9" s="279">
        <v>581</v>
      </c>
      <c r="H9" s="279">
        <v>656.58320000000003</v>
      </c>
      <c r="I9" s="279">
        <v>456.58359999999993</v>
      </c>
      <c r="J9" s="360">
        <v>516.16650000000004</v>
      </c>
      <c r="K9" s="361">
        <v>671.95839999999998</v>
      </c>
      <c r="L9" s="361">
        <v>672.58333333333303</v>
      </c>
      <c r="M9" s="359">
        <f>'System Model '!C5</f>
        <v>616.98611111111097</v>
      </c>
      <c r="N9" s="358">
        <f>L9/M9-1</f>
        <v>9.0110978547148779E-2</v>
      </c>
      <c r="O9" s="359">
        <v>636.29340277777806</v>
      </c>
      <c r="P9" s="212"/>
      <c r="Q9" s="211"/>
    </row>
    <row r="10" spans="1:17">
      <c r="A10" s="205" t="s">
        <v>91</v>
      </c>
      <c r="B10" s="208">
        <v>693.54166666666663</v>
      </c>
      <c r="C10" s="208">
        <v>725.0625</v>
      </c>
      <c r="D10" s="208">
        <v>564.35416666666674</v>
      </c>
      <c r="E10" s="208">
        <v>624.375</v>
      </c>
      <c r="F10" s="279">
        <v>684</v>
      </c>
      <c r="G10" s="279">
        <v>539.20000000000005</v>
      </c>
      <c r="H10" s="279">
        <v>535.62509999999997</v>
      </c>
      <c r="I10" s="279">
        <v>456.37670000000003</v>
      </c>
      <c r="J10" s="360">
        <v>510.06220000000008</v>
      </c>
      <c r="K10" s="361">
        <v>602.62480000000005</v>
      </c>
      <c r="L10" s="361">
        <v>589.02083333333303</v>
      </c>
      <c r="M10" s="359">
        <f>'System Model '!C6</f>
        <v>592.16805555555595</v>
      </c>
      <c r="N10" s="358">
        <f>L10/M10-1</f>
        <v>-5.3147450165481613E-3</v>
      </c>
      <c r="O10" s="359">
        <v>592.16805555555595</v>
      </c>
      <c r="P10" s="209"/>
      <c r="Q10" s="211"/>
    </row>
    <row r="11" spans="1:17">
      <c r="A11" s="205" t="s">
        <v>92</v>
      </c>
      <c r="B11" s="208">
        <v>568.33333333333326</v>
      </c>
      <c r="C11" s="208">
        <v>485.58333333333326</v>
      </c>
      <c r="D11" s="208">
        <v>486.20833333333337</v>
      </c>
      <c r="E11" s="208">
        <v>595.75</v>
      </c>
      <c r="F11" s="279">
        <v>436</v>
      </c>
      <c r="G11" s="279">
        <v>444.2</v>
      </c>
      <c r="H11" s="279">
        <v>404.58330000000001</v>
      </c>
      <c r="I11" s="279">
        <v>428.04169999999999</v>
      </c>
      <c r="J11" s="360">
        <v>289.93369999999999</v>
      </c>
      <c r="K11" s="361">
        <v>451.37509999999997</v>
      </c>
      <c r="L11" s="361">
        <v>419.04166666666703</v>
      </c>
      <c r="M11" s="359">
        <f>'System Model '!C7</f>
        <v>450.14722222222201</v>
      </c>
      <c r="N11" s="358">
        <f t="shared" ref="N11:N19" si="7">L11/M11-1</f>
        <v>-6.9100849722003255E-2</v>
      </c>
      <c r="O11" s="359">
        <v>450.14722222222201</v>
      </c>
      <c r="P11" s="209"/>
      <c r="Q11" s="211"/>
    </row>
    <row r="12" spans="1:17">
      <c r="A12" s="205" t="s">
        <v>93</v>
      </c>
      <c r="B12" s="208">
        <v>306.375</v>
      </c>
      <c r="C12" s="208">
        <v>293.58333333333337</v>
      </c>
      <c r="D12" s="208">
        <v>387.70833333333331</v>
      </c>
      <c r="E12" s="208">
        <v>406.20833333333337</v>
      </c>
      <c r="F12" s="279">
        <v>317</v>
      </c>
      <c r="G12" s="279">
        <v>234.9</v>
      </c>
      <c r="H12" s="279">
        <v>213.33349999999996</v>
      </c>
      <c r="I12" s="279">
        <v>213.16689999999997</v>
      </c>
      <c r="J12" s="360">
        <v>188.74990000000003</v>
      </c>
      <c r="K12" s="361">
        <v>257.58359999999999</v>
      </c>
      <c r="L12" s="361">
        <v>172.458333333333</v>
      </c>
      <c r="M12" s="359">
        <f>'System Model '!C8</f>
        <v>296.66111111111098</v>
      </c>
      <c r="N12" s="358">
        <f t="shared" si="7"/>
        <v>-0.41866888893050513</v>
      </c>
      <c r="O12" s="359">
        <v>296.66111111111098</v>
      </c>
      <c r="P12" s="209"/>
      <c r="Q12" s="211"/>
    </row>
    <row r="13" spans="1:17">
      <c r="A13" s="205" t="s">
        <v>94</v>
      </c>
      <c r="B13" s="208">
        <v>251.70833333333334</v>
      </c>
      <c r="C13" s="208">
        <v>94.875</v>
      </c>
      <c r="D13" s="208">
        <v>224.20833333333326</v>
      </c>
      <c r="E13" s="208">
        <v>199.16666666666669</v>
      </c>
      <c r="F13" s="279">
        <v>220</v>
      </c>
      <c r="G13" s="279">
        <v>76.8</v>
      </c>
      <c r="H13" s="279">
        <v>125.83319999999998</v>
      </c>
      <c r="I13" s="279">
        <v>44</v>
      </c>
      <c r="J13" s="360">
        <v>122.95819999999998</v>
      </c>
      <c r="K13" s="361">
        <v>124.58319999999998</v>
      </c>
      <c r="L13" s="361">
        <v>124.833333333333</v>
      </c>
      <c r="M13" s="359">
        <f>'System Model '!C9</f>
        <v>162.50833333333301</v>
      </c>
      <c r="N13" s="358">
        <f t="shared" si="7"/>
        <v>-0.23183426490949233</v>
      </c>
      <c r="O13" s="359">
        <v>162.50833333333301</v>
      </c>
      <c r="P13" s="209"/>
      <c r="Q13" s="211"/>
    </row>
    <row r="14" spans="1:17">
      <c r="A14" s="205" t="s">
        <v>95</v>
      </c>
      <c r="B14" s="208">
        <v>71.458333333333343</v>
      </c>
      <c r="C14" s="208">
        <v>41.25</v>
      </c>
      <c r="D14" s="208">
        <v>113.20833333333331</v>
      </c>
      <c r="E14" s="208">
        <v>79.916666666666686</v>
      </c>
      <c r="F14" s="279">
        <v>68</v>
      </c>
      <c r="G14" s="279">
        <v>22.6</v>
      </c>
      <c r="H14" s="279">
        <v>20.833499999999997</v>
      </c>
      <c r="I14" s="279">
        <v>7.875</v>
      </c>
      <c r="J14" s="360">
        <v>33.625</v>
      </c>
      <c r="K14" s="361">
        <v>18.916799999999999</v>
      </c>
      <c r="L14" s="361">
        <v>16.5833333333333</v>
      </c>
      <c r="M14" s="359">
        <f>'System Model '!C10</f>
        <v>57.0138888888889</v>
      </c>
      <c r="N14" s="358">
        <f t="shared" si="7"/>
        <v>-0.70913520097442206</v>
      </c>
      <c r="O14" s="359">
        <v>57.0138888888889</v>
      </c>
      <c r="Q14" s="211"/>
    </row>
    <row r="15" spans="1:17">
      <c r="A15" s="205" t="s">
        <v>96</v>
      </c>
      <c r="B15" s="208">
        <v>77.25</v>
      </c>
      <c r="C15" s="208">
        <v>58.833333333333329</v>
      </c>
      <c r="D15" s="208">
        <v>95.458333333333371</v>
      </c>
      <c r="E15" s="208">
        <v>43.54166666666665</v>
      </c>
      <c r="F15" s="279">
        <v>31</v>
      </c>
      <c r="G15" s="279">
        <v>7.6</v>
      </c>
      <c r="H15" s="279">
        <v>13.208299999999999</v>
      </c>
      <c r="I15" s="279">
        <v>18.333299999999998</v>
      </c>
      <c r="J15" s="360">
        <v>32.166600000000003</v>
      </c>
      <c r="K15" s="361">
        <v>4.7084000000000001</v>
      </c>
      <c r="L15" s="361">
        <v>25.0833333333333</v>
      </c>
      <c r="M15" s="359">
        <f>'System Model '!C11</f>
        <v>47.509722222222202</v>
      </c>
      <c r="N15" s="358">
        <f t="shared" si="7"/>
        <v>-0.47203788698219706</v>
      </c>
      <c r="O15" s="359">
        <v>47.509722222222202</v>
      </c>
      <c r="Q15" s="211"/>
    </row>
    <row r="16" spans="1:17">
      <c r="A16" s="205" t="s">
        <v>97</v>
      </c>
      <c r="B16" s="208">
        <v>144.20833333333334</v>
      </c>
      <c r="C16" s="208">
        <v>122.375</v>
      </c>
      <c r="D16" s="208">
        <v>155.33333333333331</v>
      </c>
      <c r="E16" s="208">
        <v>95.666666666666657</v>
      </c>
      <c r="F16" s="279">
        <v>110</v>
      </c>
      <c r="G16" s="279">
        <v>113.95833333333337</v>
      </c>
      <c r="H16" s="279">
        <v>63.499800000000008</v>
      </c>
      <c r="I16" s="279">
        <v>164.66670000000002</v>
      </c>
      <c r="J16" s="360">
        <v>137.37489999999997</v>
      </c>
      <c r="K16" s="361">
        <v>102.2084</v>
      </c>
      <c r="L16" s="361">
        <v>116.666666666667</v>
      </c>
      <c r="M16" s="359">
        <f>'System Model '!C12</f>
        <v>136.759722222222</v>
      </c>
      <c r="N16" s="358">
        <f t="shared" si="7"/>
        <v>-0.14692231915260567</v>
      </c>
      <c r="O16" s="359">
        <v>136.759722222222</v>
      </c>
      <c r="Q16" s="211"/>
    </row>
    <row r="17" spans="1:17">
      <c r="A17" s="205" t="s">
        <v>98</v>
      </c>
      <c r="B17" s="208">
        <v>422.1666666666668</v>
      </c>
      <c r="C17" s="208">
        <v>404.08333333333343</v>
      </c>
      <c r="D17" s="208">
        <v>377.16666666666663</v>
      </c>
      <c r="E17" s="279">
        <v>411.83333333333337</v>
      </c>
      <c r="F17" s="279">
        <v>360</v>
      </c>
      <c r="G17" s="279">
        <v>431.99999999999989</v>
      </c>
      <c r="H17" s="279">
        <v>238.79180000000002</v>
      </c>
      <c r="I17" s="279">
        <v>259.66660000000002</v>
      </c>
      <c r="J17" s="360">
        <v>340.29179999999997</v>
      </c>
      <c r="K17" s="361">
        <v>389.20829999999995</v>
      </c>
      <c r="L17" s="361">
        <v>366.375</v>
      </c>
      <c r="M17" s="359">
        <f>'System Model '!C13</f>
        <v>386.027777777778</v>
      </c>
      <c r="N17" s="358">
        <f t="shared" si="7"/>
        <v>-5.0910268403253078E-2</v>
      </c>
      <c r="O17" s="359">
        <v>386.027777777778</v>
      </c>
      <c r="Q17" s="211"/>
    </row>
    <row r="18" spans="1:17">
      <c r="A18" s="205" t="s">
        <v>99</v>
      </c>
      <c r="B18" s="208">
        <v>481.75</v>
      </c>
      <c r="C18" s="208">
        <v>556.375</v>
      </c>
      <c r="D18" s="208">
        <v>652.29166666666674</v>
      </c>
      <c r="E18" s="279">
        <v>659.25</v>
      </c>
      <c r="F18" s="279">
        <v>550</v>
      </c>
      <c r="G18" s="279">
        <v>519.20833333333337</v>
      </c>
      <c r="H18" s="279">
        <v>583.24990000000003</v>
      </c>
      <c r="I18" s="279">
        <v>635.52080000000001</v>
      </c>
      <c r="J18" s="360">
        <v>427.58320000000003</v>
      </c>
      <c r="K18" s="361">
        <v>563.87490000000003</v>
      </c>
      <c r="L18" s="361">
        <v>493.60416666666703</v>
      </c>
      <c r="M18" s="359">
        <f>'System Model '!C14</f>
        <v>583.59097222222204</v>
      </c>
      <c r="N18" s="358">
        <f t="shared" si="7"/>
        <v>-0.15419499244976242</v>
      </c>
      <c r="O18" s="359">
        <v>583.59097222222204</v>
      </c>
      <c r="Q18" s="211"/>
    </row>
    <row r="19" spans="1:17">
      <c r="A19" s="205" t="s">
        <v>100</v>
      </c>
      <c r="B19" s="208">
        <v>865.66666666666663</v>
      </c>
      <c r="C19" s="208">
        <v>840.66666666666663</v>
      </c>
      <c r="D19" s="208">
        <v>682.875</v>
      </c>
      <c r="E19" s="279">
        <v>787.95833333333326</v>
      </c>
      <c r="F19" s="279">
        <v>733</v>
      </c>
      <c r="G19" s="279">
        <v>773.79169999999999</v>
      </c>
      <c r="H19" s="279">
        <v>623.74980000000005</v>
      </c>
      <c r="I19" s="279">
        <v>693.83320000000003</v>
      </c>
      <c r="J19" s="360">
        <v>841.37519999999995</v>
      </c>
      <c r="K19" s="361">
        <v>780.5</v>
      </c>
      <c r="L19" s="361">
        <v>653.20833333333303</v>
      </c>
      <c r="M19" s="359">
        <f>'System Model '!C15</f>
        <v>747.57777777777801</v>
      </c>
      <c r="N19" s="358">
        <f t="shared" si="7"/>
        <v>-0.12623361374513309</v>
      </c>
      <c r="O19" s="359">
        <v>747.57777777777801</v>
      </c>
      <c r="Q19" s="211"/>
    </row>
    <row r="20" spans="1:17" ht="7.5" customHeight="1">
      <c r="A20" s="205"/>
      <c r="B20" s="208"/>
      <c r="C20" s="208"/>
      <c r="D20" s="208"/>
      <c r="E20" s="281"/>
      <c r="F20" s="282"/>
      <c r="G20" s="282"/>
      <c r="H20" s="282"/>
      <c r="I20" s="282"/>
      <c r="J20" s="282"/>
      <c r="K20" s="200"/>
      <c r="L20" s="200"/>
      <c r="M20" s="282"/>
      <c r="N20" s="210"/>
      <c r="O20" s="282"/>
    </row>
    <row r="21" spans="1:17">
      <c r="A21" s="205" t="s">
        <v>21</v>
      </c>
      <c r="B21" s="208">
        <f t="shared" ref="B21:L21" si="8">SUM(B8:B19)</f>
        <v>5331.8750000000009</v>
      </c>
      <c r="C21" s="208">
        <f t="shared" si="8"/>
        <v>5094.8125000000009</v>
      </c>
      <c r="D21" s="208">
        <f t="shared" si="8"/>
        <v>4815.7708333333339</v>
      </c>
      <c r="E21" s="279">
        <f t="shared" si="8"/>
        <v>5345.958333333333</v>
      </c>
      <c r="F21" s="279">
        <f t="shared" si="8"/>
        <v>4916</v>
      </c>
      <c r="G21" s="279">
        <f t="shared" si="8"/>
        <v>4573.2583666666669</v>
      </c>
      <c r="H21" s="279">
        <f t="shared" si="8"/>
        <v>4145.4163000000008</v>
      </c>
      <c r="I21" s="279">
        <f t="shared" si="8"/>
        <v>4007.3980000000001</v>
      </c>
      <c r="J21" s="279">
        <f t="shared" si="8"/>
        <v>4104.5374000000002</v>
      </c>
      <c r="K21" s="279">
        <f t="shared" si="8"/>
        <v>4813.0834999999997</v>
      </c>
      <c r="L21" s="279">
        <f t="shared" si="8"/>
        <v>4278.1666666666661</v>
      </c>
      <c r="M21" s="183">
        <f>SUM(M8:M19)</f>
        <v>4800.1645833333332</v>
      </c>
      <c r="N21" s="210"/>
      <c r="O21" s="183">
        <f>SUM(O8:O19)</f>
        <v>4819.4718749999993</v>
      </c>
    </row>
    <row r="22" spans="1:17" ht="19.5" customHeight="1">
      <c r="A22" s="480" t="s">
        <v>101</v>
      </c>
      <c r="B22" s="208"/>
      <c r="C22" s="208"/>
      <c r="D22" s="208"/>
      <c r="E22" s="208"/>
      <c r="F22" s="183"/>
      <c r="G22" s="183"/>
      <c r="H22" s="183"/>
      <c r="I22" s="183"/>
      <c r="J22" s="183"/>
      <c r="K22" s="200"/>
      <c r="L22" s="200"/>
      <c r="M22" s="213"/>
      <c r="N22" s="214"/>
    </row>
    <row r="23" spans="1:17">
      <c r="A23" s="481"/>
      <c r="B23" s="215">
        <f>B21/$O$21-1</f>
        <v>0.10631935164057826</v>
      </c>
      <c r="C23" s="215">
        <f>C21/$M$21-1</f>
        <v>6.1382877930834967E-2</v>
      </c>
      <c r="D23" s="215">
        <f>D21/$M$21-1</f>
        <v>3.2511906058778628E-3</v>
      </c>
      <c r="E23" s="215">
        <f>E21/$M$21-1</f>
        <v>0.1137031325748814</v>
      </c>
      <c r="F23" s="215">
        <f>F21/$O$21-1</f>
        <v>2.0028776493275169E-2</v>
      </c>
      <c r="G23" s="215">
        <f>G21/$M$21-1</f>
        <v>-4.7270507651864246E-2</v>
      </c>
      <c r="H23" s="215">
        <f>H21/$M$21-1</f>
        <v>-0.1364012154097145</v>
      </c>
      <c r="I23" s="215">
        <f>I21/$M$21-1</f>
        <v>-0.16515404202720474</v>
      </c>
      <c r="J23" s="215">
        <f>J21/$O$21-1</f>
        <v>-0.14834290842292741</v>
      </c>
      <c r="K23" s="215">
        <f>K21/$M$21-1</f>
        <v>2.6913486907349515E-3</v>
      </c>
      <c r="L23" s="215">
        <f>L21/$M$21-1</f>
        <v>-0.10874583727380882</v>
      </c>
      <c r="M23" s="216"/>
      <c r="N23" s="217"/>
    </row>
    <row r="24" spans="1:17" ht="24" customHeight="1">
      <c r="A24" s="293" t="s">
        <v>172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9"/>
      <c r="O24" s="220"/>
    </row>
    <row r="25" spans="1:17">
      <c r="A25" s="294" t="s">
        <v>181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</row>
    <row r="26" spans="1:17">
      <c r="A26" s="219"/>
      <c r="B26" s="221"/>
      <c r="C26" s="221"/>
      <c r="D26" s="221"/>
      <c r="E26" s="221"/>
      <c r="F26" s="221"/>
      <c r="G26" s="221"/>
      <c r="H26" s="184"/>
      <c r="I26" s="184"/>
      <c r="J26" s="184"/>
      <c r="K26" s="184"/>
      <c r="L26" s="184"/>
      <c r="M26" s="200"/>
      <c r="N26" s="200"/>
    </row>
    <row r="30" spans="1:17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11"/>
    </row>
    <row r="31" spans="1:17"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11"/>
    </row>
    <row r="32" spans="1:17"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11"/>
    </row>
    <row r="33" spans="2:13"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11"/>
    </row>
    <row r="34" spans="2:13"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11"/>
    </row>
    <row r="35" spans="2:13"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11"/>
    </row>
    <row r="36" spans="2:13"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11"/>
    </row>
    <row r="37" spans="2:13"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11"/>
    </row>
    <row r="38" spans="2:13"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11"/>
    </row>
    <row r="39" spans="2:13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11"/>
    </row>
    <row r="40" spans="2:13"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11"/>
    </row>
    <row r="41" spans="2:13"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11"/>
    </row>
    <row r="42" spans="2:13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</row>
    <row r="43" spans="2:13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</row>
    <row r="44" spans="2:13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</row>
    <row r="45" spans="2:13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7"/>
  <sheetViews>
    <sheetView workbookViewId="0">
      <selection activeCell="A4" sqref="A4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377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240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373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 ht="15.75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J8" s="463"/>
      <c r="K8" s="463"/>
      <c r="L8" s="463"/>
      <c r="M8" s="463"/>
      <c r="N8" s="463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>'Summary Sheet_ Pre Migration'!V11+'Sch 40 Migration Weather Adj.'!C43</f>
        <v>270133.33044799994</v>
      </c>
      <c r="W11" s="299">
        <f>'Summary Sheet_ Pre Migration'!W11+'Sch 40 Migration Weather Adj.'!D43</f>
        <v>278760.81361695559</v>
      </c>
      <c r="X11" s="299">
        <f>W11-V11</f>
        <v>8627.4831689556595</v>
      </c>
      <c r="Y11" s="299"/>
      <c r="Z11" s="299">
        <f>'Summary Sheet_ Pre Migration'!Z11+'Sch 40 Migration Weather Adj.'!G43</f>
        <v>268814.533635</v>
      </c>
      <c r="AA11" s="299">
        <f>'Summary Sheet_ Pre Migration'!AA11+'Sch 40 Migration Weather Adj.'!H43</f>
        <v>274363.61247964593</v>
      </c>
      <c r="AB11" s="299">
        <f>AA11-Z11</f>
        <v>5549.0788446459337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65">
        <f>C12/1000</f>
        <v>2215266.1669999999</v>
      </c>
      <c r="L12" s="299">
        <f>D12/1000</f>
        <v>2305584.0654216884</v>
      </c>
      <c r="M12" s="299">
        <f>L12-K12</f>
        <v>90317.898421688471</v>
      </c>
      <c r="N12" s="299">
        <f>M12*(1-0.071)</f>
        <v>83905.327633748588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f>'Summary Sheet_ Pre Migration'!V12+'Sch 40 Migration Weather Adj.'!C44</f>
        <v>250689.17238099998</v>
      </c>
      <c r="W12" s="299">
        <f>'Summary Sheet_ Pre Migration'!W12+'Sch 40 Migration Weather Adj.'!D44</f>
        <v>245206.8874060449</v>
      </c>
      <c r="X12" s="299">
        <f t="shared" ref="X12:X22" si="4">W12-V12</f>
        <v>-5482.2849749550805</v>
      </c>
      <c r="Y12" s="299"/>
      <c r="Z12" s="299">
        <f>'Summary Sheet_ Pre Migration'!Z12+'Sch 40 Migration Weather Adj.'!G44</f>
        <v>261333.806633</v>
      </c>
      <c r="AA12" s="299">
        <f>'Summary Sheet_ Pre Migration'!AA12+'Sch 40 Migration Weather Adj.'!H44</f>
        <v>257735.20771711657</v>
      </c>
      <c r="AB12" s="299">
        <f t="shared" ref="AB12:AB22" si="5">AA12-Z12</f>
        <v>-3598.5989158834273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L13-K13</f>
        <v>-56906.76936979685</v>
      </c>
      <c r="N13" s="299">
        <f t="shared" ref="N13:N23" si="11">M13*(1-0.071)</f>
        <v>-52866.388744541277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f>'Summary Sheet_ Pre Migration'!V13+'Sch 40 Migration Weather Adj.'!C45</f>
        <v>249868.97207899997</v>
      </c>
      <c r="W13" s="299">
        <f>'Summary Sheet_ Pre Migration'!W13+'Sch 40 Migration Weather Adj.'!D45</f>
        <v>250614.45251190395</v>
      </c>
      <c r="X13" s="299">
        <f t="shared" si="4"/>
        <v>745.48043290397618</v>
      </c>
      <c r="Y13" s="299"/>
      <c r="Z13" s="299">
        <f>'Summary Sheet_ Pre Migration'!Z13+'Sch 40 Migration Weather Adj.'!G45</f>
        <v>262628.04123100004</v>
      </c>
      <c r="AA13" s="299">
        <f>'Summary Sheet_ Pre Migration'!AA13+'Sch 40 Migration Weather Adj.'!H45</f>
        <v>263224.01690984337</v>
      </c>
      <c r="AB13" s="299">
        <f t="shared" si="5"/>
        <v>595.97567884332966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6119.2560722306371</v>
      </c>
      <c r="N14" s="299">
        <f t="shared" si="11"/>
        <v>5684.7888911022619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f>'Summary Sheet_ Pre Migration'!V14+'Sch 40 Migration Weather Adj.'!C46</f>
        <v>222462.811071</v>
      </c>
      <c r="W14" s="299">
        <f>'Summary Sheet_ Pre Migration'!W14+'Sch 40 Migration Weather Adj.'!D46</f>
        <v>223275.87312084823</v>
      </c>
      <c r="X14" s="299">
        <f t="shared" si="4"/>
        <v>813.06204984823125</v>
      </c>
      <c r="Y14" s="299"/>
      <c r="Z14" s="299">
        <f>'Summary Sheet_ Pre Migration'!Z14+'Sch 40 Migration Weather Adj.'!G46</f>
        <v>243873.52108700003</v>
      </c>
      <c r="AA14" s="299">
        <f>'Summary Sheet_ Pre Migration'!AA14+'Sch 40 Migration Weather Adj.'!H46</f>
        <v>244219.8804911864</v>
      </c>
      <c r="AB14" s="299">
        <f t="shared" si="5"/>
        <v>346.35940418636892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11326.586600157199</v>
      </c>
      <c r="N15" s="299">
        <f t="shared" si="11"/>
        <v>10522.398951546038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f>'Summary Sheet_ Pre Migration'!V15+'Sch 40 Migration Weather Adj.'!C47</f>
        <v>203775.022662</v>
      </c>
      <c r="W15" s="299">
        <f>'Summary Sheet_ Pre Migration'!W15+'Sch 40 Migration Weather Adj.'!D47</f>
        <v>204637.92442004534</v>
      </c>
      <c r="X15" s="299">
        <f t="shared" si="4"/>
        <v>862.90175804533646</v>
      </c>
      <c r="Y15" s="299"/>
      <c r="Z15" s="299">
        <f>'Summary Sheet_ Pre Migration'!Z15+'Sch 40 Migration Weather Adj.'!G47</f>
        <v>238525.41172299997</v>
      </c>
      <c r="AA15" s="299">
        <f>'Summary Sheet_ Pre Migration'!AA15+'Sch 40 Migration Weather Adj.'!H47</f>
        <v>238373.25027089298</v>
      </c>
      <c r="AB15" s="299">
        <f t="shared" si="5"/>
        <v>-152.16145210698596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18458.568801974412</v>
      </c>
      <c r="N16" s="299">
        <f t="shared" si="11"/>
        <v>17148.010417034231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f>'Summary Sheet_ Pre Migration'!V16+'Sch 40 Migration Weather Adj.'!C48</f>
        <v>201892.25566099994</v>
      </c>
      <c r="W16" s="299">
        <f>'Summary Sheet_ Pre Migration'!W16+'Sch 40 Migration Weather Adj.'!D48</f>
        <v>201195.96191347748</v>
      </c>
      <c r="X16" s="299">
        <f t="shared" si="4"/>
        <v>-696.29374752246076</v>
      </c>
      <c r="Y16" s="299"/>
      <c r="Z16" s="299">
        <f>'Summary Sheet_ Pre Migration'!Z16+'Sch 40 Migration Weather Adj.'!G48</f>
        <v>233343.840501</v>
      </c>
      <c r="AA16" s="299">
        <f>'Summary Sheet_ Pre Migration'!AA16+'Sch 40 Migration Weather Adj.'!H48</f>
        <v>232697.92375349981</v>
      </c>
      <c r="AB16" s="299">
        <f t="shared" si="5"/>
        <v>-645.91674750018865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-5998.6602284156252</v>
      </c>
      <c r="N17" s="299">
        <f t="shared" si="11"/>
        <v>-5572.7553521981163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f>'Summary Sheet_ Pre Migration'!V17+'Sch 40 Migration Weather Adj.'!C49</f>
        <v>209797.70127400002</v>
      </c>
      <c r="W17" s="299">
        <f>'Summary Sheet_ Pre Migration'!W17+'Sch 40 Migration Weather Adj.'!D49</f>
        <v>202216.13631191241</v>
      </c>
      <c r="X17" s="299">
        <f t="shared" si="4"/>
        <v>-7581.5649620876065</v>
      </c>
      <c r="Y17" s="299"/>
      <c r="Z17" s="299">
        <f>'Summary Sheet_ Pre Migration'!Z17+'Sch 40 Migration Weather Adj.'!G49</f>
        <v>237185.04438699997</v>
      </c>
      <c r="AA17" s="299">
        <f>'Summary Sheet_ Pre Migration'!AA17+'Sch 40 Migration Weather Adj.'!H49</f>
        <v>230188.91200814134</v>
      </c>
      <c r="AB17" s="299">
        <f t="shared" si="5"/>
        <v>-6996.1323788586305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-65266.639569284627</v>
      </c>
      <c r="N18" s="299">
        <f t="shared" si="11"/>
        <v>-60632.708159865419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f>'Summary Sheet_ Pre Migration'!V18+'Sch 40 Migration Weather Adj.'!C50</f>
        <v>226735.50328899999</v>
      </c>
      <c r="W18" s="299">
        <f>'Summary Sheet_ Pre Migration'!W18+'Sch 40 Migration Weather Adj.'!D50</f>
        <v>222762.19023543739</v>
      </c>
      <c r="X18" s="299">
        <f t="shared" si="4"/>
        <v>-3973.3130535625969</v>
      </c>
      <c r="Y18" s="299"/>
      <c r="Z18" s="299">
        <f>'Summary Sheet_ Pre Migration'!Z18+'Sch 40 Migration Weather Adj.'!G50</f>
        <v>268208.49714699999</v>
      </c>
      <c r="AA18" s="299">
        <f>'Summary Sheet_ Pre Migration'!AA18+'Sch 40 Migration Weather Adj.'!H50</f>
        <v>264545.05726765341</v>
      </c>
      <c r="AB18" s="299">
        <f t="shared" si="5"/>
        <v>-3663.4398793465807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-34200.454251272371</v>
      </c>
      <c r="N19" s="299">
        <f t="shared" si="11"/>
        <v>-31772.221999432033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f>'Summary Sheet_ Pre Migration'!V19+'Sch 40 Migration Weather Adj.'!C51</f>
        <v>214191.13250400001</v>
      </c>
      <c r="W19" s="299">
        <f>'Summary Sheet_ Pre Migration'!W19+'Sch 40 Migration Weather Adj.'!D51</f>
        <v>214448.68692529629</v>
      </c>
      <c r="X19" s="299">
        <f t="shared" si="4"/>
        <v>257.554421296285</v>
      </c>
      <c r="Y19" s="299"/>
      <c r="Z19" s="299">
        <f>'Summary Sheet_ Pre Migration'!Z19+'Sch 40 Migration Weather Adj.'!G51</f>
        <v>242319.38924600004</v>
      </c>
      <c r="AA19" s="299">
        <f>'Summary Sheet_ Pre Migration'!AA19+'Sch 40 Migration Weather Adj.'!H51</f>
        <v>242556.61876426084</v>
      </c>
      <c r="AB19" s="299">
        <f t="shared" si="5"/>
        <v>237.2295182608068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2216.4863269168418</v>
      </c>
      <c r="N20" s="299">
        <f t="shared" si="11"/>
        <v>2059.115797705746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f>'Summary Sheet_ Pre Migration'!V20+'Sch 40 Migration Weather Adj.'!C52</f>
        <v>199477.82797099999</v>
      </c>
      <c r="W20" s="299">
        <f>'Summary Sheet_ Pre Migration'!W20+'Sch 40 Migration Weather Adj.'!D52</f>
        <v>199993.96325129722</v>
      </c>
      <c r="X20" s="299">
        <f t="shared" si="4"/>
        <v>516.13528029722511</v>
      </c>
      <c r="Y20" s="299"/>
      <c r="Z20" s="299">
        <f>'Summary Sheet_ Pre Migration'!Z20+'Sch 40 Migration Weather Adj.'!G52</f>
        <v>230321.88103300001</v>
      </c>
      <c r="AA20" s="299">
        <f>'Summary Sheet_ Pre Migration'!AA20+'Sch 40 Migration Weather Adj.'!H52</f>
        <v>230523.03005186107</v>
      </c>
      <c r="AB20" s="299">
        <f t="shared" si="5"/>
        <v>201.14901886106236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7635.6233702581376</v>
      </c>
      <c r="N21" s="299">
        <f t="shared" si="11"/>
        <v>7093.4941109698102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f>'Summary Sheet_ Pre Migration'!V21+'Sch 40 Migration Weather Adj.'!C53</f>
        <v>210676.67024499999</v>
      </c>
      <c r="W21" s="299">
        <f>'Summary Sheet_ Pre Migration'!W21+'Sch 40 Migration Weather Adj.'!D53</f>
        <v>217580.14998180978</v>
      </c>
      <c r="X21" s="299">
        <f t="shared" si="4"/>
        <v>6903.4797368097934</v>
      </c>
      <c r="Y21" s="299"/>
      <c r="Z21" s="299">
        <f>'Summary Sheet_ Pre Migration'!Z21+'Sch 40 Migration Weather Adj.'!G53</f>
        <v>236703.8505</v>
      </c>
      <c r="AA21" s="299">
        <f>'Summary Sheet_ Pre Migration'!AA21+'Sch 40 Migration Weather Adj.'!H53</f>
        <v>240606.93513278686</v>
      </c>
      <c r="AB21" s="299">
        <f t="shared" si="5"/>
        <v>3903.0846327868639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82891.190865693381</v>
      </c>
      <c r="N22" s="300">
        <f t="shared" si="11"/>
        <v>77005.916314229151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299">
        <f>'Summary Sheet_ Pre Migration'!V22+'Sch 40 Migration Weather Adj.'!C54</f>
        <v>239354.61277900002</v>
      </c>
      <c r="W22" s="299">
        <f>'Summary Sheet_ Pre Migration'!W22+'Sch 40 Migration Weather Adj.'!D54</f>
        <v>247769.340841264</v>
      </c>
      <c r="X22" s="301">
        <f t="shared" si="4"/>
        <v>8414.728062263981</v>
      </c>
      <c r="Y22" s="299"/>
      <c r="Z22" s="301">
        <f>'Summary Sheet_ Pre Migration'!Z22+'Sch 40 Migration Weather Adj.'!G54</f>
        <v>261157.84510500001</v>
      </c>
      <c r="AA22" s="301">
        <f>'Summary Sheet_ Pre Migration'!AA22+'Sch 40 Migration Weather Adj.'!H54</f>
        <v>266746.50859479344</v>
      </c>
      <c r="AB22" s="301">
        <f t="shared" si="5"/>
        <v>5588.6634897934273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88991.087316457182</v>
      </c>
      <c r="N23" s="301">
        <f t="shared" si="11"/>
        <v>82672.720116988727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407">
        <f>SUM(V11:V22)</f>
        <v>2699055.0123640001</v>
      </c>
      <c r="W23" s="407">
        <f t="shared" ref="W23:X23" si="13">SUM(W11:W22)</f>
        <v>2708462.3805362922</v>
      </c>
      <c r="X23" s="83">
        <f t="shared" si="13"/>
        <v>9407.3681722927431</v>
      </c>
      <c r="Y23" s="83"/>
      <c r="Z23" s="83">
        <f>SUM(Z11:Z22)</f>
        <v>2984415.6622279999</v>
      </c>
      <c r="AA23" s="83">
        <f t="shared" ref="AA23:AB23" si="14">SUM(AA11:AA22)</f>
        <v>2985780.9534416813</v>
      </c>
      <c r="AB23" s="83">
        <f t="shared" si="14"/>
        <v>1365.2912136819796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5">SUM(L12:L23)</f>
        <v>22379255.966356605</v>
      </c>
      <c r="M24" s="240">
        <f t="shared" si="15"/>
        <v>145584.17435660679</v>
      </c>
      <c r="N24" s="240">
        <f t="shared" si="15"/>
        <v>135247.69797728769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Adj._SCMigrated'!B9</f>
        <v>128083498.13659537</v>
      </c>
      <c r="F26" s="56"/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Adj._SCMigrated'!B10</f>
        <v>9407368.1722926833</v>
      </c>
      <c r="F27" s="56"/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Adj._SCMigrated'!B11</f>
        <v>1365291.2136820126</v>
      </c>
      <c r="F28" s="56"/>
      <c r="G28" s="56"/>
      <c r="H28" s="70"/>
      <c r="I28" s="84"/>
      <c r="J28" s="61"/>
      <c r="K28" s="299"/>
      <c r="L28" s="299"/>
      <c r="M28" s="299"/>
      <c r="N28" s="299"/>
      <c r="P28" s="236">
        <f t="shared" ref="P28:P39" si="16">P11</f>
        <v>43101</v>
      </c>
      <c r="Q28" s="64"/>
      <c r="R28" s="299">
        <f>'Summary Sheet_ Pre Migration'!R28+'Sch 40 Migration Weather Adj.'!K43</f>
        <v>161945.518912</v>
      </c>
      <c r="S28" s="299">
        <f>'Summary Sheet_ Pre Migration'!S28+'Sch 40 Migration Weather Adj.'!L43</f>
        <v>162579.86511076402</v>
      </c>
      <c r="T28" s="299">
        <f>S28-R28</f>
        <v>634.34619876401848</v>
      </c>
      <c r="U28" s="299"/>
      <c r="V28" s="299">
        <f>'Summary Sheet_ Pre Migration'!V28+'Sch 40 Migration Weather Adj.'!O43</f>
        <v>123559.46893399999</v>
      </c>
      <c r="W28" s="299">
        <f>'Summary Sheet_ Pre Migration'!W28+'Sch 40 Migration Weather Adj.'!P43</f>
        <v>124239.17100123415</v>
      </c>
      <c r="X28" s="299">
        <f>W28-V28</f>
        <v>679.70206723416049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Adj._SCMigrated'!B12</f>
        <v>-4873113.2421339061</v>
      </c>
      <c r="F29" s="56"/>
      <c r="G29" s="56"/>
      <c r="H29" s="70"/>
      <c r="I29" s="84"/>
      <c r="J29" s="61"/>
      <c r="K29" s="299"/>
      <c r="L29" s="299"/>
      <c r="M29" s="299"/>
      <c r="N29" s="299"/>
      <c r="P29" s="236">
        <f t="shared" si="16"/>
        <v>43132</v>
      </c>
      <c r="Q29" s="64"/>
      <c r="R29" s="299">
        <f>'Summary Sheet_ Pre Migration'!R29+'Sch 40 Migration Weather Adj.'!K44</f>
        <v>162491.21689099999</v>
      </c>
      <c r="S29" s="299">
        <f>'Summary Sheet_ Pre Migration'!S29+'Sch 40 Migration Weather Adj.'!L44</f>
        <v>162102.5861497841</v>
      </c>
      <c r="T29" s="299">
        <f t="shared" ref="T29:T39" si="17">S29-R29</f>
        <v>-388.63074121589307</v>
      </c>
      <c r="U29" s="299"/>
      <c r="V29" s="299">
        <f>'Summary Sheet_ Pre Migration'!V29+'Sch 40 Migration Weather Adj.'!O44</f>
        <v>126618.34970199999</v>
      </c>
      <c r="W29" s="299">
        <f>'Summary Sheet_ Pre Migration'!W29+'Sch 40 Migration Weather Adj.'!P44</f>
        <v>126187.68013654175</v>
      </c>
      <c r="X29" s="299">
        <f t="shared" ref="X29:X39" si="18">W29-V29</f>
        <v>-430.6695654582436</v>
      </c>
      <c r="Y29" s="299"/>
      <c r="Z29" s="299">
        <v>276.13670000000002</v>
      </c>
      <c r="AA29" s="299">
        <v>276.13670000000002</v>
      </c>
      <c r="AB29" s="299">
        <f t="shared" ref="AB29:AB39" si="19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Adj._SCMigrated'!B13</f>
        <v>-466216.36134378111</v>
      </c>
      <c r="F30" s="56"/>
      <c r="G30" s="56"/>
      <c r="H30" s="70"/>
      <c r="I30" s="84"/>
      <c r="J30" s="61"/>
      <c r="K30" s="299"/>
      <c r="L30" s="299"/>
      <c r="M30" s="299"/>
      <c r="N30" s="299"/>
      <c r="P30" s="236">
        <f t="shared" si="16"/>
        <v>43160</v>
      </c>
      <c r="Q30" s="64"/>
      <c r="R30" s="299">
        <f>'Summary Sheet_ Pre Migration'!R30+'Sch 40 Migration Weather Adj.'!K45</f>
        <v>151988.86018899997</v>
      </c>
      <c r="S30" s="299">
        <f>'Summary Sheet_ Pre Migration'!S30+'Sch 40 Migration Weather Adj.'!L45</f>
        <v>151967.29301718075</v>
      </c>
      <c r="T30" s="299">
        <f t="shared" si="17"/>
        <v>-21.567171819217037</v>
      </c>
      <c r="U30" s="299"/>
      <c r="V30" s="299">
        <f>'Summary Sheet_ Pre Migration'!V30+'Sch 40 Migration Weather Adj.'!O45</f>
        <v>110877.300106</v>
      </c>
      <c r="W30" s="299">
        <f>'Summary Sheet_ Pre Migration'!W30+'Sch 40 Migration Weather Adj.'!P45</f>
        <v>110858.05700292114</v>
      </c>
      <c r="X30" s="299">
        <f t="shared" si="18"/>
        <v>-19.24310307885753</v>
      </c>
      <c r="Y30" s="299"/>
      <c r="Z30" s="299">
        <v>280.80811599999998</v>
      </c>
      <c r="AA30" s="299">
        <v>280.80811599999998</v>
      </c>
      <c r="AB30" s="299">
        <f t="shared" si="19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Adj._SCMigrated'!B14</f>
        <v>-705733.32084221148</v>
      </c>
      <c r="F31" s="56"/>
      <c r="G31" s="56"/>
      <c r="H31" s="70"/>
      <c r="I31" s="84"/>
      <c r="J31" s="61"/>
      <c r="K31" s="299"/>
      <c r="L31" s="299"/>
      <c r="M31" s="299"/>
      <c r="N31" s="299"/>
      <c r="P31" s="236">
        <f t="shared" si="16"/>
        <v>43191</v>
      </c>
      <c r="Q31" s="64"/>
      <c r="R31" s="299">
        <f>'Summary Sheet_ Pre Migration'!R31+'Sch 40 Migration Weather Adj.'!K46</f>
        <v>148167.97019699999</v>
      </c>
      <c r="S31" s="299">
        <f>'Summary Sheet_ Pre Migration'!S31+'Sch 40 Migration Weather Adj.'!L46</f>
        <v>148237.74637428994</v>
      </c>
      <c r="T31" s="299">
        <f t="shared" si="17"/>
        <v>69.776177289953921</v>
      </c>
      <c r="U31" s="299"/>
      <c r="V31" s="299">
        <f>'Summary Sheet_ Pre Migration'!V31+'Sch 40 Migration Weather Adj.'!O46</f>
        <v>117463.880595</v>
      </c>
      <c r="W31" s="299">
        <f>'Summary Sheet_ Pre Migration'!W31+'Sch 40 Migration Weather Adj.'!P46</f>
        <v>117539.35717728954</v>
      </c>
      <c r="X31" s="299">
        <f t="shared" si="18"/>
        <v>75.476582289542421</v>
      </c>
      <c r="Y31" s="299"/>
      <c r="Z31" s="299">
        <v>266.694748</v>
      </c>
      <c r="AA31" s="299">
        <v>266.694748</v>
      </c>
      <c r="AB31" s="299">
        <f t="shared" si="19"/>
        <v>0</v>
      </c>
    </row>
    <row r="32" spans="1:28">
      <c r="A32" s="43">
        <f t="shared" si="0"/>
        <v>23</v>
      </c>
      <c r="B32" s="54"/>
      <c r="C32" s="54" t="s">
        <v>222</v>
      </c>
      <c r="D32" s="54"/>
      <c r="E32" s="298">
        <f>'Sales &amp; Revenue Adj._SCMigrated'!B15</f>
        <v>-452615.80018200766</v>
      </c>
      <c r="F32" s="56"/>
      <c r="G32" s="56"/>
      <c r="H32" s="70"/>
      <c r="I32" s="84"/>
      <c r="J32" s="61"/>
      <c r="K32" s="299"/>
      <c r="L32" s="299"/>
      <c r="M32" s="299"/>
      <c r="N32" s="299"/>
      <c r="P32" s="236">
        <f t="shared" si="16"/>
        <v>43221</v>
      </c>
      <c r="Q32" s="64"/>
      <c r="R32" s="299">
        <f>'Summary Sheet_ Pre Migration'!R32+'Sch 40 Migration Weather Adj.'!K47</f>
        <v>153898.36760900001</v>
      </c>
      <c r="S32" s="299">
        <f>'Summary Sheet_ Pre Migration'!S32+'Sch 40 Migration Weather Adj.'!L47</f>
        <v>153786.23044590678</v>
      </c>
      <c r="T32" s="299">
        <f t="shared" si="17"/>
        <v>-112.13716309322626</v>
      </c>
      <c r="U32" s="299"/>
      <c r="V32" s="299">
        <f>'Summary Sheet_ Pre Migration'!V32+'Sch 40 Migration Weather Adj.'!O47</f>
        <v>114577.56447499999</v>
      </c>
      <c r="W32" s="299">
        <f>'Summary Sheet_ Pre Migration'!W32+'Sch 40 Migration Weather Adj.'!P47</f>
        <v>114625.66592232743</v>
      </c>
      <c r="X32" s="299">
        <f t="shared" si="18"/>
        <v>48.101447327440837</v>
      </c>
      <c r="Y32" s="299"/>
      <c r="Z32" s="299">
        <v>708.71026399999994</v>
      </c>
      <c r="AA32" s="299">
        <v>692.132653853904</v>
      </c>
      <c r="AB32" s="299">
        <f t="shared" si="19"/>
        <v>-16.577610146095935</v>
      </c>
    </row>
    <row r="33" spans="1:29">
      <c r="A33" s="43">
        <f t="shared" si="0"/>
        <v>24</v>
      </c>
      <c r="B33" s="54"/>
      <c r="C33" s="82" t="s">
        <v>8</v>
      </c>
      <c r="D33" s="54"/>
      <c r="E33" s="298">
        <f>SUM('Sales &amp; Revenue Adj._SCMigrated'!B16:B16)</f>
        <v>2803305.1896940321</v>
      </c>
      <c r="F33" s="56"/>
      <c r="G33" s="56"/>
      <c r="H33" s="70"/>
      <c r="I33" s="84"/>
      <c r="J33" s="61"/>
      <c r="K33" s="299"/>
      <c r="L33" s="299"/>
      <c r="M33" s="299"/>
      <c r="N33" s="299"/>
      <c r="P33" s="236">
        <f t="shared" si="16"/>
        <v>43252</v>
      </c>
      <c r="Q33" s="64"/>
      <c r="R33" s="299">
        <f>'Summary Sheet_ Pre Migration'!R33+'Sch 40 Migration Weather Adj.'!K48</f>
        <v>158918.754403</v>
      </c>
      <c r="S33" s="299">
        <f>'Summary Sheet_ Pre Migration'!S33+'Sch 40 Migration Weather Adj.'!L48</f>
        <v>158542.03109125971</v>
      </c>
      <c r="T33" s="299">
        <f t="shared" si="17"/>
        <v>-376.72331174029387</v>
      </c>
      <c r="U33" s="299"/>
      <c r="V33" s="299">
        <f>'Summary Sheet_ Pre Migration'!V33+'Sch 40 Migration Weather Adj.'!O48</f>
        <v>109383.43788</v>
      </c>
      <c r="W33" s="299">
        <f>'Summary Sheet_ Pre Migration'!W33+'Sch 40 Migration Weather Adj.'!P48</f>
        <v>109242.57361405484</v>
      </c>
      <c r="X33" s="299">
        <f t="shared" si="18"/>
        <v>-140.86426594515797</v>
      </c>
      <c r="Y33" s="299"/>
      <c r="Z33" s="299">
        <v>1878.608117</v>
      </c>
      <c r="AA33" s="299">
        <v>1853.3650875184496</v>
      </c>
      <c r="AB33" s="299">
        <f t="shared" si="19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Adj._SCMigrated'!B17</f>
        <v>85916.234525271488</v>
      </c>
      <c r="F34" s="348"/>
      <c r="G34" s="366"/>
      <c r="H34" s="70"/>
      <c r="I34" s="84"/>
      <c r="J34" s="61"/>
      <c r="K34" s="299"/>
      <c r="L34" s="299"/>
      <c r="M34" s="299"/>
      <c r="N34" s="299"/>
      <c r="P34" s="236">
        <f t="shared" si="16"/>
        <v>43282</v>
      </c>
      <c r="Q34" s="64"/>
      <c r="R34" s="299">
        <f>'Summary Sheet_ Pre Migration'!R34+'Sch 40 Migration Weather Adj.'!K49</f>
        <v>167929.15865</v>
      </c>
      <c r="S34" s="299">
        <f>'Summary Sheet_ Pre Migration'!S34+'Sch 40 Migration Weather Adj.'!L49</f>
        <v>163802.83872263998</v>
      </c>
      <c r="T34" s="299">
        <f t="shared" si="17"/>
        <v>-4126.3199273600185</v>
      </c>
      <c r="U34" s="299"/>
      <c r="V34" s="299">
        <f>'Summary Sheet_ Pre Migration'!V34+'Sch 40 Migration Weather Adj.'!O49</f>
        <v>123016.44895800001</v>
      </c>
      <c r="W34" s="299">
        <f>'Summary Sheet_ Pre Migration'!W34+'Sch 40 Migration Weather Adj.'!P49</f>
        <v>121357.4274842633</v>
      </c>
      <c r="X34" s="299">
        <f t="shared" si="18"/>
        <v>-1659.021473736706</v>
      </c>
      <c r="Y34" s="299"/>
      <c r="Z34" s="299">
        <v>3447.3845299999998</v>
      </c>
      <c r="AA34" s="299">
        <v>3163.6658384305756</v>
      </c>
      <c r="AB34" s="299">
        <f t="shared" si="19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135247700.22228748</v>
      </c>
      <c r="F35" s="60"/>
      <c r="G35" s="60"/>
      <c r="H35" s="70"/>
      <c r="I35" s="83"/>
      <c r="J35" s="61"/>
      <c r="K35" s="299"/>
      <c r="L35" s="299"/>
      <c r="M35" s="299"/>
      <c r="N35" s="299"/>
      <c r="P35" s="236">
        <f t="shared" si="16"/>
        <v>43313</v>
      </c>
      <c r="Q35" s="64"/>
      <c r="R35" s="299">
        <f>'Summary Sheet_ Pre Migration'!R35+'Sch 40 Migration Weather Adj.'!K50</f>
        <v>190164.84236800001</v>
      </c>
      <c r="S35" s="299">
        <f>'Summary Sheet_ Pre Migration'!S35+'Sch 40 Migration Weather Adj.'!L50</f>
        <v>188001.51260173108</v>
      </c>
      <c r="T35" s="299">
        <f t="shared" si="17"/>
        <v>-2163.3297662689292</v>
      </c>
      <c r="U35" s="299"/>
      <c r="V35" s="299">
        <f>'Summary Sheet_ Pre Migration'!V35+'Sch 40 Migration Weather Adj.'!O50</f>
        <v>124369.881037</v>
      </c>
      <c r="W35" s="299">
        <f>'Summary Sheet_ Pre Migration'!W35+'Sch 40 Migration Weather Adj.'!P50</f>
        <v>123539.05489997356</v>
      </c>
      <c r="X35" s="299">
        <f t="shared" si="18"/>
        <v>-830.82613702643721</v>
      </c>
      <c r="Y35" s="299"/>
      <c r="Z35" s="299">
        <v>4528.3572279999998</v>
      </c>
      <c r="AA35" s="299">
        <v>4378.1233659731715</v>
      </c>
      <c r="AB35" s="299">
        <f t="shared" si="19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K36" s="299"/>
      <c r="L36" s="299"/>
      <c r="M36" s="299"/>
      <c r="N36" s="299"/>
      <c r="P36" s="236">
        <f t="shared" si="16"/>
        <v>43344</v>
      </c>
      <c r="Q36" s="64"/>
      <c r="R36" s="299">
        <f>'Summary Sheet_ Pre Migration'!R36+'Sch 40 Migration Weather Adj.'!K51</f>
        <v>171078.55904699999</v>
      </c>
      <c r="S36" s="299">
        <f>'Summary Sheet_ Pre Migration'!S36+'Sch 40 Migration Weather Adj.'!L51</f>
        <v>171218.65942211155</v>
      </c>
      <c r="T36" s="299">
        <f t="shared" si="17"/>
        <v>140.10037511156406</v>
      </c>
      <c r="U36" s="299"/>
      <c r="V36" s="299">
        <f>'Summary Sheet_ Pre Migration'!V36+'Sch 40 Migration Weather Adj.'!O51</f>
        <v>119715.634309</v>
      </c>
      <c r="W36" s="299">
        <f>'Summary Sheet_ Pre Migration'!W36+'Sch 40 Migration Weather Adj.'!P51</f>
        <v>119768.66739491987</v>
      </c>
      <c r="X36" s="299">
        <f t="shared" si="18"/>
        <v>53.033085919872974</v>
      </c>
      <c r="Y36" s="299"/>
      <c r="Z36" s="299">
        <v>3435.8691839999997</v>
      </c>
      <c r="AA36" s="299">
        <v>3445.4260158801176</v>
      </c>
      <c r="AB36" s="299">
        <f t="shared" si="19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K37" s="299"/>
      <c r="L37" s="299"/>
      <c r="M37" s="299"/>
      <c r="N37" s="299"/>
      <c r="P37" s="236">
        <f t="shared" si="16"/>
        <v>43374</v>
      </c>
      <c r="Q37" s="64"/>
      <c r="R37" s="299">
        <f>'Summary Sheet_ Pre Migration'!R37+'Sch 40 Migration Weather Adj.'!K52</f>
        <v>159565.63705199998</v>
      </c>
      <c r="S37" s="299">
        <f>'Summary Sheet_ Pre Migration'!S37+'Sch 40 Migration Weather Adj.'!L52</f>
        <v>159693.53866771597</v>
      </c>
      <c r="T37" s="299">
        <f t="shared" si="17"/>
        <v>127.9016157159931</v>
      </c>
      <c r="U37" s="299"/>
      <c r="V37" s="299">
        <f>'Summary Sheet_ Pre Migration'!V37+'Sch 40 Migration Weather Adj.'!O52</f>
        <v>116170.97304099999</v>
      </c>
      <c r="W37" s="299">
        <f>'Summary Sheet_ Pre Migration'!W37+'Sch 40 Migration Weather Adj.'!P52</f>
        <v>116307.84485667004</v>
      </c>
      <c r="X37" s="299">
        <f t="shared" si="18"/>
        <v>136.87181567004882</v>
      </c>
      <c r="Y37" s="299"/>
      <c r="Z37" s="299">
        <v>1100.2293710000001</v>
      </c>
      <c r="AA37" s="299">
        <v>1100.2293710000001</v>
      </c>
      <c r="AB37" s="299">
        <f t="shared" si="19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K38" s="299"/>
      <c r="L38" s="299"/>
      <c r="M38" s="299"/>
      <c r="N38" s="299"/>
      <c r="P38" s="236">
        <f t="shared" si="16"/>
        <v>43405</v>
      </c>
      <c r="Q38" s="64"/>
      <c r="R38" s="299">
        <f>'Summary Sheet_ Pre Migration'!R38+'Sch 40 Migration Weather Adj.'!K53</f>
        <v>149973.65151900001</v>
      </c>
      <c r="S38" s="299">
        <f>'Summary Sheet_ Pre Migration'!S38+'Sch 40 Migration Weather Adj.'!L53</f>
        <v>150672.05656439194</v>
      </c>
      <c r="T38" s="299">
        <f t="shared" si="17"/>
        <v>698.40504539193353</v>
      </c>
      <c r="U38" s="299"/>
      <c r="V38" s="299">
        <f>'Summary Sheet_ Pre Migration'!V38+'Sch 40 Migration Weather Adj.'!O53</f>
        <v>105107.27142</v>
      </c>
      <c r="W38" s="299">
        <f>'Summary Sheet_ Pre Migration'!W38+'Sch 40 Migration Weather Adj.'!P53</f>
        <v>105818.5817782451</v>
      </c>
      <c r="X38" s="299">
        <f t="shared" si="18"/>
        <v>711.31035824510036</v>
      </c>
      <c r="Y38" s="299"/>
      <c r="Z38" s="299">
        <v>309.864799</v>
      </c>
      <c r="AA38" s="299">
        <v>309.864799</v>
      </c>
      <c r="AB38" s="299">
        <f t="shared" si="19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K39" s="299"/>
      <c r="L39" s="299"/>
      <c r="M39" s="299"/>
      <c r="N39" s="299"/>
      <c r="P39" s="239">
        <f t="shared" si="16"/>
        <v>43435</v>
      </c>
      <c r="Q39" s="175"/>
      <c r="R39" s="301">
        <f>'Summary Sheet_ Pre Migration'!R39+'Sch 40 Migration Weather Adj.'!K54</f>
        <v>164290.905692</v>
      </c>
      <c r="S39" s="301">
        <f>'Summary Sheet_ Pre Migration'!S39+'Sch 40 Migration Weather Adj.'!L54</f>
        <v>164935.97111909025</v>
      </c>
      <c r="T39" s="301">
        <f t="shared" si="17"/>
        <v>645.06542709024507</v>
      </c>
      <c r="U39" s="299"/>
      <c r="V39" s="301">
        <f>'Summary Sheet_ Pre Migration'!V39+'Sch 40 Migration Weather Adj.'!O54</f>
        <v>120611.35738</v>
      </c>
      <c r="W39" s="301">
        <f>'Summary Sheet_ Pre Migration'!W39+'Sch 40 Migration Weather Adj.'!P54</f>
        <v>121281.75324771709</v>
      </c>
      <c r="X39" s="301">
        <f t="shared" si="18"/>
        <v>670.39586771708855</v>
      </c>
      <c r="Y39" s="299"/>
      <c r="Z39" s="301">
        <v>224.08819800000001</v>
      </c>
      <c r="AA39" s="301">
        <v>224.08819800000001</v>
      </c>
      <c r="AB39" s="301">
        <f t="shared" si="19"/>
        <v>0</v>
      </c>
    </row>
    <row r="40" spans="1:29">
      <c r="A40" s="73"/>
      <c r="B40" s="74"/>
      <c r="C40" s="74"/>
      <c r="D40" s="74"/>
      <c r="E40" s="75"/>
      <c r="F40" s="71"/>
      <c r="G40" s="71"/>
      <c r="K40" s="299"/>
      <c r="L40" s="299"/>
      <c r="M40" s="299"/>
      <c r="N40" s="299"/>
      <c r="P40" s="236" t="s">
        <v>21</v>
      </c>
      <c r="Q40" s="64"/>
      <c r="R40" s="83">
        <f>SUM(R28:R39)</f>
        <v>1940413.4425290001</v>
      </c>
      <c r="S40" s="83">
        <f t="shared" ref="S40:T40" si="20">SUM(S28:S39)</f>
        <v>1935540.3292868661</v>
      </c>
      <c r="T40" s="83">
        <f t="shared" si="20"/>
        <v>-4873.1132421338698</v>
      </c>
      <c r="V40" s="83">
        <f>SUM(V28:V39)</f>
        <v>1411471.5678369999</v>
      </c>
      <c r="W40" s="83">
        <f t="shared" ref="W40:X40" si="21">SUM(W28:W39)</f>
        <v>1410765.8345161579</v>
      </c>
      <c r="X40" s="83">
        <f t="shared" si="21"/>
        <v>-705.7333208421478</v>
      </c>
      <c r="Y40" s="83"/>
      <c r="Z40" s="83">
        <f>SUM(Z28:Z39)</f>
        <v>16726.140044</v>
      </c>
      <c r="AA40" s="83">
        <f t="shared" ref="AA40:AB40" si="22">SUM(AA28:AA39)</f>
        <v>16259.923682656217</v>
      </c>
      <c r="AB40" s="83">
        <f t="shared" si="22"/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Sheet_SC_Migrated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222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374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3">P28</f>
        <v>43101</v>
      </c>
      <c r="Q45" s="83"/>
      <c r="R45" s="299">
        <f>'Sch 40 Migration Weather Adj.'!C61</f>
        <v>32012.128000000001</v>
      </c>
      <c r="S45" s="299">
        <f>'Sch 40 Migration Weather Adj.'!D61</f>
        <v>32238.365349282176</v>
      </c>
      <c r="T45" s="299">
        <f>S45-R45</f>
        <v>226.23734928217527</v>
      </c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 t="shared" ref="X45:X56" si="24"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 t="shared" ref="AB45:AB56" si="25"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3"/>
        <v>43132</v>
      </c>
      <c r="Q46" s="83"/>
      <c r="R46" s="299">
        <f>'Sch 40 Migration Weather Adj.'!C62</f>
        <v>28239.23</v>
      </c>
      <c r="S46" s="299">
        <f>'Sch 40 Migration Weather Adj.'!D62</f>
        <v>28113.293790690939</v>
      </c>
      <c r="T46" s="299">
        <f t="shared" ref="T46:T56" si="26">S46-R46</f>
        <v>-125.93620930906036</v>
      </c>
      <c r="V46" s="299">
        <v>13348.269554999999</v>
      </c>
      <c r="W46" s="299">
        <v>12542.908577137294</v>
      </c>
      <c r="X46" s="299">
        <f t="shared" si="24"/>
        <v>-805.36097786270511</v>
      </c>
      <c r="Y46" s="299"/>
      <c r="Z46" s="299">
        <v>897.14</v>
      </c>
      <c r="AA46" s="299">
        <v>877.42439898533053</v>
      </c>
      <c r="AB46" s="299">
        <f t="shared" si="25"/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3"/>
        <v>43160</v>
      </c>
      <c r="Q47" s="83"/>
      <c r="R47" s="299">
        <f>'Sch 40 Migration Weather Adj.'!C63</f>
        <v>32729.637999999999</v>
      </c>
      <c r="S47" s="299">
        <f>'Sch 40 Migration Weather Adj.'!D63</f>
        <v>32717.015346709351</v>
      </c>
      <c r="T47" s="299">
        <f t="shared" si="26"/>
        <v>-12.622653290647577</v>
      </c>
      <c r="V47" s="299">
        <v>14774.1</v>
      </c>
      <c r="W47" s="299">
        <v>14881.072003025</v>
      </c>
      <c r="X47" s="299">
        <f t="shared" si="24"/>
        <v>106.97200302499914</v>
      </c>
      <c r="Y47" s="299"/>
      <c r="Z47" s="299">
        <v>943.66</v>
      </c>
      <c r="AA47" s="299">
        <v>945.4108794533845</v>
      </c>
      <c r="AB47" s="299">
        <f t="shared" si="25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3"/>
        <v>43191</v>
      </c>
      <c r="Q48" s="83"/>
      <c r="R48" s="299">
        <f>'Sch 40 Migration Weather Adj.'!C64</f>
        <v>29653.347000000002</v>
      </c>
      <c r="S48" s="299">
        <f>'Sch 40 Migration Weather Adj.'!D64</f>
        <v>29677.589342342355</v>
      </c>
      <c r="T48" s="299">
        <f t="shared" si="26"/>
        <v>24.242342342353368</v>
      </c>
      <c r="V48" s="299">
        <v>12167.918880000001</v>
      </c>
      <c r="W48" s="299">
        <v>12291.254040215736</v>
      </c>
      <c r="X48" s="299">
        <f t="shared" si="24"/>
        <v>123.3351602157345</v>
      </c>
      <c r="Y48" s="299"/>
      <c r="Z48" s="299">
        <v>776.62</v>
      </c>
      <c r="AA48" s="299">
        <v>781.38586538892207</v>
      </c>
      <c r="AB48" s="299">
        <f t="shared" si="25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3"/>
        <v>43221</v>
      </c>
      <c r="Q49" s="83"/>
      <c r="R49" s="299">
        <f>'Sch 40 Migration Weather Adj.'!C65</f>
        <v>28626.892</v>
      </c>
      <c r="S49" s="299">
        <f>'Sch 40 Migration Weather Adj.'!D65</f>
        <v>28627.353814170623</v>
      </c>
      <c r="T49" s="299">
        <f t="shared" si="26"/>
        <v>0.46181417062325636</v>
      </c>
      <c r="V49" s="299">
        <v>9528.3856850000011</v>
      </c>
      <c r="W49" s="299">
        <v>9723.226773721326</v>
      </c>
      <c r="X49" s="299">
        <f t="shared" si="24"/>
        <v>194.84108872132492</v>
      </c>
      <c r="Y49" s="299"/>
      <c r="Z49" s="299">
        <v>591.08000000000004</v>
      </c>
      <c r="AA49" s="299">
        <v>601.1173555526035</v>
      </c>
      <c r="AB49" s="299">
        <f t="shared" si="25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3"/>
        <v>43252</v>
      </c>
      <c r="Q50" s="83"/>
      <c r="R50" s="299">
        <f>'Sch 40 Migration Weather Adj.'!C66</f>
        <v>27309.827000000001</v>
      </c>
      <c r="S50" s="299">
        <f>'Sch 40 Migration Weather Adj.'!D66</f>
        <v>27236.089169322782</v>
      </c>
      <c r="T50" s="299">
        <f t="shared" si="26"/>
        <v>-73.737830677218881</v>
      </c>
      <c r="V50" s="299">
        <v>8207.9652699999988</v>
      </c>
      <c r="W50" s="299">
        <v>8185.6526829803652</v>
      </c>
      <c r="X50" s="299">
        <f t="shared" si="24"/>
        <v>-22.312587019633611</v>
      </c>
      <c r="Y50" s="299"/>
      <c r="Z50" s="299">
        <v>387.72</v>
      </c>
      <c r="AA50" s="299">
        <v>387.26751144258054</v>
      </c>
      <c r="AB50" s="299">
        <f t="shared" si="25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3"/>
        <v>43282</v>
      </c>
      <c r="Q51" s="83"/>
      <c r="R51" s="299">
        <f>'Sch 40 Migration Weather Adj.'!C67</f>
        <v>29390.128000000001</v>
      </c>
      <c r="S51" s="299">
        <f>'Sch 40 Migration Weather Adj.'!D67</f>
        <v>28739.042701810933</v>
      </c>
      <c r="T51" s="299">
        <f t="shared" si="26"/>
        <v>-651.08529818906754</v>
      </c>
      <c r="V51" s="299">
        <v>6333.3257949999997</v>
      </c>
      <c r="W51" s="299">
        <v>6090.5746375682929</v>
      </c>
      <c r="X51" s="299">
        <f t="shared" si="24"/>
        <v>-242.75115743170682</v>
      </c>
      <c r="Y51" s="299"/>
      <c r="Z51" s="299">
        <v>316.26</v>
      </c>
      <c r="AA51" s="299">
        <v>311.33712301843309</v>
      </c>
      <c r="AB51" s="299">
        <f t="shared" si="25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3"/>
        <v>43313</v>
      </c>
      <c r="Q52" s="83"/>
      <c r="R52" s="299">
        <f>'Sch 40 Migration Weather Adj.'!C68</f>
        <v>31555.887999999999</v>
      </c>
      <c r="S52" s="299">
        <f>'Sch 40 Migration Weather Adj.'!D68</f>
        <v>31174.145559590081</v>
      </c>
      <c r="T52" s="299">
        <f t="shared" si="26"/>
        <v>-381.74244040991834</v>
      </c>
      <c r="V52" s="299">
        <v>5565.0993349999999</v>
      </c>
      <c r="W52" s="299">
        <v>5438.8578345329915</v>
      </c>
      <c r="X52" s="299">
        <f t="shared" si="24"/>
        <v>-126.24150046700834</v>
      </c>
      <c r="Y52" s="299"/>
      <c r="Z52" s="299">
        <v>285.14</v>
      </c>
      <c r="AA52" s="299">
        <v>282.56325881447532</v>
      </c>
      <c r="AB52" s="299">
        <f t="shared" si="25"/>
        <v>-2.5767411855246678</v>
      </c>
      <c r="AC52" s="83"/>
    </row>
    <row r="53" spans="1:29">
      <c r="P53" s="236">
        <f t="shared" si="23"/>
        <v>43344</v>
      </c>
      <c r="Q53" s="83"/>
      <c r="R53" s="299">
        <f>'Sch 40 Migration Weather Adj.'!C69</f>
        <v>30000.577000000001</v>
      </c>
      <c r="S53" s="299">
        <f>'Sch 40 Migration Weather Adj.'!D69</f>
        <v>30025.864382424552</v>
      </c>
      <c r="T53" s="299">
        <f t="shared" si="26"/>
        <v>25.287382424550742</v>
      </c>
      <c r="V53" s="299">
        <v>5746.4796399999996</v>
      </c>
      <c r="W53" s="299">
        <v>5754.6513390354412</v>
      </c>
      <c r="X53" s="299">
        <f t="shared" si="24"/>
        <v>8.1716990354416339</v>
      </c>
      <c r="Y53" s="299"/>
      <c r="Z53" s="299">
        <v>298.26</v>
      </c>
      <c r="AA53" s="299">
        <v>298.4267942267989</v>
      </c>
      <c r="AB53" s="299">
        <f t="shared" si="25"/>
        <v>0.16679422679891331</v>
      </c>
      <c r="AC53" s="83"/>
    </row>
    <row r="54" spans="1:29">
      <c r="P54" s="236">
        <f t="shared" si="23"/>
        <v>43374</v>
      </c>
      <c r="Q54" s="83"/>
      <c r="R54" s="299">
        <f>'Sch 40 Migration Weather Adj.'!C70</f>
        <v>17504.791000000001</v>
      </c>
      <c r="S54" s="299">
        <f>'Sch 40 Migration Weather Adj.'!D70</f>
        <v>17538.369850530344</v>
      </c>
      <c r="T54" s="299">
        <f t="shared" si="26"/>
        <v>33.578850530342606</v>
      </c>
      <c r="V54" s="299">
        <v>7995.505725</v>
      </c>
      <c r="W54" s="299">
        <v>8072.6758809875437</v>
      </c>
      <c r="X54" s="299">
        <f t="shared" si="24"/>
        <v>77.170155987543694</v>
      </c>
      <c r="Y54" s="299"/>
      <c r="Z54" s="299">
        <v>353.44</v>
      </c>
      <c r="AA54" s="299">
        <v>356.60178508422302</v>
      </c>
      <c r="AB54" s="299">
        <f t="shared" si="25"/>
        <v>3.1617850842230268</v>
      </c>
      <c r="AC54" s="83"/>
    </row>
    <row r="55" spans="1:29">
      <c r="P55" s="236">
        <f t="shared" si="23"/>
        <v>43405</v>
      </c>
      <c r="Q55" s="83"/>
      <c r="R55" s="299">
        <f>'Sch 40 Migration Weather Adj.'!C71</f>
        <v>35966.337</v>
      </c>
      <c r="S55" s="299">
        <f>'Sch 40 Migration Weather Adj.'!D71</f>
        <v>36240.032688241474</v>
      </c>
      <c r="T55" s="299">
        <f t="shared" si="26"/>
        <v>273.69568824147427</v>
      </c>
      <c r="V55" s="299">
        <v>9194.1588350000002</v>
      </c>
      <c r="W55" s="299">
        <v>10198.784454522111</v>
      </c>
      <c r="X55" s="299">
        <f t="shared" si="24"/>
        <v>1004.6256195221104</v>
      </c>
      <c r="Y55" s="299"/>
      <c r="Z55" s="299">
        <v>515.476</v>
      </c>
      <c r="AA55" s="299">
        <v>546.84645175589424</v>
      </c>
      <c r="AB55" s="299">
        <f t="shared" si="25"/>
        <v>31.370451755894237</v>
      </c>
      <c r="AC55" s="83"/>
    </row>
    <row r="56" spans="1:29">
      <c r="P56" s="239">
        <f t="shared" si="23"/>
        <v>43435</v>
      </c>
      <c r="Q56" s="83"/>
      <c r="R56" s="301">
        <f>'Sch 40 Migration Weather Adj.'!C72</f>
        <v>28404.613000000001</v>
      </c>
      <c r="S56" s="301">
        <f>'Sch 40 Migration Weather Adj.'!D72</f>
        <v>28613.618204702387</v>
      </c>
      <c r="T56" s="301">
        <f t="shared" si="26"/>
        <v>209.00520470238553</v>
      </c>
      <c r="V56" s="301">
        <v>12572.569045</v>
      </c>
      <c r="W56" s="301">
        <v>13778.477715450066</v>
      </c>
      <c r="X56" s="301">
        <f t="shared" si="24"/>
        <v>1205.908670450066</v>
      </c>
      <c r="Y56" s="299"/>
      <c r="Z56" s="301">
        <v>768.62400000000002</v>
      </c>
      <c r="AA56" s="301">
        <v>799.40423511705433</v>
      </c>
      <c r="AB56" s="301">
        <f t="shared" si="25"/>
        <v>30.780235117054303</v>
      </c>
      <c r="AC56" s="83"/>
    </row>
    <row r="57" spans="1:29">
      <c r="P57" s="236" t="s">
        <v>21</v>
      </c>
      <c r="Q57" s="83"/>
      <c r="R57" s="83">
        <f>SUM(R45:R56)</f>
        <v>351393.39600000001</v>
      </c>
      <c r="S57" s="83">
        <f t="shared" ref="S57:T57" si="27">SUM(S45:S56)</f>
        <v>350940.78019981796</v>
      </c>
      <c r="T57" s="83">
        <f t="shared" si="27"/>
        <v>-452.61580018200766</v>
      </c>
      <c r="V57" s="83">
        <f>SUM(V45:V56)</f>
        <v>120139.33994999999</v>
      </c>
      <c r="W57" s="83">
        <f>SUM(W45:W56)</f>
        <v>122942.64513969402</v>
      </c>
      <c r="X57" s="83">
        <f>SUM(X45:X56)</f>
        <v>2803.3051896940306</v>
      </c>
      <c r="Y57" s="83"/>
      <c r="Z57" s="83">
        <f>SUM(Z45:Z56)</f>
        <v>7130.88</v>
      </c>
      <c r="AA57" s="83">
        <f>SUM(AA45:AA56)</f>
        <v>7216.7962345252708</v>
      </c>
      <c r="AB57" s="83">
        <f>SUM(AB45:AB56)</f>
        <v>85.91623452527142</v>
      </c>
      <c r="AC57" s="83"/>
    </row>
    <row r="59" spans="1:29">
      <c r="R59" s="243" t="s">
        <v>21</v>
      </c>
      <c r="S59" s="244"/>
      <c r="T59" s="244"/>
    </row>
    <row r="60" spans="1:29">
      <c r="R60" s="246" t="s">
        <v>375</v>
      </c>
      <c r="S60" s="247"/>
      <c r="T60" s="247"/>
      <c r="AB60" s="83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28">P45</f>
        <v>43101</v>
      </c>
      <c r="R62" s="299">
        <f>R11+V11+Z11+R28+V28+Z28+R45+V45+Z45</f>
        <v>2118037.8880210002</v>
      </c>
      <c r="S62" s="299">
        <f>S11+W11+AA11+S28+W28+AA28+S45+W45+AA45</f>
        <v>2201943.218956749</v>
      </c>
      <c r="T62" s="299">
        <f>T11+X11+AB11+T28+X28+AB28+T45+X45+AB45</f>
        <v>83905.330935748905</v>
      </c>
      <c r="Y62" s="299"/>
    </row>
    <row r="63" spans="1:29">
      <c r="P63" s="236">
        <f t="shared" si="28"/>
        <v>43132</v>
      </c>
      <c r="R63" s="299">
        <f t="shared" ref="R63:T63" si="29">R12+V12+Z12+R29+V29+Z29+R46+V46+Z46</f>
        <v>1967096.1521419995</v>
      </c>
      <c r="S63" s="299">
        <f t="shared" si="29"/>
        <v>1914229.7639754582</v>
      </c>
      <c r="T63" s="299">
        <f t="shared" si="29"/>
        <v>-52866.388166541314</v>
      </c>
      <c r="Y63" s="299"/>
    </row>
    <row r="64" spans="1:29">
      <c r="P64" s="236">
        <f t="shared" si="28"/>
        <v>43160</v>
      </c>
      <c r="R64" s="299">
        <f t="shared" ref="R64:T64" si="30">R13+V13+Z13+R30+V30+Z30+R47+V47+Z47</f>
        <v>1943915.0066899997</v>
      </c>
      <c r="S64" s="299">
        <f t="shared" si="30"/>
        <v>1949599.793274102</v>
      </c>
      <c r="T64" s="299">
        <f t="shared" si="30"/>
        <v>5684.786584102183</v>
      </c>
      <c r="Y64" s="299"/>
    </row>
    <row r="65" spans="16:25">
      <c r="P65" s="236">
        <f t="shared" si="28"/>
        <v>43191</v>
      </c>
      <c r="R65" s="299">
        <f t="shared" ref="R65:T65" si="31">R14+V14+Z14+R31+V31+Z31+R48+V48+Z48</f>
        <v>1699430.7884710003</v>
      </c>
      <c r="S65" s="299">
        <f t="shared" si="31"/>
        <v>1709953.1858275458</v>
      </c>
      <c r="T65" s="299">
        <f t="shared" si="31"/>
        <v>10522.397356545778</v>
      </c>
      <c r="Y65" s="299"/>
    </row>
    <row r="66" spans="16:25">
      <c r="P66" s="236">
        <f t="shared" si="28"/>
        <v>43221</v>
      </c>
      <c r="R66" s="299">
        <f t="shared" ref="R66:T66" si="32">R15+V15+Z15+R32+V32+Z32+R49+V49+Z49</f>
        <v>1491600.9374650002</v>
      </c>
      <c r="S66" s="299">
        <f t="shared" si="32"/>
        <v>1508748.9452410345</v>
      </c>
      <c r="T66" s="299">
        <f t="shared" si="32"/>
        <v>17148.007776034407</v>
      </c>
      <c r="Y66" s="299"/>
    </row>
    <row r="67" spans="16:25">
      <c r="P67" s="236">
        <f t="shared" si="28"/>
        <v>43252</v>
      </c>
      <c r="R67" s="299">
        <f t="shared" ref="R67:T67" si="33">R16+V16+Z16+R33+V33+Z33+R50+V50+Z50</f>
        <v>1404675.594211</v>
      </c>
      <c r="S67" s="299">
        <f t="shared" si="33"/>
        <v>1399102.8410358017</v>
      </c>
      <c r="T67" s="299">
        <f t="shared" si="33"/>
        <v>-5572.7531751981933</v>
      </c>
      <c r="Y67" s="299"/>
    </row>
    <row r="68" spans="16:25">
      <c r="P68" s="236">
        <f t="shared" si="28"/>
        <v>43282</v>
      </c>
      <c r="R68" s="299">
        <f t="shared" ref="R68:T68" si="34">R17+V17+Z17+R34+V34+Z34+R51+V51+Z51</f>
        <v>1447752.4749459997</v>
      </c>
      <c r="S68" s="299">
        <f t="shared" si="34"/>
        <v>1387119.7711101344</v>
      </c>
      <c r="T68" s="299">
        <f t="shared" si="34"/>
        <v>-60632.703835865468</v>
      </c>
      <c r="Y68" s="299"/>
    </row>
    <row r="69" spans="16:25">
      <c r="P69" s="236">
        <f t="shared" si="28"/>
        <v>43313</v>
      </c>
      <c r="R69" s="299">
        <f t="shared" ref="R69:T69" si="35">R18+V18+Z18+R35+V35+Z35+R52+V52+Z52</f>
        <v>1586741.9039549998</v>
      </c>
      <c r="S69" s="299">
        <f t="shared" si="35"/>
        <v>1554969.6854745678</v>
      </c>
      <c r="T69" s="299">
        <f t="shared" si="35"/>
        <v>-31772.218480432082</v>
      </c>
      <c r="Y69" s="299"/>
    </row>
    <row r="70" spans="16:25">
      <c r="P70" s="236">
        <f t="shared" si="28"/>
        <v>43344</v>
      </c>
      <c r="R70" s="299">
        <f t="shared" ref="R70:T70" si="36">R19+V19+Z19+R36+V36+Z36+R53+V53+Z53</f>
        <v>1467149.3967210001</v>
      </c>
      <c r="S70" s="299">
        <f t="shared" si="36"/>
        <v>1469208.5103097057</v>
      </c>
      <c r="T70" s="299">
        <f t="shared" si="36"/>
        <v>2059.1135887056985</v>
      </c>
      <c r="Y70" s="299"/>
    </row>
    <row r="71" spans="16:25">
      <c r="P71" s="236">
        <f t="shared" si="28"/>
        <v>43374</v>
      </c>
      <c r="R71" s="299">
        <f t="shared" ref="R71:T71" si="37">R20+V20+Z20+R37+V37+Z37+R54+V54+Z54</f>
        <v>1420211.0190750002</v>
      </c>
      <c r="S71" s="299">
        <f t="shared" si="37"/>
        <v>1427304.51412997</v>
      </c>
      <c r="T71" s="299">
        <f t="shared" si="37"/>
        <v>7093.4950549700079</v>
      </c>
      <c r="Y71" s="299"/>
    </row>
    <row r="72" spans="16:25">
      <c r="P72" s="236">
        <f t="shared" si="28"/>
        <v>43405</v>
      </c>
      <c r="R72" s="299">
        <f t="shared" ref="R72:T72" si="38">R21+V21+Z21+R38+V38+Z38+R55+V55+Z55</f>
        <v>1590668.351451</v>
      </c>
      <c r="S72" s="299">
        <f t="shared" si="38"/>
        <v>1667674.2647172292</v>
      </c>
      <c r="T72" s="299">
        <f t="shared" si="38"/>
        <v>77005.913266229181</v>
      </c>
      <c r="Y72" s="299"/>
    </row>
    <row r="73" spans="16:25">
      <c r="P73" s="239">
        <f t="shared" si="28"/>
        <v>43435</v>
      </c>
      <c r="R73" s="301">
        <f t="shared" ref="R73:T73" si="39">R22+V22+Z22+R39+V39+Z39+R56+V56+Z56</f>
        <v>1913129.2268690001</v>
      </c>
      <c r="S73" s="301">
        <f t="shared" si="39"/>
        <v>1995801.9461869893</v>
      </c>
      <c r="T73" s="301">
        <f t="shared" si="39"/>
        <v>82672.719317988944</v>
      </c>
      <c r="Y73" s="299"/>
    </row>
    <row r="74" spans="16:25">
      <c r="P74" s="236" t="s">
        <v>21</v>
      </c>
      <c r="R74" s="83">
        <f>SUM(R62:R73)</f>
        <v>20050408.740016997</v>
      </c>
      <c r="S74" s="83">
        <f t="shared" ref="S74:T74" si="40">SUM(S62:S73)</f>
        <v>20185656.440239288</v>
      </c>
      <c r="T74" s="83">
        <f t="shared" si="40"/>
        <v>135247.70022228803</v>
      </c>
    </row>
    <row r="77" spans="16:25">
      <c r="R77" s="432"/>
    </row>
  </sheetData>
  <mergeCells count="5">
    <mergeCell ref="P5:AB5"/>
    <mergeCell ref="J6:N6"/>
    <mergeCell ref="P6:AB6"/>
    <mergeCell ref="J7:N7"/>
    <mergeCell ref="J8:N8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C37" sqref="C37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Sheet_SC_Migrated'!B12</f>
        <v>43101</v>
      </c>
      <c r="D5" s="27">
        <f>'Summary Sheet_SC_Migrated'!B13</f>
        <v>43132</v>
      </c>
      <c r="E5" s="27">
        <f>'Summary Sheet_SC_Migrated'!B14</f>
        <v>43160</v>
      </c>
      <c r="F5" s="27">
        <f>'Summary Sheet_SC_Migrated'!B15</f>
        <v>43191</v>
      </c>
      <c r="G5" s="27">
        <f>'Summary Sheet_SC_Migrated'!B16</f>
        <v>43221</v>
      </c>
      <c r="H5" s="27">
        <f>'Summary Sheet_SC_Migrated'!B17</f>
        <v>43252</v>
      </c>
      <c r="I5" s="27">
        <f>'Summary Sheet_SC_Migrated'!B18</f>
        <v>43282</v>
      </c>
      <c r="J5" s="27">
        <f>'Summary Sheet_SC_Migrated'!B19</f>
        <v>43313</v>
      </c>
      <c r="K5" s="27">
        <f>'Summary Sheet_SC_Migrated'!B20</f>
        <v>43344</v>
      </c>
      <c r="L5" s="27">
        <f>'Summary Sheet_SC_Migrated'!B21</f>
        <v>43374</v>
      </c>
      <c r="M5" s="27">
        <f>'Summary Sheet_SC_Migrated'!B22</f>
        <v>43405</v>
      </c>
      <c r="N5" s="27">
        <f>'Summary Sheet_SC_Migrated'!B23</f>
        <v>43435</v>
      </c>
    </row>
    <row r="6" spans="1:14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8"/>
    </row>
    <row r="7" spans="1:14" s="5" customFormat="1">
      <c r="A7" s="19"/>
      <c r="B7" s="20"/>
      <c r="C7" s="304"/>
      <c r="D7" s="21"/>
      <c r="E7" s="21"/>
      <c r="F7" s="21"/>
      <c r="G7" s="21"/>
      <c r="H7" s="21"/>
      <c r="I7" s="21"/>
      <c r="J7" s="21"/>
      <c r="K7" s="21"/>
      <c r="L7" s="21"/>
      <c r="M7" s="21"/>
      <c r="N7" s="22"/>
    </row>
    <row r="8" spans="1:14">
      <c r="A8" s="381" t="s">
        <v>11</v>
      </c>
      <c r="B8" s="10"/>
      <c r="C8" s="305"/>
      <c r="D8" s="10"/>
      <c r="E8" s="10"/>
      <c r="F8" s="10"/>
      <c r="G8" s="10"/>
      <c r="H8" s="10"/>
      <c r="I8" s="10"/>
      <c r="J8" s="10"/>
      <c r="K8" s="10"/>
      <c r="L8" s="10"/>
      <c r="M8" s="10"/>
      <c r="N8" s="11"/>
    </row>
    <row r="9" spans="1:14">
      <c r="A9" s="12" t="s">
        <v>1</v>
      </c>
      <c r="B9" s="23">
        <f>SUM(C9:N9)</f>
        <v>128083498.13659537</v>
      </c>
      <c r="C9" s="306">
        <f>+'Temp Adj. by Schedule'!B45</f>
        <v>66877985.715663314</v>
      </c>
      <c r="D9" s="28">
        <f>+'Temp Adj. by Schedule'!C45</f>
        <v>-42015191.180842318</v>
      </c>
      <c r="E9" s="28">
        <f>+'Temp Adj. by Schedule'!D45</f>
        <v>4288040.5180652607</v>
      </c>
      <c r="F9" s="28">
        <f>+'Temp Adj. by Schedule'!E45</f>
        <v>9065379.7749847509</v>
      </c>
      <c r="G9" s="28">
        <f>+'Temp Adj. by Schedule'!F45</f>
        <v>16312540.537563369</v>
      </c>
      <c r="H9" s="28">
        <f>+'Temp Adj. by Schedule'!G45</f>
        <v>-3591209.1667542555</v>
      </c>
      <c r="I9" s="28">
        <f>+'Temp Adj. by Schedule'!H45</f>
        <v>-39087187.069650702</v>
      </c>
      <c r="J9" s="28">
        <f>+'Temp Adj. by Schedule'!I45</f>
        <v>-20480515.100138307</v>
      </c>
      <c r="K9" s="28">
        <f>+'Temp Adj. by Schedule'!J45</f>
        <v>1328013.4805501606</v>
      </c>
      <c r="L9" s="28">
        <f>+'Temp Adj. by Schedule'!K45</f>
        <v>5997526.5328236045</v>
      </c>
      <c r="M9" s="28">
        <f>+'Temp Adj. by Schedule'!L45</f>
        <v>63479941.733475931</v>
      </c>
      <c r="N9" s="105">
        <f>+'Temp Adj. by Schedule'!M45</f>
        <v>65908172.360854551</v>
      </c>
    </row>
    <row r="10" spans="1:14">
      <c r="A10" s="364" t="s">
        <v>174</v>
      </c>
      <c r="B10" s="23">
        <f t="shared" ref="B10:B17" si="0">SUM(C10:N10)</f>
        <v>9407368.1722926833</v>
      </c>
      <c r="C10" s="306">
        <f>'Sales &amp; Revenue Adj.'!C23+INDEX('Sch 40 Migration Weather Adj.'!$E$43:$E$54,1,0)*1000</f>
        <v>8627483.1689555962</v>
      </c>
      <c r="D10" s="28">
        <f>'Sales &amp; Revenue Adj.'!D23+INDEX('Sch 40 Migration Weather Adj.'!$E$43:$E$54,2,0)*1000</f>
        <v>-5482284.9749551099</v>
      </c>
      <c r="E10" s="28">
        <f>'Sales &amp; Revenue Adj.'!E23+INDEX('Sch 40 Migration Weather Adj.'!$E$43:$E$54,3,0)*1000</f>
        <v>745480.43290395651</v>
      </c>
      <c r="F10" s="28">
        <f>'Sales &amp; Revenue Adj.'!F23+INDEX('Sch 40 Migration Weather Adj.'!$E$43:$E$54,4,0)*1000</f>
        <v>813062.04984825244</v>
      </c>
      <c r="G10" s="28">
        <f>'Sales &amp; Revenue Adj.'!G23+INDEX('Sch 40 Migration Weather Adj.'!$E$43:$E$54,5,0)*1000</f>
        <v>862901.75804537942</v>
      </c>
      <c r="H10" s="28">
        <f>'Sales &amp; Revenue Adj.'!H23+INDEX('Sch 40 Migration Weather Adj.'!$E$43:$E$54,6,0)*1000</f>
        <v>-696293.74752250419</v>
      </c>
      <c r="I10" s="28">
        <f>'Sales &amp; Revenue Adj.'!I23+INDEX('Sch 40 Migration Weather Adj.'!$E$43:$E$54,7,0)*1000</f>
        <v>-7581564.9620875921</v>
      </c>
      <c r="J10" s="28">
        <f>'Sales &amp; Revenue Adj.'!J23+INDEX('Sch 40 Migration Weather Adj.'!$E$43:$E$54,8,0)*1000</f>
        <v>-3973313.0535625909</v>
      </c>
      <c r="K10" s="28">
        <f>'Sales &amp; Revenue Adj.'!K23+INDEX('Sch 40 Migration Weather Adj.'!$E$43:$E$54,9,0)*1000</f>
        <v>257554.42129627435</v>
      </c>
      <c r="L10" s="28">
        <f>'Sales &amp; Revenue Adj.'!L23+INDEX('Sch 40 Migration Weather Adj.'!$E$43:$E$54,10,0)*1000</f>
        <v>516135.28029721102</v>
      </c>
      <c r="M10" s="28">
        <f>'Sales &amp; Revenue Adj.'!M23+INDEX('Sch 40 Migration Weather Adj.'!$E$43:$E$54,11,0)*1000</f>
        <v>6903479.7368098134</v>
      </c>
      <c r="N10" s="105">
        <f>'Sales &amp; Revenue Adj.'!N23+INDEX('Sch 40 Migration Weather Adj.'!$E$43:$E$54,12,0)*1000</f>
        <v>8414728.0622639954</v>
      </c>
    </row>
    <row r="11" spans="1:14">
      <c r="A11" s="364" t="s">
        <v>177</v>
      </c>
      <c r="B11" s="23">
        <f t="shared" si="0"/>
        <v>1365291.2136820126</v>
      </c>
      <c r="C11" s="306">
        <f>'Sales &amp; Revenue Adj.'!C24+INDEX('Sch 40 Migration Weather Adj.'!$I$43:$I$54,1,0)*1000</f>
        <v>5549078.8446459929</v>
      </c>
      <c r="D11" s="28">
        <f>'Sales &amp; Revenue Adj.'!D24+INDEX('Sch 40 Migration Weather Adj.'!$I$43:$I$54,2,0)*1000</f>
        <v>-3598598.9158834182</v>
      </c>
      <c r="E11" s="28">
        <f>'Sales &amp; Revenue Adj.'!E24+INDEX('Sch 40 Migration Weather Adj.'!$I$43:$I$54,3,0)*1000</f>
        <v>595975.67884335446</v>
      </c>
      <c r="F11" s="28">
        <f>'Sales &amp; Revenue Adj.'!F24+INDEX('Sch 40 Migration Weather Adj.'!$I$43:$I$54,4,0)*1000</f>
        <v>346359.40418640693</v>
      </c>
      <c r="G11" s="28">
        <f>'Sales &amp; Revenue Adj.'!G24+INDEX('Sch 40 Migration Weather Adj.'!$I$43:$I$54,5,0)*1000</f>
        <v>-152161.45210704082</v>
      </c>
      <c r="H11" s="28">
        <f>'Sales &amp; Revenue Adj.'!H24+INDEX('Sch 40 Migration Weather Adj.'!$I$43:$I$54,6,0)*1000</f>
        <v>-645916.7475001734</v>
      </c>
      <c r="I11" s="28">
        <f>'Sales &amp; Revenue Adj.'!I24+INDEX('Sch 40 Migration Weather Adj.'!$I$43:$I$54,7,0)*1000</f>
        <v>-6996132.3788586659</v>
      </c>
      <c r="J11" s="28">
        <f>'Sales &amp; Revenue Adj.'!J24+INDEX('Sch 40 Migration Weather Adj.'!$I$43:$I$54,8,0)*1000</f>
        <v>-3663439.8793465854</v>
      </c>
      <c r="K11" s="28">
        <f>'Sales &amp; Revenue Adj.'!K24+INDEX('Sch 40 Migration Weather Adj.'!$I$43:$I$54,9,0)*1000</f>
        <v>237229.51826082155</v>
      </c>
      <c r="L11" s="28">
        <f>'Sales &amp; Revenue Adj.'!L24+INDEX('Sch 40 Migration Weather Adj.'!$I$43:$I$54,10,0)*1000</f>
        <v>201149.01886104984</v>
      </c>
      <c r="M11" s="28">
        <f>'Sales &amp; Revenue Adj.'!M24+INDEX('Sch 40 Migration Weather Adj.'!$I$43:$I$54,11,0)*1000</f>
        <v>3903084.6327868667</v>
      </c>
      <c r="N11" s="105">
        <f>'Sales &amp; Revenue Adj.'!N24+INDEX('Sch 40 Migration Weather Adj.'!$I$43:$I$54,12,0)*1000</f>
        <v>5588663.4897934031</v>
      </c>
    </row>
    <row r="12" spans="1:14">
      <c r="A12" s="364" t="s">
        <v>175</v>
      </c>
      <c r="B12" s="23">
        <f t="shared" si="0"/>
        <v>-4873113.2421339061</v>
      </c>
      <c r="C12" s="306">
        <f>'Sales &amp; Revenue Adj.'!C25+INDEX('Sch 40 Migration Weather Adj.'!$M$43:$M$54,1,0)*1000</f>
        <v>634346.19876401336</v>
      </c>
      <c r="D12" s="28">
        <f>'Sales &amp; Revenue Adj.'!D25+INDEX('Sch 40 Migration Weather Adj.'!$M$43:$M$54,2,0)*1000</f>
        <v>-388630.74121587881</v>
      </c>
      <c r="E12" s="28">
        <f>'Sales &amp; Revenue Adj.'!E25+INDEX('Sch 40 Migration Weather Adj.'!$M$43:$M$54,3,0)*1000</f>
        <v>-21567.171819232164</v>
      </c>
      <c r="F12" s="28">
        <f>'Sales &amp; Revenue Adj.'!F25+INDEX('Sch 40 Migration Weather Adj.'!$M$43:$M$54,4,0)*1000</f>
        <v>69776.177289913001</v>
      </c>
      <c r="G12" s="28">
        <f>'Sales &amp; Revenue Adj.'!G25+INDEX('Sch 40 Migration Weather Adj.'!$M$43:$M$54,5,0)*1000</f>
        <v>-112137.16309324461</v>
      </c>
      <c r="H12" s="28">
        <f>'Sales &amp; Revenue Adj.'!H25+INDEX('Sch 40 Migration Weather Adj.'!$M$43:$M$54,6,0)*1000</f>
        <v>-376723.31174029072</v>
      </c>
      <c r="I12" s="28">
        <f>'Sales &amp; Revenue Adj.'!I25+INDEX('Sch 40 Migration Weather Adj.'!$M$43:$M$54,7,0)*1000</f>
        <v>-4126319.9273600196</v>
      </c>
      <c r="J12" s="28">
        <f>'Sales &amp; Revenue Adj.'!J25+INDEX('Sch 40 Migration Weather Adj.'!$M$43:$M$54,8,0)*1000</f>
        <v>-2163329.766268889</v>
      </c>
      <c r="K12" s="28">
        <f>'Sales &amp; Revenue Adj.'!K25+INDEX('Sch 40 Migration Weather Adj.'!$M$43:$M$54,9,0)*1000</f>
        <v>140100.37511156767</v>
      </c>
      <c r="L12" s="28">
        <f>'Sales &amp; Revenue Adj.'!L25+INDEX('Sch 40 Migration Weather Adj.'!$M$43:$M$54,10,0)*1000</f>
        <v>127901.6157159664</v>
      </c>
      <c r="M12" s="28">
        <f>'Sales &amp; Revenue Adj.'!M25+INDEX('Sch 40 Migration Weather Adj.'!$M$43:$M$54,11,0)*1000</f>
        <v>698405.04539191606</v>
      </c>
      <c r="N12" s="105">
        <f>'Sales &amp; Revenue Adj.'!N25+INDEX('Sch 40 Migration Weather Adj.'!$M$43:$M$54,12,0)*1000</f>
        <v>645065.42709027184</v>
      </c>
    </row>
    <row r="13" spans="1:14">
      <c r="A13" s="12" t="s">
        <v>5</v>
      </c>
      <c r="B13" s="23">
        <f t="shared" si="0"/>
        <v>-466216.36134378111</v>
      </c>
      <c r="C13" s="306">
        <f>+'Temp Adj. by Schedule'!B54</f>
        <v>0</v>
      </c>
      <c r="D13" s="28">
        <f>+'Temp Adj. by Schedule'!C54</f>
        <v>0</v>
      </c>
      <c r="E13" s="28">
        <f>+'Temp Adj. by Schedule'!D54</f>
        <v>0</v>
      </c>
      <c r="F13" s="28">
        <f>+'Temp Adj. by Schedule'!E54</f>
        <v>0</v>
      </c>
      <c r="G13" s="28">
        <f>+'Temp Adj. by Schedule'!F54</f>
        <v>-16577.61014609602</v>
      </c>
      <c r="H13" s="28">
        <f>+'Temp Adj. by Schedule'!G54</f>
        <v>-25243.029481550468</v>
      </c>
      <c r="I13" s="28">
        <f>+'Temp Adj. by Schedule'!H54</f>
        <v>-283718.69156942435</v>
      </c>
      <c r="J13" s="28">
        <f>+'Temp Adj. by Schedule'!I54</f>
        <v>-150233.86202682799</v>
      </c>
      <c r="K13" s="28">
        <f>+'Temp Adj. by Schedule'!J54</f>
        <v>9556.831880117712</v>
      </c>
      <c r="L13" s="28">
        <f>+'Temp Adj. by Schedule'!K54</f>
        <v>0</v>
      </c>
      <c r="M13" s="28">
        <f>+'Temp Adj. by Schedule'!L54</f>
        <v>0</v>
      </c>
      <c r="N13" s="105">
        <f>+'Temp Adj. by Schedule'!M54</f>
        <v>0</v>
      </c>
    </row>
    <row r="14" spans="1:14">
      <c r="A14" s="364" t="s">
        <v>176</v>
      </c>
      <c r="B14" s="23">
        <f t="shared" si="0"/>
        <v>-705733.32084221148</v>
      </c>
      <c r="C14" s="306">
        <f>'Sales &amp; Revenue Adj.'!C27+INDEX('Sch 40 Migration Weather Adj.'!$Q$43:$Q$54,1,0)*1000</f>
        <v>679702.06723416538</v>
      </c>
      <c r="D14" s="28">
        <f>'Sales &amp; Revenue Adj.'!D27+INDEX('Sch 40 Migration Weather Adj.'!$Q$43:$Q$54,2,0)*1000</f>
        <v>-430669.56545824499</v>
      </c>
      <c r="E14" s="28">
        <f>'Sales &amp; Revenue Adj.'!E27+INDEX('Sch 40 Migration Weather Adj.'!$Q$43:$Q$54,3,0)*1000</f>
        <v>-19243.103078872497</v>
      </c>
      <c r="F14" s="28">
        <f>'Sales &amp; Revenue Adj.'!F27+INDEX('Sch 40 Migration Weather Adj.'!$Q$43:$Q$54,4,0)*1000</f>
        <v>75476.582289539117</v>
      </c>
      <c r="G14" s="28">
        <f>'Sales &amp; Revenue Adj.'!G27+INDEX('Sch 40 Migration Weather Adj.'!$Q$43:$Q$54,5,0)*1000</f>
        <v>48101.447327430375</v>
      </c>
      <c r="H14" s="28">
        <f>'Sales &amp; Revenue Adj.'!H27+INDEX('Sch 40 Migration Weather Adj.'!$Q$43:$Q$54,6,0)*1000</f>
        <v>-140864.26594516044</v>
      </c>
      <c r="I14" s="28">
        <f>'Sales &amp; Revenue Adj.'!I27+INDEX('Sch 40 Migration Weather Adj.'!$Q$43:$Q$54,7,0)*1000</f>
        <v>-1659021.4737367202</v>
      </c>
      <c r="J14" s="28">
        <f>'Sales &amp; Revenue Adj.'!J27+INDEX('Sch 40 Migration Weather Adj.'!$Q$43:$Q$54,8,0)*1000</f>
        <v>-830826.13702644105</v>
      </c>
      <c r="K14" s="28">
        <f>'Sales &amp; Revenue Adj.'!K27+INDEX('Sch 40 Migration Weather Adj.'!$Q$43:$Q$54,9,0)*1000</f>
        <v>53033.085919880679</v>
      </c>
      <c r="L14" s="28">
        <f>'Sales &amp; Revenue Adj.'!L27+INDEX('Sch 40 Migration Weather Adj.'!$Q$43:$Q$54,10,0)*1000</f>
        <v>136871.81567004375</v>
      </c>
      <c r="M14" s="28">
        <f>'Sales &amp; Revenue Adj.'!M27+INDEX('Sch 40 Migration Weather Adj.'!$Q$43:$Q$54,11,0)*1000</f>
        <v>711310.35824509698</v>
      </c>
      <c r="N14" s="105">
        <f>'Sales &amp; Revenue Adj.'!N27+INDEX('Sch 40 Migration Weather Adj.'!$Q$43:$Q$54,12,0)*1000</f>
        <v>670395.86771707109</v>
      </c>
    </row>
    <row r="15" spans="1:14">
      <c r="A15" s="15" t="s">
        <v>222</v>
      </c>
      <c r="B15" s="23">
        <f t="shared" si="0"/>
        <v>-452615.80018200766</v>
      </c>
      <c r="C15" s="306">
        <f>INDEX('Sch 40 Migration Weather Adj.'!$E$61:$E$72,1,0)*1000</f>
        <v>226237.34928217527</v>
      </c>
      <c r="D15" s="28">
        <f>INDEX('Sch 40 Migration Weather Adj.'!$E$61:$E$72,2,0)*1000</f>
        <v>-125936.20930906036</v>
      </c>
      <c r="E15" s="28">
        <f>INDEX('Sch 40 Migration Weather Adj.'!$E$61:$E$72,3,0)*1000</f>
        <v>-12622.653290647577</v>
      </c>
      <c r="F15" s="28">
        <f>INDEX('Sch 40 Migration Weather Adj.'!$E$61:$E$72,4,0)*1000</f>
        <v>24242.342342353368</v>
      </c>
      <c r="G15" s="28">
        <f>INDEX('Sch 40 Migration Weather Adj.'!$E$61:$E$72,5,0)*1000</f>
        <v>461.81417062325636</v>
      </c>
      <c r="H15" s="28">
        <f>INDEX('Sch 40 Migration Weather Adj.'!$E$61:$E$72,6,0)*1000</f>
        <v>-73737.830677218881</v>
      </c>
      <c r="I15" s="28">
        <f>INDEX('Sch 40 Migration Weather Adj.'!$E$61:$E$72,7,0)*1000</f>
        <v>-651085.29818906751</v>
      </c>
      <c r="J15" s="28">
        <f>INDEX('Sch 40 Migration Weather Adj.'!$E$61:$E$72,8,0)*1000</f>
        <v>-381742.44040991832</v>
      </c>
      <c r="K15" s="28">
        <f>INDEX('Sch 40 Migration Weather Adj.'!$E$61:$E$72,9,0)*1000</f>
        <v>25287.382424550742</v>
      </c>
      <c r="L15" s="28">
        <f>INDEX('Sch 40 Migration Weather Adj.'!$E$61:$E$72,10,0)*1000</f>
        <v>33578.850530342606</v>
      </c>
      <c r="M15" s="28">
        <f>INDEX('Sch 40 Migration Weather Adj.'!$E$61:$E$72,11,0)*1000</f>
        <v>273695.68824147427</v>
      </c>
      <c r="N15" s="105">
        <f>INDEX('Sch 40 Migration Weather Adj.'!$E$61:$E$72,12,0)*1000</f>
        <v>209005.20470238553</v>
      </c>
    </row>
    <row r="16" spans="1:14">
      <c r="A16" s="12" t="s">
        <v>8</v>
      </c>
      <c r="B16" s="23">
        <f>SUM(C16:N16)</f>
        <v>2803305.1896940321</v>
      </c>
      <c r="C16" s="306">
        <f>+'Temp Adj. by Schedule'!B56</f>
        <v>1278947.0155178648</v>
      </c>
      <c r="D16" s="28">
        <f>+'Temp Adj. by Schedule'!C56</f>
        <v>-805360.97786270583</v>
      </c>
      <c r="E16" s="28">
        <f>+'Temp Adj. by Schedule'!D56</f>
        <v>106972.00302499841</v>
      </c>
      <c r="F16" s="28">
        <f>+'Temp Adj. by Schedule'!E56</f>
        <v>123335.16021573462</v>
      </c>
      <c r="G16" s="28">
        <f>+'Temp Adj. by Schedule'!F56</f>
        <v>194841.08872132614</v>
      </c>
      <c r="H16" s="28">
        <f>+'Temp Adj. by Schedule'!G56</f>
        <v>-22312.587019634633</v>
      </c>
      <c r="I16" s="28">
        <f>+'Temp Adj. by Schedule'!H56</f>
        <v>-242751.15743170684</v>
      </c>
      <c r="J16" s="28">
        <f>+'Temp Adj. by Schedule'!I56</f>
        <v>-126241.50046700795</v>
      </c>
      <c r="K16" s="28">
        <f>+'Temp Adj. by Schedule'!J56</f>
        <v>8171.6990354412555</v>
      </c>
      <c r="L16" s="28">
        <f>+'Temp Adj. by Schedule'!K56</f>
        <v>77170.155987543854</v>
      </c>
      <c r="M16" s="28">
        <f>+'Temp Adj. by Schedule'!L56</f>
        <v>1004625.6195221099</v>
      </c>
      <c r="N16" s="105">
        <f>+'Temp Adj. by Schedule'!M56</f>
        <v>1205908.6704500681</v>
      </c>
    </row>
    <row r="17" spans="1:14">
      <c r="A17" s="15" t="s">
        <v>9</v>
      </c>
      <c r="B17" s="23">
        <f t="shared" si="0"/>
        <v>85916.234525271488</v>
      </c>
      <c r="C17" s="306">
        <f>+'Temp Adj. by Schedule'!B57</f>
        <v>31550.575685571574</v>
      </c>
      <c r="D17" s="28">
        <f>+'Temp Adj. by Schedule'!C57</f>
        <v>-19715.601014669577</v>
      </c>
      <c r="E17" s="28">
        <f>+'Temp Adj. by Schedule'!D57</f>
        <v>1750.8794533845605</v>
      </c>
      <c r="F17" s="28">
        <f>+'Temp Adj. by Schedule'!E57</f>
        <v>4765.8653889220859</v>
      </c>
      <c r="G17" s="28">
        <f>+'Temp Adj. by Schedule'!F57</f>
        <v>10037.355552603472</v>
      </c>
      <c r="H17" s="28">
        <f>+'Temp Adj. by Schedule'!G57</f>
        <v>-452.48855741942174</v>
      </c>
      <c r="I17" s="28">
        <f>+'Temp Adj. by Schedule'!H57</f>
        <v>-4922.8769815669093</v>
      </c>
      <c r="J17" s="28">
        <f>+'Temp Adj. by Schedule'!I57</f>
        <v>-2576.7411855247019</v>
      </c>
      <c r="K17" s="28">
        <f>+'Temp Adj. by Schedule'!J57</f>
        <v>166.79422679895072</v>
      </c>
      <c r="L17" s="28">
        <f>+'Temp Adj. by Schedule'!K57</f>
        <v>3161.7850842230041</v>
      </c>
      <c r="M17" s="28">
        <f>+'Temp Adj. by Schedule'!L57</f>
        <v>31370.451755894184</v>
      </c>
      <c r="N17" s="105">
        <f>+'Temp Adj. by Schedule'!M57</f>
        <v>30780.235117054261</v>
      </c>
    </row>
    <row r="18" spans="1:14">
      <c r="A18" s="9"/>
      <c r="B18" s="24"/>
      <c r="C18" s="9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1:14">
      <c r="A19" s="9" t="s">
        <v>10</v>
      </c>
      <c r="B19" s="10">
        <f t="shared" ref="B19:N19" si="1">SUM(B9:B18)</f>
        <v>135247700.22228748</v>
      </c>
      <c r="C19" s="305">
        <f t="shared" si="1"/>
        <v>83905330.935748681</v>
      </c>
      <c r="D19" s="10">
        <f t="shared" si="1"/>
        <v>-52866388.166541405</v>
      </c>
      <c r="E19" s="10">
        <f t="shared" si="1"/>
        <v>5684786.5841022013</v>
      </c>
      <c r="F19" s="10">
        <f t="shared" si="1"/>
        <v>10522397.356545873</v>
      </c>
      <c r="G19" s="10">
        <f t="shared" si="1"/>
        <v>17148007.776034351</v>
      </c>
      <c r="H19" s="10">
        <f t="shared" si="1"/>
        <v>-5572753.1751982085</v>
      </c>
      <c r="I19" s="10">
        <f t="shared" si="1"/>
        <v>-60632703.83586546</v>
      </c>
      <c r="J19" s="10">
        <f t="shared" si="1"/>
        <v>-31772218.480432089</v>
      </c>
      <c r="K19" s="10">
        <f t="shared" si="1"/>
        <v>2059113.5887056135</v>
      </c>
      <c r="L19" s="10">
        <f t="shared" si="1"/>
        <v>7093495.054969986</v>
      </c>
      <c r="M19" s="10">
        <f t="shared" si="1"/>
        <v>77005913.266229093</v>
      </c>
      <c r="N19" s="11">
        <f t="shared" si="1"/>
        <v>82672719.317988798</v>
      </c>
    </row>
    <row r="20" spans="1:14">
      <c r="A20" s="9"/>
      <c r="B20" s="24"/>
      <c r="C20" s="16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8"/>
    </row>
    <row r="21" spans="1:14" s="5" customFormat="1">
      <c r="A21" s="19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2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37" workbookViewId="0">
      <selection activeCell="A56" sqref="A56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470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3" ht="15.75">
      <c r="A2" s="470" t="s">
        <v>232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</row>
    <row r="3" spans="1:13">
      <c r="B3" s="245"/>
      <c r="C3" s="243" t="s">
        <v>173</v>
      </c>
      <c r="D3" s="244"/>
      <c r="E3" s="244"/>
    </row>
    <row r="4" spans="1:13">
      <c r="B4" s="245"/>
      <c r="C4" s="246" t="s">
        <v>142</v>
      </c>
      <c r="D4" s="247"/>
      <c r="E4" s="247"/>
    </row>
    <row r="5" spans="1:13">
      <c r="A5" s="235" t="s">
        <v>64</v>
      </c>
      <c r="B5" s="30"/>
      <c r="C5" s="235" t="s">
        <v>121</v>
      </c>
      <c r="D5" s="235" t="s">
        <v>129</v>
      </c>
      <c r="E5" s="235" t="s">
        <v>130</v>
      </c>
    </row>
    <row r="6" spans="1:13">
      <c r="A6" s="236">
        <f>'Summary Sheet_ Pre Migration'!P45</f>
        <v>43101</v>
      </c>
      <c r="B6" s="83"/>
      <c r="C6" s="299">
        <f>'Summary Sheet_ Pre Migration'!R45</f>
        <v>45745.730302000004</v>
      </c>
      <c r="D6" s="299">
        <f>'Summary Sheet_ Pre Migration'!S45</f>
        <v>46069.022971372666</v>
      </c>
      <c r="E6" s="299">
        <f>D6-C6</f>
        <v>323.2926693726622</v>
      </c>
    </row>
    <row r="7" spans="1:13">
      <c r="A7" s="236">
        <f>'Summary Sheet_ Pre Migration'!P46</f>
        <v>43132</v>
      </c>
      <c r="B7" s="83"/>
      <c r="C7" s="299">
        <f>'Summary Sheet_ Pre Migration'!R46</f>
        <v>43929.830578000001</v>
      </c>
      <c r="D7" s="299">
        <f>'Summary Sheet_ Pre Migration'!S46</f>
        <v>43733.919691333955</v>
      </c>
      <c r="E7" s="299">
        <f t="shared" ref="E7:E17" si="0">D7-C7</f>
        <v>-195.91088666604628</v>
      </c>
    </row>
    <row r="8" spans="1:13">
      <c r="A8" s="236">
        <f>'Summary Sheet_ Pre Migration'!P47</f>
        <v>43160</v>
      </c>
      <c r="B8" s="83"/>
      <c r="C8" s="299">
        <f>'Summary Sheet_ Pre Migration'!R47</f>
        <v>44503.265692999994</v>
      </c>
      <c r="D8" s="299">
        <f>'Summary Sheet_ Pre Migration'!S47</f>
        <v>44486.104677806674</v>
      </c>
      <c r="E8" s="299">
        <f t="shared" si="0"/>
        <v>-17.161015193320054</v>
      </c>
    </row>
    <row r="9" spans="1:13">
      <c r="A9" s="236">
        <f>'Summary Sheet_ Pre Migration'!P48</f>
        <v>43191</v>
      </c>
      <c r="B9" s="83"/>
      <c r="C9" s="299">
        <f>'Summary Sheet_ Pre Migration'!R48</f>
        <v>42551.050405000002</v>
      </c>
      <c r="D9" s="299">
        <f>'Summary Sheet_ Pre Migration'!S48</f>
        <v>42585.838534201735</v>
      </c>
      <c r="E9" s="299">
        <f t="shared" si="0"/>
        <v>34.788129201733682</v>
      </c>
    </row>
    <row r="10" spans="1:13">
      <c r="A10" s="236">
        <f>'Summary Sheet_ Pre Migration'!P49</f>
        <v>43221</v>
      </c>
      <c r="B10" s="83"/>
      <c r="C10" s="299">
        <f>'Summary Sheet_ Pre Migration'!R49</f>
        <v>42098.019358999998</v>
      </c>
      <c r="D10" s="299">
        <f>'Summary Sheet_ Pre Migration'!S49</f>
        <v>42098.70113286272</v>
      </c>
      <c r="E10" s="299">
        <f t="shared" si="0"/>
        <v>0.68177386272145668</v>
      </c>
    </row>
    <row r="11" spans="1:13">
      <c r="A11" s="236">
        <f>'Summary Sheet_ Pre Migration'!P50</f>
        <v>43252</v>
      </c>
      <c r="B11" s="83"/>
      <c r="C11" s="299">
        <f>'Summary Sheet_ Pre Migration'!R50</f>
        <v>36454.394177000002</v>
      </c>
      <c r="D11" s="299">
        <f>'Summary Sheet_ Pre Migration'!S50</f>
        <v>36355.963409268283</v>
      </c>
      <c r="E11" s="299">
        <f t="shared" si="0"/>
        <v>-98.430767731719243</v>
      </c>
    </row>
    <row r="12" spans="1:13">
      <c r="A12" s="236">
        <f>'Summary Sheet_ Pre Migration'!P51</f>
        <v>43282</v>
      </c>
      <c r="B12" s="83"/>
      <c r="C12" s="299">
        <f>'Summary Sheet_ Pre Migration'!R51</f>
        <v>48717.375324000001</v>
      </c>
      <c r="D12" s="299">
        <f>'Summary Sheet_ Pre Migration'!S51</f>
        <v>47638.125478356735</v>
      </c>
      <c r="E12" s="299">
        <f t="shared" si="0"/>
        <v>-1079.2498456432659</v>
      </c>
    </row>
    <row r="13" spans="1:13">
      <c r="A13" s="236">
        <f>'Summary Sheet_ Pre Migration'!P52</f>
        <v>43313</v>
      </c>
      <c r="B13" s="83"/>
      <c r="C13" s="299">
        <f>'Summary Sheet_ Pre Migration'!R52</f>
        <v>46696.152519000003</v>
      </c>
      <c r="D13" s="299">
        <f>'Summary Sheet_ Pre Migration'!S52</f>
        <v>46131.249610161714</v>
      </c>
      <c r="E13" s="299">
        <f t="shared" si="0"/>
        <v>-564.90290883828857</v>
      </c>
    </row>
    <row r="14" spans="1:13">
      <c r="A14" s="236">
        <f>'Summary Sheet_ Pre Migration'!P53</f>
        <v>43344</v>
      </c>
      <c r="B14" s="83"/>
      <c r="C14" s="299">
        <f>'Summary Sheet_ Pre Migration'!R53</f>
        <v>43379.395791000003</v>
      </c>
      <c r="D14" s="299">
        <f>'Summary Sheet_ Pre Migration'!S53</f>
        <v>43415.962344298205</v>
      </c>
      <c r="E14" s="299">
        <f t="shared" si="0"/>
        <v>36.566553298202052</v>
      </c>
    </row>
    <row r="15" spans="1:13">
      <c r="A15" s="236">
        <f>'Summary Sheet_ Pre Migration'!P54</f>
        <v>43374</v>
      </c>
      <c r="B15" s="83"/>
      <c r="C15" s="299">
        <f>'Summary Sheet_ Pre Migration'!R54</f>
        <v>35046.087943999999</v>
      </c>
      <c r="D15" s="299">
        <f>'Summary Sheet_ Pre Migration'!S54</f>
        <v>35113.31472737169</v>
      </c>
      <c r="E15" s="299">
        <f t="shared" si="0"/>
        <v>67.226783371690544</v>
      </c>
    </row>
    <row r="16" spans="1:13">
      <c r="A16" s="236">
        <f>'Summary Sheet_ Pre Migration'!P55</f>
        <v>43405</v>
      </c>
      <c r="B16" s="83"/>
      <c r="C16" s="299">
        <f>'Summary Sheet_ Pre Migration'!R55</f>
        <v>47156.353951999998</v>
      </c>
      <c r="D16" s="299">
        <f>'Summary Sheet_ Pre Migration'!S55</f>
        <v>47515.206209027754</v>
      </c>
      <c r="E16" s="299">
        <f t="shared" si="0"/>
        <v>358.85225702775642</v>
      </c>
    </row>
    <row r="17" spans="1:13">
      <c r="A17" s="239">
        <f>'Summary Sheet_ Pre Migration'!P56</f>
        <v>43435</v>
      </c>
      <c r="B17" s="83"/>
      <c r="C17" s="301">
        <f>'Summary Sheet_ Pre Migration'!R56</f>
        <v>42267.793201</v>
      </c>
      <c r="D17" s="301">
        <f>'Summary Sheet_ Pre Migration'!S56</f>
        <v>42578.806473124998</v>
      </c>
      <c r="E17" s="301">
        <f t="shared" si="0"/>
        <v>311.01327212499746</v>
      </c>
    </row>
    <row r="18" spans="1:13">
      <c r="A18" s="236" t="s">
        <v>21</v>
      </c>
      <c r="B18" s="83"/>
      <c r="C18" s="83">
        <f>SUM(C6:C17)</f>
        <v>518545.44924500003</v>
      </c>
      <c r="D18" s="83">
        <f t="shared" ref="D18:E18" si="1">SUM(D6:D17)</f>
        <v>517722.21525918704</v>
      </c>
      <c r="E18" s="83">
        <f t="shared" si="1"/>
        <v>-823.2339858128762</v>
      </c>
    </row>
    <row r="20" spans="1:13" ht="15.75">
      <c r="A20" s="470" t="s">
        <v>135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</row>
    <row r="21" spans="1:13" ht="15.75">
      <c r="A21" s="470" t="s">
        <v>233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</row>
    <row r="22" spans="1:13">
      <c r="C22" s="472" t="s">
        <v>234</v>
      </c>
      <c r="D22" s="472"/>
      <c r="E22" s="472"/>
      <c r="F22" s="472"/>
      <c r="G22" s="472"/>
    </row>
    <row r="23" spans="1:13">
      <c r="A23" s="235" t="s">
        <v>64</v>
      </c>
      <c r="C23" s="234" t="s">
        <v>235</v>
      </c>
      <c r="D23" s="234" t="s">
        <v>236</v>
      </c>
      <c r="E23" s="234" t="s">
        <v>237</v>
      </c>
      <c r="F23" s="234" t="s">
        <v>238</v>
      </c>
      <c r="G23" s="234" t="s">
        <v>222</v>
      </c>
      <c r="H23" s="234" t="s">
        <v>21</v>
      </c>
    </row>
    <row r="24" spans="1:13">
      <c r="A24" s="236">
        <f>A6</f>
        <v>43101</v>
      </c>
      <c r="C24" s="403">
        <f t="array" ref="C24:C35">TRANSPOSE('(C)Sch 40 Migration kWh'!T185:AE185)</f>
        <v>1.7721873782878125E-3</v>
      </c>
      <c r="D24" s="404">
        <f t="array" ref="D24:D35">TRANSPOSE('(C)Sch 40 Migration kWh'!T186:AE186)</f>
        <v>1.4463186911424536E-2</v>
      </c>
      <c r="E24" s="404">
        <f t="array" ref="E24:E35">TRANSPOSE('(C)Sch 40 Migration kWh'!T187:AE187)</f>
        <v>8.3568460940625117E-2</v>
      </c>
      <c r="F24" s="404">
        <f t="array" ref="F24:F35">TRANSPOSE('(C)Sch 40 Migration kWh'!T188:AE188)</f>
        <v>0.20041216089974917</v>
      </c>
      <c r="G24" s="404">
        <f t="array" ref="G24:G35">TRANSPOSE('(C)Sch 40 Migration kWh'!T189:AE189)</f>
        <v>0.69978400386991335</v>
      </c>
      <c r="H24" s="405">
        <f>SUM(C24:G24)</f>
        <v>1</v>
      </c>
    </row>
    <row r="25" spans="1:13">
      <c r="A25" s="236">
        <f t="shared" ref="A25:A35" si="2">A7</f>
        <v>43132</v>
      </c>
      <c r="C25" s="403">
        <v>1.7930868387152875E-3</v>
      </c>
      <c r="D25" s="404">
        <v>1.4089970300363101E-2</v>
      </c>
      <c r="E25" s="198">
        <v>7.8235221943722524E-2</v>
      </c>
      <c r="F25" s="198">
        <v>0.26305587797630903</v>
      </c>
      <c r="G25" s="198">
        <v>0.64282584294089007</v>
      </c>
      <c r="H25" s="405">
        <f t="shared" ref="H25:H35" si="3">SUM(C25:G25)</f>
        <v>1</v>
      </c>
    </row>
    <row r="26" spans="1:13">
      <c r="A26" s="236">
        <f t="shared" si="2"/>
        <v>43160</v>
      </c>
      <c r="C26" s="403">
        <v>1.6681920977129141E-3</v>
      </c>
      <c r="D26" s="404">
        <v>1.4676450277763872E-2</v>
      </c>
      <c r="E26" s="198">
        <v>8.9338158267388362E-2</v>
      </c>
      <c r="F26" s="198">
        <v>0.15887372585761567</v>
      </c>
      <c r="G26" s="198">
        <v>0.73544347349951922</v>
      </c>
      <c r="H26" s="405">
        <f t="shared" si="3"/>
        <v>1</v>
      </c>
    </row>
    <row r="27" spans="1:13">
      <c r="A27" s="236">
        <f t="shared" si="2"/>
        <v>43191</v>
      </c>
      <c r="C27" s="403">
        <v>1.6432026169411747E-3</v>
      </c>
      <c r="D27" s="404">
        <v>1.3296146003628771E-2</v>
      </c>
      <c r="E27" s="198">
        <v>8.2245205124423251E-2</v>
      </c>
      <c r="F27" s="198">
        <v>0.20592675358531676</v>
      </c>
      <c r="G27" s="198">
        <v>0.69688869266969</v>
      </c>
      <c r="H27" s="405">
        <f t="shared" si="3"/>
        <v>1</v>
      </c>
    </row>
    <row r="28" spans="1:13">
      <c r="A28" s="236">
        <f t="shared" si="2"/>
        <v>43221</v>
      </c>
      <c r="C28" s="403">
        <v>1.6787011988354226E-3</v>
      </c>
      <c r="D28" s="404">
        <v>1.3527595192002133E-2</v>
      </c>
      <c r="E28" s="198">
        <v>8.8435865229012423E-2</v>
      </c>
      <c r="F28" s="198">
        <v>0.21635220771180175</v>
      </c>
      <c r="G28" s="198">
        <v>0.68000563066834829</v>
      </c>
      <c r="H28" s="405">
        <f t="shared" si="3"/>
        <v>1</v>
      </c>
    </row>
    <row r="29" spans="1:13">
      <c r="A29" s="236">
        <f t="shared" si="2"/>
        <v>43252</v>
      </c>
      <c r="C29" s="403">
        <v>1.8088355444249352E-3</v>
      </c>
      <c r="D29" s="404">
        <v>1.5278817433027E-2</v>
      </c>
      <c r="E29" s="198">
        <v>6.9962626176840362E-2</v>
      </c>
      <c r="F29" s="198">
        <v>0.16379919324947184</v>
      </c>
      <c r="G29" s="198">
        <v>0.7491505275962359</v>
      </c>
      <c r="H29" s="405">
        <f t="shared" si="3"/>
        <v>1</v>
      </c>
    </row>
    <row r="30" spans="1:13">
      <c r="A30" s="236">
        <f t="shared" si="2"/>
        <v>43282</v>
      </c>
      <c r="C30" s="403">
        <v>1.5416061757519714E-3</v>
      </c>
      <c r="D30" s="404">
        <v>1.1660727751503668E-2</v>
      </c>
      <c r="E30" s="198">
        <v>0.10379993616650619</v>
      </c>
      <c r="F30" s="198">
        <v>0.27971952755825019</v>
      </c>
      <c r="G30" s="198">
        <v>0.6032782023479879</v>
      </c>
      <c r="H30" s="405">
        <f t="shared" si="3"/>
        <v>1</v>
      </c>
    </row>
    <row r="31" spans="1:13">
      <c r="A31" s="236">
        <f t="shared" si="2"/>
        <v>43313</v>
      </c>
      <c r="C31" s="403">
        <v>1.5909448978330097E-3</v>
      </c>
      <c r="D31" s="404">
        <v>1.3485694505557621E-2</v>
      </c>
      <c r="E31" s="198">
        <v>9.3391855503973137E-2</v>
      </c>
      <c r="F31" s="198">
        <v>0.21576083286868045</v>
      </c>
      <c r="G31" s="198">
        <v>0.67577067222395582</v>
      </c>
      <c r="H31" s="405">
        <f t="shared" si="3"/>
        <v>1</v>
      </c>
    </row>
    <row r="32" spans="1:13">
      <c r="A32" s="236">
        <f t="shared" si="2"/>
        <v>43344</v>
      </c>
      <c r="C32" s="403">
        <v>1.5742726535762437E-3</v>
      </c>
      <c r="D32" s="404">
        <v>1.377773845547603E-2</v>
      </c>
      <c r="E32" s="198">
        <v>9.5217088996947349E-2</v>
      </c>
      <c r="F32" s="198">
        <v>0.19784506921926395</v>
      </c>
      <c r="G32" s="198">
        <v>0.69158583067473645</v>
      </c>
      <c r="H32" s="405">
        <f t="shared" si="3"/>
        <v>1</v>
      </c>
    </row>
    <row r="33" spans="1:17">
      <c r="A33" s="236">
        <f t="shared" si="2"/>
        <v>43374</v>
      </c>
      <c r="C33" s="403">
        <v>1.9204997122788631E-3</v>
      </c>
      <c r="D33" s="404">
        <v>1.6139604972161371E-2</v>
      </c>
      <c r="E33" s="198">
        <v>0.10492355394769179</v>
      </c>
      <c r="F33" s="198">
        <v>0.37753715557460094</v>
      </c>
      <c r="G33" s="198">
        <v>0.499479185793267</v>
      </c>
      <c r="H33" s="405">
        <f t="shared" si="3"/>
        <v>1</v>
      </c>
    </row>
    <row r="34" spans="1:17">
      <c r="A34" s="236">
        <f t="shared" si="2"/>
        <v>43405</v>
      </c>
      <c r="C34" s="403">
        <v>1.7058145522140314E-3</v>
      </c>
      <c r="D34" s="404">
        <v>1.0457126702980895E-2</v>
      </c>
      <c r="E34" s="198">
        <v>7.1279043035491485E-2</v>
      </c>
      <c r="F34" s="198">
        <v>0.15385412405797166</v>
      </c>
      <c r="G34" s="198">
        <v>0.76270389165134189</v>
      </c>
      <c r="H34" s="405">
        <f t="shared" si="3"/>
        <v>1</v>
      </c>
    </row>
    <row r="35" spans="1:17">
      <c r="A35" s="236">
        <f t="shared" si="2"/>
        <v>43435</v>
      </c>
      <c r="C35" s="403">
        <v>1.8787590381461592E-3</v>
      </c>
      <c r="D35" s="404">
        <v>1.2763618560268369E-2</v>
      </c>
      <c r="E35" s="198">
        <v>9.5530890493125811E-2</v>
      </c>
      <c r="F35" s="198">
        <v>0.21781122525580587</v>
      </c>
      <c r="G35" s="198">
        <v>0.67201550665265375</v>
      </c>
      <c r="H35" s="405">
        <f t="shared" si="3"/>
        <v>1</v>
      </c>
    </row>
    <row r="36" spans="1:17">
      <c r="A36" s="238"/>
    </row>
    <row r="37" spans="1:17" ht="15.75">
      <c r="A37" s="470" t="s">
        <v>135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</row>
    <row r="38" spans="1:17" ht="15.75">
      <c r="A38" s="470" t="s">
        <v>233</v>
      </c>
      <c r="B38" s="463"/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</row>
    <row r="39" spans="1:17">
      <c r="A39" s="236"/>
    </row>
    <row r="40" spans="1:17">
      <c r="C40" s="243" t="s">
        <v>141</v>
      </c>
      <c r="D40" s="244"/>
      <c r="E40" s="244"/>
      <c r="G40" s="243" t="s">
        <v>145</v>
      </c>
      <c r="H40" s="244"/>
      <c r="I40" s="244"/>
      <c r="K40" s="243" t="s">
        <v>144</v>
      </c>
      <c r="L40" s="244"/>
      <c r="M40" s="244"/>
      <c r="O40" s="243" t="s">
        <v>146</v>
      </c>
      <c r="P40" s="244"/>
      <c r="Q40" s="244"/>
    </row>
    <row r="41" spans="1:17">
      <c r="C41" s="246" t="s">
        <v>133</v>
      </c>
      <c r="D41" s="247"/>
      <c r="E41" s="247"/>
      <c r="G41" s="246" t="s">
        <v>134</v>
      </c>
      <c r="H41" s="247"/>
      <c r="I41" s="247"/>
      <c r="K41" s="246" t="s">
        <v>160</v>
      </c>
      <c r="L41" s="247"/>
      <c r="M41" s="247"/>
      <c r="O41" s="246" t="s">
        <v>136</v>
      </c>
      <c r="P41" s="247"/>
      <c r="Q41" s="247"/>
    </row>
    <row r="42" spans="1:17">
      <c r="A42" s="235" t="s">
        <v>64</v>
      </c>
      <c r="C42" s="235" t="s">
        <v>121</v>
      </c>
      <c r="D42" s="235" t="s">
        <v>129</v>
      </c>
      <c r="E42" s="235" t="s">
        <v>130</v>
      </c>
      <c r="G42" s="235" t="s">
        <v>121</v>
      </c>
      <c r="H42" s="235" t="s">
        <v>129</v>
      </c>
      <c r="I42" s="235" t="s">
        <v>130</v>
      </c>
      <c r="K42" s="235" t="s">
        <v>121</v>
      </c>
      <c r="L42" s="235" t="s">
        <v>129</v>
      </c>
      <c r="M42" s="235" t="s">
        <v>130</v>
      </c>
      <c r="O42" s="235" t="s">
        <v>121</v>
      </c>
      <c r="P42" s="235" t="s">
        <v>129</v>
      </c>
      <c r="Q42" s="235" t="s">
        <v>130</v>
      </c>
    </row>
    <row r="43" spans="1:17">
      <c r="A43" s="236">
        <f>A24</f>
        <v>43101</v>
      </c>
      <c r="C43" s="299">
        <f t="array" ref="C43:C54">TRANSPOSE('(C)Sch 40 Migration kWh'!E185:P185)/1000</f>
        <v>81.069999999999993</v>
      </c>
      <c r="D43" s="299">
        <f>D6*C24</f>
        <v>81.642941039917929</v>
      </c>
      <c r="E43" s="299">
        <f>D43-C43</f>
        <v>0.57294103991793577</v>
      </c>
      <c r="G43" s="299">
        <f t="array" ref="G43:G54">TRANSPOSE('(C)Sch 40 Migration kWh'!E186:P186)/1000</f>
        <v>661.62900000000002</v>
      </c>
      <c r="H43" s="299">
        <f>D6*D24</f>
        <v>666.3048900616734</v>
      </c>
      <c r="I43" s="299">
        <f>H43-G43</f>
        <v>4.6758900616733854</v>
      </c>
      <c r="K43" s="299">
        <f t="array" ref="K43:K54">TRANSPOSE('(C)Sch 40 Migration kWh'!E187:P187)/1000</f>
        <v>3822.9</v>
      </c>
      <c r="L43" s="299">
        <f>D6*E24</f>
        <v>3849.9173467559181</v>
      </c>
      <c r="M43" s="299">
        <f>L43-K43</f>
        <v>27.01734675591797</v>
      </c>
      <c r="N43" s="299"/>
      <c r="O43" s="299">
        <f t="array" ref="O43:O54">TRANSPOSE('(C)Sch 40 Migration kWh'!E188:P188)/1000</f>
        <v>9168</v>
      </c>
      <c r="P43" s="299">
        <f>D6*F24</f>
        <v>9232.7924442329786</v>
      </c>
      <c r="Q43" s="299">
        <f>P43-O43</f>
        <v>64.792444232978596</v>
      </c>
    </row>
    <row r="44" spans="1:17">
      <c r="A44" s="236">
        <f t="shared" ref="A44:A54" si="4">A25</f>
        <v>43132</v>
      </c>
      <c r="C44" s="299">
        <v>78.77</v>
      </c>
      <c r="D44" s="299">
        <f t="shared" ref="D44:D54" si="5">D7*C25</f>
        <v>78.418715803962257</v>
      </c>
      <c r="E44" s="299">
        <f t="shared" ref="E44:E54" si="6">D44-C44</f>
        <v>-0.35128419603773864</v>
      </c>
      <c r="G44" s="299">
        <v>618.97</v>
      </c>
      <c r="H44" s="299">
        <f t="shared" ref="H44:H54" si="7">D7*D25</f>
        <v>616.20962956936046</v>
      </c>
      <c r="I44" s="299">
        <f t="shared" ref="I44:I54" si="8">H44-G44</f>
        <v>-2.7603704306395684</v>
      </c>
      <c r="K44" s="299">
        <v>3436.86</v>
      </c>
      <c r="L44" s="299">
        <f t="shared" ref="L44:L54" si="9">D7*E25</f>
        <v>3421.5329135204488</v>
      </c>
      <c r="M44" s="299">
        <f t="shared" ref="M44:M54" si="10">L44-K44</f>
        <v>-15.327086479551326</v>
      </c>
      <c r="N44" s="299"/>
      <c r="O44" s="299">
        <v>11556</v>
      </c>
      <c r="P44" s="299">
        <f t="shared" ref="P44:P54" si="11">D7*F25</f>
        <v>11504.464641749244</v>
      </c>
      <c r="Q44" s="299">
        <f t="shared" ref="Q44:Q54" si="12">P44-O44</f>
        <v>-51.535358250755962</v>
      </c>
    </row>
    <row r="45" spans="1:17">
      <c r="A45" s="236">
        <f t="shared" si="4"/>
        <v>43160</v>
      </c>
      <c r="C45" s="299">
        <v>74.239999999999995</v>
      </c>
      <c r="D45" s="299">
        <f t="shared" si="5"/>
        <v>74.211368281546598</v>
      </c>
      <c r="E45" s="299">
        <f t="shared" si="6"/>
        <v>-2.863171845339707E-2</v>
      </c>
      <c r="G45" s="299">
        <v>653.15</v>
      </c>
      <c r="H45" s="299">
        <f t="shared" si="7"/>
        <v>652.89810335522839</v>
      </c>
      <c r="I45" s="299">
        <f t="shared" si="8"/>
        <v>-0.25189664477159113</v>
      </c>
      <c r="K45" s="299">
        <v>3975.84</v>
      </c>
      <c r="L45" s="299">
        <f t="shared" si="9"/>
        <v>3974.3066604054984</v>
      </c>
      <c r="M45" s="299">
        <f t="shared" si="10"/>
        <v>-1.5333395945017401</v>
      </c>
      <c r="N45" s="299"/>
      <c r="O45" s="299">
        <v>7070.4</v>
      </c>
      <c r="P45" s="299">
        <f t="shared" si="11"/>
        <v>7067.6731990550516</v>
      </c>
      <c r="Q45" s="299">
        <f t="shared" si="12"/>
        <v>-2.7268009449480815</v>
      </c>
    </row>
    <row r="46" spans="1:17">
      <c r="A46" s="236">
        <f t="shared" si="4"/>
        <v>43191</v>
      </c>
      <c r="C46" s="299">
        <v>69.92</v>
      </c>
      <c r="D46" s="299">
        <f t="shared" si="5"/>
        <v>69.977161324034611</v>
      </c>
      <c r="E46" s="299">
        <f t="shared" si="6"/>
        <v>5.7161324034609606E-2</v>
      </c>
      <c r="G46" s="299">
        <v>565.76499999999999</v>
      </c>
      <c r="H46" s="299">
        <f t="shared" si="7"/>
        <v>566.22752683770648</v>
      </c>
      <c r="I46" s="299">
        <f t="shared" si="8"/>
        <v>0.46252683770649128</v>
      </c>
      <c r="K46" s="299">
        <v>3499.62</v>
      </c>
      <c r="L46" s="299">
        <f t="shared" si="9"/>
        <v>3502.4810256409896</v>
      </c>
      <c r="M46" s="299">
        <f t="shared" si="10"/>
        <v>2.8610256409897374</v>
      </c>
      <c r="N46" s="299"/>
      <c r="O46" s="299">
        <v>8762.4</v>
      </c>
      <c r="P46" s="299">
        <f t="shared" si="11"/>
        <v>8769.563478056647</v>
      </c>
      <c r="Q46" s="299">
        <f t="shared" si="12"/>
        <v>7.1634780566473637</v>
      </c>
    </row>
    <row r="47" spans="1:17">
      <c r="A47" s="236">
        <f t="shared" si="4"/>
        <v>43221</v>
      </c>
      <c r="C47" s="299">
        <v>70.67</v>
      </c>
      <c r="D47" s="299">
        <f t="shared" si="5"/>
        <v>70.671140061150808</v>
      </c>
      <c r="E47" s="299">
        <f t="shared" si="6"/>
        <v>1.1400611508065595E-3</v>
      </c>
      <c r="G47" s="299">
        <v>569.48500000000001</v>
      </c>
      <c r="H47" s="299">
        <f t="shared" si="7"/>
        <v>569.49418703444849</v>
      </c>
      <c r="I47" s="299">
        <f t="shared" si="8"/>
        <v>9.1870344484732414E-3</v>
      </c>
      <c r="K47" s="299">
        <v>3722.9749999999999</v>
      </c>
      <c r="L47" s="299">
        <f t="shared" si="9"/>
        <v>3723.0350597023203</v>
      </c>
      <c r="M47" s="299">
        <f t="shared" si="10"/>
        <v>6.0059702320359065E-2</v>
      </c>
      <c r="N47" s="299"/>
      <c r="O47" s="299">
        <v>9108</v>
      </c>
      <c r="P47" s="299">
        <f t="shared" si="11"/>
        <v>9108.1469318941781</v>
      </c>
      <c r="Q47" s="299">
        <f t="shared" si="12"/>
        <v>0.14693189417812391</v>
      </c>
    </row>
    <row r="48" spans="1:17">
      <c r="A48" s="236">
        <f t="shared" si="4"/>
        <v>43252</v>
      </c>
      <c r="C48" s="299">
        <v>65.94</v>
      </c>
      <c r="D48" s="299">
        <f t="shared" si="5"/>
        <v>65.761958866496812</v>
      </c>
      <c r="E48" s="299">
        <f t="shared" si="6"/>
        <v>-0.17804113350318573</v>
      </c>
      <c r="G48" s="299">
        <v>556.98</v>
      </c>
      <c r="H48" s="299">
        <f t="shared" si="7"/>
        <v>555.47612753201997</v>
      </c>
      <c r="I48" s="299">
        <f t="shared" si="8"/>
        <v>-1.5038724679800453</v>
      </c>
      <c r="K48" s="299">
        <v>2550.4450000000002</v>
      </c>
      <c r="L48" s="299">
        <f t="shared" si="9"/>
        <v>2543.5586773015234</v>
      </c>
      <c r="M48" s="299">
        <f t="shared" si="10"/>
        <v>-6.8863226984767607</v>
      </c>
      <c r="N48" s="299"/>
      <c r="O48" s="299">
        <v>5971.2</v>
      </c>
      <c r="P48" s="299">
        <f t="shared" si="11"/>
        <v>5955.077476245463</v>
      </c>
      <c r="Q48" s="299">
        <f t="shared" si="12"/>
        <v>-16.122523754536815</v>
      </c>
    </row>
    <row r="49" spans="1:17">
      <c r="A49" s="236">
        <f t="shared" si="4"/>
        <v>43282</v>
      </c>
      <c r="C49" s="299">
        <v>75.102999999999994</v>
      </c>
      <c r="D49" s="299">
        <f t="shared" si="5"/>
        <v>73.439228438682079</v>
      </c>
      <c r="E49" s="299">
        <f t="shared" si="6"/>
        <v>-1.6637715613179154</v>
      </c>
      <c r="G49" s="299">
        <v>568.08000000000004</v>
      </c>
      <c r="H49" s="299">
        <f t="shared" si="7"/>
        <v>555.49521179508827</v>
      </c>
      <c r="I49" s="299">
        <f t="shared" si="8"/>
        <v>-12.584788204911774</v>
      </c>
      <c r="K49" s="299">
        <v>5056.8599999999997</v>
      </c>
      <c r="L49" s="299">
        <f t="shared" si="9"/>
        <v>4944.8343837454413</v>
      </c>
      <c r="M49" s="299">
        <f t="shared" si="10"/>
        <v>-112.02561625455837</v>
      </c>
      <c r="N49" s="299"/>
      <c r="O49" s="299">
        <v>13627.2</v>
      </c>
      <c r="P49" s="299">
        <f t="shared" si="11"/>
        <v>13325.313952566587</v>
      </c>
      <c r="Q49" s="299">
        <f t="shared" si="12"/>
        <v>-301.88604743341421</v>
      </c>
    </row>
    <row r="50" spans="1:17">
      <c r="A50" s="236">
        <f t="shared" si="4"/>
        <v>43313</v>
      </c>
      <c r="C50" s="299">
        <v>74.290999999999997</v>
      </c>
      <c r="D50" s="299">
        <f t="shared" si="5"/>
        <v>73.392276197947794</v>
      </c>
      <c r="E50" s="299">
        <f t="shared" si="6"/>
        <v>-0.89872380205220281</v>
      </c>
      <c r="G50" s="299">
        <v>629.73</v>
      </c>
      <c r="H50" s="299">
        <f t="shared" si="7"/>
        <v>622.11193940226497</v>
      </c>
      <c r="I50" s="299">
        <f t="shared" si="8"/>
        <v>-7.6180605977350524</v>
      </c>
      <c r="K50" s="299">
        <v>4361.04</v>
      </c>
      <c r="L50" s="299">
        <f t="shared" si="9"/>
        <v>4308.2829978099398</v>
      </c>
      <c r="M50" s="299">
        <f t="shared" si="10"/>
        <v>-52.75700219006012</v>
      </c>
      <c r="N50" s="299"/>
      <c r="O50" s="299">
        <v>10075.200000000001</v>
      </c>
      <c r="P50" s="299">
        <f t="shared" si="11"/>
        <v>9953.3168371614811</v>
      </c>
      <c r="Q50" s="299">
        <f t="shared" si="12"/>
        <v>-121.88316283851964</v>
      </c>
    </row>
    <row r="51" spans="1:17">
      <c r="A51" s="236">
        <f t="shared" si="4"/>
        <v>43344</v>
      </c>
      <c r="C51" s="299">
        <v>68.290999999999997</v>
      </c>
      <c r="D51" s="299">
        <f t="shared" si="5"/>
        <v>68.348562247324608</v>
      </c>
      <c r="E51" s="299">
        <f t="shared" si="6"/>
        <v>5.7562247324611349E-2</v>
      </c>
      <c r="G51" s="299">
        <v>597.66999999999996</v>
      </c>
      <c r="H51" s="299">
        <f t="shared" si="7"/>
        <v>598.17377397253665</v>
      </c>
      <c r="I51" s="299">
        <f t="shared" si="8"/>
        <v>0.50377397253669187</v>
      </c>
      <c r="K51" s="299">
        <v>4130.46</v>
      </c>
      <c r="L51" s="299">
        <f t="shared" si="9"/>
        <v>4133.9415504251574</v>
      </c>
      <c r="M51" s="299">
        <f t="shared" si="10"/>
        <v>3.4815504251573657</v>
      </c>
      <c r="N51" s="299"/>
      <c r="O51" s="299">
        <v>8582.4</v>
      </c>
      <c r="P51" s="299">
        <f t="shared" si="11"/>
        <v>8589.634075228636</v>
      </c>
      <c r="Q51" s="299">
        <f t="shared" si="12"/>
        <v>7.2340752286363568</v>
      </c>
    </row>
    <row r="52" spans="1:17">
      <c r="A52" s="236">
        <f t="shared" si="4"/>
        <v>43374</v>
      </c>
      <c r="C52" s="299">
        <v>67.305999999999997</v>
      </c>
      <c r="D52" s="299">
        <f t="shared" si="5"/>
        <v>67.435110831074496</v>
      </c>
      <c r="E52" s="299">
        <f t="shared" si="6"/>
        <v>0.12911083107449883</v>
      </c>
      <c r="G52" s="299">
        <v>565.63</v>
      </c>
      <c r="H52" s="299">
        <f t="shared" si="7"/>
        <v>566.71502896295522</v>
      </c>
      <c r="I52" s="299">
        <f t="shared" si="8"/>
        <v>1.0850289629552208</v>
      </c>
      <c r="K52" s="299">
        <v>3677.16</v>
      </c>
      <c r="L52" s="299">
        <f t="shared" si="9"/>
        <v>3684.2137720796641</v>
      </c>
      <c r="M52" s="299">
        <f t="shared" si="10"/>
        <v>7.0537720796642134</v>
      </c>
      <c r="N52" s="299"/>
      <c r="O52" s="299">
        <v>13231.2</v>
      </c>
      <c r="P52" s="299">
        <f t="shared" si="11"/>
        <v>13256.580964967652</v>
      </c>
      <c r="Q52" s="299">
        <f t="shared" si="12"/>
        <v>25.38096496765138</v>
      </c>
    </row>
    <row r="53" spans="1:17">
      <c r="A53" s="236">
        <f t="shared" si="4"/>
        <v>43405</v>
      </c>
      <c r="C53" s="299">
        <v>80.44</v>
      </c>
      <c r="D53" s="299">
        <f t="shared" si="5"/>
        <v>81.052130202810048</v>
      </c>
      <c r="E53" s="299">
        <f t="shared" si="6"/>
        <v>0.61213020281005015</v>
      </c>
      <c r="G53" s="299">
        <v>493.12</v>
      </c>
      <c r="H53" s="299">
        <f t="shared" si="7"/>
        <v>496.87253164606773</v>
      </c>
      <c r="I53" s="299">
        <f t="shared" si="8"/>
        <v>3.7525316460677232</v>
      </c>
      <c r="K53" s="299">
        <v>3361.26</v>
      </c>
      <c r="L53" s="299">
        <f t="shared" si="9"/>
        <v>3386.8384282135416</v>
      </c>
      <c r="M53" s="299">
        <f t="shared" si="10"/>
        <v>25.578428213541429</v>
      </c>
      <c r="N53" s="299"/>
      <c r="O53" s="299">
        <v>7255.2</v>
      </c>
      <c r="P53" s="299">
        <f t="shared" si="11"/>
        <v>7310.4104307238613</v>
      </c>
      <c r="Q53" s="299">
        <f t="shared" si="12"/>
        <v>55.210430723861464</v>
      </c>
    </row>
    <row r="54" spans="1:17">
      <c r="A54" s="236">
        <f t="shared" si="4"/>
        <v>43435</v>
      </c>
      <c r="C54" s="301">
        <v>79.411000000000001</v>
      </c>
      <c r="D54" s="299">
        <f t="shared" si="5"/>
        <v>79.995317494859776</v>
      </c>
      <c r="E54" s="301">
        <f t="shared" si="6"/>
        <v>0.58431749485977491</v>
      </c>
      <c r="G54" s="301">
        <v>539.49</v>
      </c>
      <c r="H54" s="301">
        <f t="shared" si="7"/>
        <v>543.45964457445325</v>
      </c>
      <c r="I54" s="301">
        <f t="shared" si="8"/>
        <v>3.9696445744532411</v>
      </c>
      <c r="K54" s="301">
        <v>4037.88</v>
      </c>
      <c r="L54" s="301">
        <f t="shared" si="9"/>
        <v>4067.5912985121008</v>
      </c>
      <c r="M54" s="301">
        <f t="shared" si="10"/>
        <v>29.711298512100711</v>
      </c>
      <c r="N54" s="299"/>
      <c r="O54" s="301">
        <v>9206.4</v>
      </c>
      <c r="P54" s="301">
        <f t="shared" si="11"/>
        <v>9274.1420078411938</v>
      </c>
      <c r="Q54" s="301">
        <f t="shared" si="12"/>
        <v>67.742007841194209</v>
      </c>
    </row>
    <row r="55" spans="1:17">
      <c r="A55" s="236" t="s">
        <v>21</v>
      </c>
      <c r="C55" s="83">
        <f>SUM(C43:C54)</f>
        <v>885.452</v>
      </c>
      <c r="D55" s="407">
        <f t="shared" ref="D55:E55" si="13">SUM(D43:D54)</f>
        <v>884.34591078980793</v>
      </c>
      <c r="E55" s="83">
        <f t="shared" si="13"/>
        <v>-1.1060892101921524</v>
      </c>
      <c r="G55" s="83">
        <f>SUM(G43:G54)</f>
        <v>7019.6990000000005</v>
      </c>
      <c r="H55" s="83">
        <f t="shared" ref="H55:I55" si="14">SUM(H43:H54)</f>
        <v>7009.4385947438041</v>
      </c>
      <c r="I55" s="83">
        <f t="shared" si="14"/>
        <v>-10.260405256196805</v>
      </c>
      <c r="K55" s="83">
        <f>SUM(K43:K54)</f>
        <v>45633.3</v>
      </c>
      <c r="L55" s="83">
        <f t="shared" ref="L55:M55" si="15">SUM(L43:L54)</f>
        <v>45540.534114112554</v>
      </c>
      <c r="M55" s="83">
        <f t="shared" si="15"/>
        <v>-92.765885887456534</v>
      </c>
      <c r="O55" s="83">
        <f>SUM(O43:O54)</f>
        <v>113613.59999999998</v>
      </c>
      <c r="P55" s="83">
        <f t="shared" ref="P55:Q55" si="16">SUM(P43:P54)</f>
        <v>113347.11643972296</v>
      </c>
      <c r="Q55" s="83">
        <f t="shared" si="16"/>
        <v>-266.48356027702721</v>
      </c>
    </row>
    <row r="56" spans="1:17">
      <c r="E56" s="10"/>
      <c r="I56" s="10"/>
      <c r="M56" s="10"/>
      <c r="Q56" s="10"/>
    </row>
    <row r="57" spans="1:17">
      <c r="A57" s="236"/>
    </row>
    <row r="58" spans="1:17">
      <c r="C58" s="243" t="s">
        <v>222</v>
      </c>
      <c r="D58" s="244"/>
      <c r="E58" s="244"/>
      <c r="G58" s="471" t="s">
        <v>239</v>
      </c>
      <c r="H58" s="471"/>
      <c r="I58" s="471"/>
    </row>
    <row r="59" spans="1:17">
      <c r="C59" s="246"/>
      <c r="D59" s="247"/>
      <c r="E59" s="247"/>
    </row>
    <row r="60" spans="1:17">
      <c r="A60" s="235" t="s">
        <v>64</v>
      </c>
      <c r="C60" s="235" t="s">
        <v>121</v>
      </c>
      <c r="D60" s="235" t="s">
        <v>129</v>
      </c>
      <c r="E60" s="235" t="s">
        <v>130</v>
      </c>
      <c r="G60" s="235" t="s">
        <v>121</v>
      </c>
      <c r="H60" s="235" t="s">
        <v>129</v>
      </c>
      <c r="I60" s="235" t="s">
        <v>130</v>
      </c>
    </row>
    <row r="61" spans="1:17">
      <c r="A61" s="236">
        <f>A43</f>
        <v>43101</v>
      </c>
      <c r="C61" s="65">
        <f t="array" ref="C61:C72">TRANSPOSE('(C)Sch 40 Migration kWh'!E191:P191)/1000</f>
        <v>32012.128000000001</v>
      </c>
      <c r="D61" s="299">
        <f>D6*G24</f>
        <v>32238.365349282176</v>
      </c>
      <c r="E61" s="299">
        <f>D61-C61</f>
        <v>226.23734928217527</v>
      </c>
      <c r="G61" s="299">
        <f>C6-SUM(C43,G43,K43,O43,C61)</f>
        <v>3.3020000046235509E-3</v>
      </c>
      <c r="H61" s="299">
        <f>D6-SUM(D43,H43,L43,P43,D61)</f>
        <v>0</v>
      </c>
      <c r="I61" s="299">
        <f>E6-SUM(E43,I43,M43,Q43,E61)</f>
        <v>-3.3020000009855721E-3</v>
      </c>
    </row>
    <row r="62" spans="1:17">
      <c r="A62" s="236">
        <f t="shared" ref="A62:A72" si="17">A44</f>
        <v>43132</v>
      </c>
      <c r="C62" s="65">
        <v>28239.23</v>
      </c>
      <c r="D62" s="299">
        <f t="shared" ref="D62:D72" si="18">D7*G25</f>
        <v>28113.293790690939</v>
      </c>
      <c r="E62" s="299">
        <f t="shared" ref="E62:E72" si="19">D62-C62</f>
        <v>-125.93620930906036</v>
      </c>
      <c r="G62" s="299">
        <f t="shared" ref="G62:I72" si="20">C7-SUM(C44,G44,K44,O44,C62)</f>
        <v>5.7799999922281131E-4</v>
      </c>
      <c r="H62" s="299">
        <f t="shared" si="20"/>
        <v>0</v>
      </c>
      <c r="I62" s="299">
        <f t="shared" si="20"/>
        <v>-5.7800000132601781E-4</v>
      </c>
    </row>
    <row r="63" spans="1:17">
      <c r="A63" s="236">
        <f t="shared" si="17"/>
        <v>43160</v>
      </c>
      <c r="C63" s="65">
        <v>32729.637999999999</v>
      </c>
      <c r="D63" s="299">
        <f t="shared" si="18"/>
        <v>32717.015346709351</v>
      </c>
      <c r="E63" s="299">
        <f t="shared" si="19"/>
        <v>-12.622653290647577</v>
      </c>
      <c r="G63" s="299">
        <f t="shared" si="20"/>
        <v>-2.3070000024745241E-3</v>
      </c>
      <c r="H63" s="299">
        <f t="shared" si="20"/>
        <v>0</v>
      </c>
      <c r="I63" s="299">
        <f t="shared" si="20"/>
        <v>2.3070000023324155E-3</v>
      </c>
    </row>
    <row r="64" spans="1:17">
      <c r="A64" s="236">
        <f t="shared" si="17"/>
        <v>43191</v>
      </c>
      <c r="C64" s="65">
        <v>29653.347000000002</v>
      </c>
      <c r="D64" s="299">
        <f t="shared" si="18"/>
        <v>29677.589342342355</v>
      </c>
      <c r="E64" s="299">
        <f t="shared" si="19"/>
        <v>24.242342342353368</v>
      </c>
      <c r="G64" s="299">
        <f t="shared" si="20"/>
        <v>-1.5950000015436672E-3</v>
      </c>
      <c r="H64" s="299">
        <f t="shared" si="20"/>
        <v>0</v>
      </c>
      <c r="I64" s="299">
        <f t="shared" si="20"/>
        <v>1.5950000021121014E-3</v>
      </c>
    </row>
    <row r="65" spans="1:9">
      <c r="A65" s="236">
        <f t="shared" si="17"/>
        <v>43221</v>
      </c>
      <c r="C65" s="65">
        <v>28626.892</v>
      </c>
      <c r="D65" s="299">
        <f t="shared" si="18"/>
        <v>28627.353814170623</v>
      </c>
      <c r="E65" s="299">
        <f t="shared" si="19"/>
        <v>0.46181417062325636</v>
      </c>
      <c r="G65" s="299">
        <f t="shared" si="20"/>
        <v>-2.6409999991301447E-3</v>
      </c>
      <c r="H65" s="299">
        <f t="shared" si="20"/>
        <v>0</v>
      </c>
      <c r="I65" s="299">
        <f t="shared" si="20"/>
        <v>2.6410000004375433E-3</v>
      </c>
    </row>
    <row r="66" spans="1:9">
      <c r="A66" s="236">
        <f t="shared" si="17"/>
        <v>43252</v>
      </c>
      <c r="C66" s="65">
        <v>27309.827000000001</v>
      </c>
      <c r="D66" s="299">
        <f t="shared" si="18"/>
        <v>27236.089169322782</v>
      </c>
      <c r="E66" s="299">
        <f t="shared" si="19"/>
        <v>-73.737830677218881</v>
      </c>
      <c r="G66" s="299">
        <f t="shared" si="20"/>
        <v>2.1770000021206215E-3</v>
      </c>
      <c r="H66" s="299">
        <f t="shared" si="20"/>
        <v>0</v>
      </c>
      <c r="I66" s="299">
        <f t="shared" si="20"/>
        <v>-2.1770000035559178E-3</v>
      </c>
    </row>
    <row r="67" spans="1:9">
      <c r="A67" s="236">
        <f t="shared" si="17"/>
        <v>43282</v>
      </c>
      <c r="C67" s="65">
        <v>29390.128000000001</v>
      </c>
      <c r="D67" s="299">
        <f t="shared" si="18"/>
        <v>28739.042701810933</v>
      </c>
      <c r="E67" s="299">
        <f t="shared" si="19"/>
        <v>-651.08529818906754</v>
      </c>
      <c r="G67" s="299">
        <f t="shared" si="20"/>
        <v>4.3240000013611279E-3</v>
      </c>
      <c r="H67" s="299">
        <f t="shared" si="20"/>
        <v>0</v>
      </c>
      <c r="I67" s="299">
        <f t="shared" si="20"/>
        <v>-4.3239999961315334E-3</v>
      </c>
    </row>
    <row r="68" spans="1:9">
      <c r="A68" s="236">
        <f t="shared" si="17"/>
        <v>43313</v>
      </c>
      <c r="C68" s="65">
        <v>31555.887999999999</v>
      </c>
      <c r="D68" s="299">
        <f t="shared" si="18"/>
        <v>31174.145559590081</v>
      </c>
      <c r="E68" s="299">
        <f t="shared" si="19"/>
        <v>-381.74244040991834</v>
      </c>
      <c r="G68" s="299">
        <f t="shared" si="20"/>
        <v>3.5190000053262338E-3</v>
      </c>
      <c r="H68" s="299">
        <f t="shared" si="20"/>
        <v>0</v>
      </c>
      <c r="I68" s="299">
        <f t="shared" si="20"/>
        <v>-3.5190000032798707E-3</v>
      </c>
    </row>
    <row r="69" spans="1:9">
      <c r="A69" s="236">
        <f t="shared" si="17"/>
        <v>43344</v>
      </c>
      <c r="C69" s="65">
        <v>30000.577000000001</v>
      </c>
      <c r="D69" s="299">
        <f t="shared" si="18"/>
        <v>30025.864382424552</v>
      </c>
      <c r="E69" s="299">
        <f t="shared" si="19"/>
        <v>25.287382424550742</v>
      </c>
      <c r="G69" s="299">
        <f t="shared" si="20"/>
        <v>-2.2089999984018505E-3</v>
      </c>
      <c r="H69" s="299">
        <f t="shared" si="20"/>
        <v>0</v>
      </c>
      <c r="I69" s="299">
        <f t="shared" si="20"/>
        <v>2.2089999962844331E-3</v>
      </c>
    </row>
    <row r="70" spans="1:9">
      <c r="A70" s="236">
        <f t="shared" si="17"/>
        <v>43374</v>
      </c>
      <c r="C70" s="65">
        <v>17504.791000000001</v>
      </c>
      <c r="D70" s="299">
        <f t="shared" si="18"/>
        <v>17538.369850530344</v>
      </c>
      <c r="E70" s="299">
        <f t="shared" si="19"/>
        <v>33.578850530342606</v>
      </c>
      <c r="G70" s="299">
        <f t="shared" si="20"/>
        <v>9.4399999943561852E-4</v>
      </c>
      <c r="H70" s="299">
        <f t="shared" si="20"/>
        <v>0</v>
      </c>
      <c r="I70" s="299">
        <f t="shared" si="20"/>
        <v>-9.4399999737504459E-4</v>
      </c>
    </row>
    <row r="71" spans="1:9">
      <c r="A71" s="236">
        <f t="shared" si="17"/>
        <v>43405</v>
      </c>
      <c r="C71" s="65">
        <v>35966.337</v>
      </c>
      <c r="D71" s="299">
        <f t="shared" si="18"/>
        <v>36240.032688241474</v>
      </c>
      <c r="E71" s="299">
        <f t="shared" si="19"/>
        <v>273.69568824147427</v>
      </c>
      <c r="G71" s="299">
        <f t="shared" si="20"/>
        <v>-3.0480000059469603E-3</v>
      </c>
      <c r="H71" s="299">
        <f t="shared" si="20"/>
        <v>0</v>
      </c>
      <c r="I71" s="299">
        <f t="shared" si="20"/>
        <v>3.0480000015131736E-3</v>
      </c>
    </row>
    <row r="72" spans="1:9">
      <c r="A72" s="236">
        <f t="shared" si="17"/>
        <v>43435</v>
      </c>
      <c r="C72" s="406">
        <v>28404.613000000001</v>
      </c>
      <c r="D72" s="301">
        <f t="shared" si="18"/>
        <v>28613.618204702387</v>
      </c>
      <c r="E72" s="301">
        <f t="shared" si="19"/>
        <v>209.00520470238553</v>
      </c>
      <c r="G72" s="299">
        <f t="shared" si="20"/>
        <v>-7.9900000127963722E-4</v>
      </c>
      <c r="H72" s="299">
        <f t="shared" si="20"/>
        <v>0</v>
      </c>
      <c r="I72" s="299">
        <f t="shared" si="20"/>
        <v>7.9900000400812132E-4</v>
      </c>
    </row>
    <row r="73" spans="1:9">
      <c r="A73" s="236" t="s">
        <v>21</v>
      </c>
      <c r="C73" s="83">
        <f>SUM(C61:C72)</f>
        <v>351393.39600000001</v>
      </c>
      <c r="D73" s="83">
        <f t="shared" ref="D73:E73" si="21">SUM(D61:D72)</f>
        <v>350940.78019981796</v>
      </c>
      <c r="E73" s="83">
        <f t="shared" si="21"/>
        <v>-452.61580018200766</v>
      </c>
    </row>
    <row r="74" spans="1:9">
      <c r="E74" s="10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G196"/>
  <sheetViews>
    <sheetView topLeftCell="A139" workbookViewId="0">
      <selection activeCell="G157" sqref="G157"/>
    </sheetView>
  </sheetViews>
  <sheetFormatPr defaultColWidth="16.140625" defaultRowHeight="15"/>
  <cols>
    <col min="1" max="1" width="17.140625" style="382" customWidth="1"/>
    <col min="2" max="2" width="18" style="382" bestFit="1" customWidth="1"/>
    <col min="3" max="3" width="22.5703125" style="382" bestFit="1" customWidth="1"/>
    <col min="4" max="4" width="7.7109375" style="383" customWidth="1"/>
    <col min="5" max="16" width="13.85546875" style="382" bestFit="1" customWidth="1"/>
    <col min="17" max="17" width="13.42578125" style="382" customWidth="1"/>
    <col min="18" max="18" width="12.42578125" style="382" bestFit="1" customWidth="1"/>
    <col min="19" max="19" width="18.42578125" style="382" bestFit="1" customWidth="1"/>
    <col min="20" max="20" width="10.28515625" style="382" customWidth="1"/>
    <col min="21" max="21" width="11.140625" style="382" customWidth="1"/>
    <col min="22" max="33" width="8.7109375" style="382" customWidth="1"/>
    <col min="34" max="16384" width="16.140625" style="382"/>
  </cols>
  <sheetData>
    <row r="1" spans="1:17">
      <c r="A1" s="382" t="s">
        <v>191</v>
      </c>
      <c r="B1" s="382" t="s">
        <v>192</v>
      </c>
    </row>
    <row r="3" spans="1:17">
      <c r="A3" s="382" t="s">
        <v>193</v>
      </c>
      <c r="E3" s="382" t="s">
        <v>194</v>
      </c>
      <c r="F3" s="382" t="s">
        <v>195</v>
      </c>
    </row>
    <row r="4" spans="1:17">
      <c r="E4" s="382">
        <v>2018</v>
      </c>
      <c r="Q4" s="382" t="s">
        <v>23</v>
      </c>
    </row>
    <row r="5" spans="1:17">
      <c r="A5" s="382" t="s">
        <v>196</v>
      </c>
      <c r="B5" s="382" t="s">
        <v>197</v>
      </c>
      <c r="C5" s="382" t="s">
        <v>198</v>
      </c>
      <c r="D5" s="383" t="s">
        <v>199</v>
      </c>
      <c r="E5" s="382">
        <v>1</v>
      </c>
      <c r="F5" s="382">
        <v>2</v>
      </c>
      <c r="G5" s="382">
        <v>3</v>
      </c>
      <c r="H5" s="382">
        <v>4</v>
      </c>
      <c r="I5" s="382">
        <v>5</v>
      </c>
      <c r="J5" s="382">
        <v>6</v>
      </c>
      <c r="K5" s="382">
        <v>7</v>
      </c>
      <c r="L5" s="382">
        <v>8</v>
      </c>
      <c r="M5" s="382">
        <v>9</v>
      </c>
      <c r="N5" s="382">
        <v>10</v>
      </c>
      <c r="O5" s="382">
        <v>11</v>
      </c>
      <c r="P5" s="382">
        <v>12</v>
      </c>
    </row>
    <row r="6" spans="1:17">
      <c r="A6" s="382" t="s">
        <v>200</v>
      </c>
      <c r="B6" s="384">
        <v>200020681629</v>
      </c>
      <c r="C6" s="384" t="s">
        <v>242</v>
      </c>
      <c r="D6" s="383">
        <v>31</v>
      </c>
      <c r="E6" s="385">
        <v>2637600</v>
      </c>
      <c r="F6" s="385">
        <v>2479200</v>
      </c>
      <c r="G6" s="385">
        <v>2692800</v>
      </c>
      <c r="H6" s="385">
        <v>2407200</v>
      </c>
      <c r="I6" s="385">
        <v>2568000</v>
      </c>
      <c r="J6" s="385">
        <v>2712000</v>
      </c>
      <c r="K6" s="385">
        <v>2500800</v>
      </c>
      <c r="L6" s="385">
        <v>2517600</v>
      </c>
      <c r="M6" s="385">
        <v>2839200</v>
      </c>
      <c r="N6" s="385">
        <v>2486400</v>
      </c>
      <c r="O6" s="385">
        <v>2678400</v>
      </c>
      <c r="P6" s="385">
        <v>2515200</v>
      </c>
      <c r="Q6" s="385">
        <v>31034400</v>
      </c>
    </row>
    <row r="7" spans="1:17">
      <c r="A7" s="382" t="s">
        <v>201</v>
      </c>
      <c r="B7" s="384">
        <v>200001254503</v>
      </c>
      <c r="C7" s="384" t="s">
        <v>243</v>
      </c>
      <c r="D7" s="383">
        <v>24</v>
      </c>
      <c r="E7" s="385">
        <v>6010</v>
      </c>
      <c r="F7" s="385">
        <v>5710</v>
      </c>
      <c r="G7" s="385">
        <v>5860</v>
      </c>
      <c r="H7" s="385">
        <v>5480</v>
      </c>
      <c r="I7" s="385">
        <v>5140</v>
      </c>
      <c r="J7" s="385">
        <v>4900</v>
      </c>
      <c r="K7" s="385">
        <v>5060</v>
      </c>
      <c r="L7" s="385">
        <v>5380</v>
      </c>
      <c r="M7" s="385">
        <v>5200</v>
      </c>
      <c r="N7" s="385">
        <v>5430</v>
      </c>
      <c r="O7" s="385">
        <v>5420</v>
      </c>
      <c r="P7" s="385">
        <v>5940</v>
      </c>
      <c r="Q7" s="385">
        <v>65530</v>
      </c>
    </row>
    <row r="8" spans="1:17">
      <c r="A8" s="382" t="s">
        <v>201</v>
      </c>
      <c r="B8" s="384">
        <v>200003970700</v>
      </c>
      <c r="C8" s="384" t="s">
        <v>244</v>
      </c>
      <c r="D8" s="383">
        <v>26</v>
      </c>
      <c r="E8" s="385">
        <v>350700</v>
      </c>
      <c r="F8" s="385">
        <v>339900</v>
      </c>
      <c r="G8" s="385">
        <v>341400</v>
      </c>
      <c r="H8" s="385">
        <v>348600</v>
      </c>
      <c r="I8" s="385">
        <v>337355</v>
      </c>
      <c r="J8" s="385">
        <v>358945</v>
      </c>
      <c r="K8" s="385">
        <v>394200</v>
      </c>
      <c r="L8" s="385">
        <v>444000</v>
      </c>
      <c r="M8" s="385">
        <v>427500</v>
      </c>
      <c r="N8" s="385">
        <v>384900</v>
      </c>
      <c r="O8" s="385">
        <v>385800</v>
      </c>
      <c r="P8" s="385">
        <v>382200</v>
      </c>
      <c r="Q8" s="385">
        <v>4495500</v>
      </c>
    </row>
    <row r="9" spans="1:17">
      <c r="A9" s="382" t="s">
        <v>201</v>
      </c>
      <c r="B9" s="384">
        <v>200019231832</v>
      </c>
      <c r="C9" s="384" t="s">
        <v>245</v>
      </c>
      <c r="D9" s="383">
        <v>25</v>
      </c>
      <c r="E9" s="385">
        <v>89100</v>
      </c>
      <c r="F9" s="385">
        <v>84900</v>
      </c>
      <c r="G9" s="385">
        <v>89100</v>
      </c>
      <c r="H9" s="385">
        <v>86400</v>
      </c>
      <c r="I9" s="385">
        <v>86100</v>
      </c>
      <c r="J9" s="385">
        <v>86100</v>
      </c>
      <c r="K9" s="385">
        <v>88800</v>
      </c>
      <c r="L9" s="385">
        <v>99300</v>
      </c>
      <c r="M9" s="385">
        <v>92700</v>
      </c>
      <c r="N9" s="385">
        <v>97500</v>
      </c>
      <c r="O9" s="385">
        <v>87000</v>
      </c>
      <c r="P9" s="385">
        <v>93600</v>
      </c>
      <c r="Q9" s="385">
        <v>1080600</v>
      </c>
    </row>
    <row r="10" spans="1:17">
      <c r="A10" s="382" t="s">
        <v>201</v>
      </c>
      <c r="B10" s="384">
        <v>200019607890</v>
      </c>
      <c r="C10" s="384" t="s">
        <v>246</v>
      </c>
      <c r="D10" s="383">
        <v>25</v>
      </c>
      <c r="E10" s="385">
        <v>92640</v>
      </c>
      <c r="F10" s="385">
        <v>86160</v>
      </c>
      <c r="G10" s="385">
        <v>87840</v>
      </c>
      <c r="H10" s="385">
        <v>84600</v>
      </c>
      <c r="I10" s="385">
        <v>89400</v>
      </c>
      <c r="J10" s="385">
        <v>102360</v>
      </c>
      <c r="K10" s="385">
        <v>102720</v>
      </c>
      <c r="L10" s="385">
        <v>125520</v>
      </c>
      <c r="M10" s="385">
        <v>117840</v>
      </c>
      <c r="N10" s="385">
        <v>105000</v>
      </c>
      <c r="O10" s="385">
        <v>87720</v>
      </c>
      <c r="P10" s="385">
        <v>93240</v>
      </c>
      <c r="Q10" s="385">
        <v>1175040</v>
      </c>
    </row>
    <row r="11" spans="1:17">
      <c r="A11" s="382" t="s">
        <v>201</v>
      </c>
      <c r="B11" s="384">
        <v>200021794595</v>
      </c>
      <c r="C11" s="384" t="s">
        <v>247</v>
      </c>
      <c r="D11" s="383">
        <v>26</v>
      </c>
      <c r="E11" s="385">
        <v>385500</v>
      </c>
      <c r="F11" s="385">
        <v>391200</v>
      </c>
      <c r="G11" s="385">
        <v>384300</v>
      </c>
      <c r="H11" s="385">
        <v>346800</v>
      </c>
      <c r="I11" s="385">
        <v>344400</v>
      </c>
      <c r="J11" s="385">
        <v>323400</v>
      </c>
      <c r="K11" s="385">
        <v>320400</v>
      </c>
      <c r="L11" s="385">
        <v>365100</v>
      </c>
      <c r="M11" s="385">
        <v>336900</v>
      </c>
      <c r="N11" s="385">
        <v>314100</v>
      </c>
      <c r="O11" s="385">
        <v>318900</v>
      </c>
      <c r="P11" s="385">
        <v>358200</v>
      </c>
      <c r="Q11" s="385">
        <v>4189200</v>
      </c>
    </row>
    <row r="12" spans="1:17">
      <c r="A12" s="382" t="s">
        <v>201</v>
      </c>
      <c r="B12" s="384">
        <v>220012128835</v>
      </c>
      <c r="C12" s="384" t="s">
        <v>248</v>
      </c>
      <c r="D12" s="383">
        <v>26</v>
      </c>
      <c r="E12" s="385">
        <v>377100</v>
      </c>
      <c r="F12" s="385">
        <v>327900</v>
      </c>
      <c r="G12" s="385">
        <v>356400</v>
      </c>
      <c r="H12" s="385">
        <v>332400</v>
      </c>
      <c r="I12" s="385">
        <v>309600</v>
      </c>
      <c r="J12" s="385">
        <v>319800</v>
      </c>
      <c r="K12" s="385">
        <v>320700</v>
      </c>
      <c r="L12" s="385">
        <v>388800</v>
      </c>
      <c r="M12" s="385">
        <v>369000</v>
      </c>
      <c r="N12" s="385">
        <v>357900</v>
      </c>
      <c r="O12" s="385">
        <v>298500</v>
      </c>
      <c r="P12" s="385">
        <v>327000</v>
      </c>
      <c r="Q12" s="385">
        <v>4085100</v>
      </c>
    </row>
    <row r="13" spans="1:17">
      <c r="A13" s="382" t="s">
        <v>201</v>
      </c>
      <c r="B13" s="384">
        <v>220012128843</v>
      </c>
      <c r="C13" s="384" t="s">
        <v>249</v>
      </c>
      <c r="D13" s="383">
        <v>25</v>
      </c>
      <c r="E13" s="385">
        <v>44100</v>
      </c>
      <c r="F13" s="385">
        <v>43200</v>
      </c>
      <c r="G13" s="385">
        <v>48000</v>
      </c>
      <c r="H13" s="385">
        <v>35855</v>
      </c>
      <c r="I13" s="385">
        <v>50845</v>
      </c>
      <c r="J13" s="385">
        <v>37500</v>
      </c>
      <c r="K13" s="385">
        <v>40500</v>
      </c>
      <c r="L13" s="385">
        <v>46200</v>
      </c>
      <c r="M13" s="385">
        <v>43200</v>
      </c>
      <c r="N13" s="385">
        <v>44700</v>
      </c>
      <c r="O13" s="385">
        <v>49500</v>
      </c>
      <c r="P13" s="385">
        <v>48000</v>
      </c>
      <c r="Q13" s="385">
        <v>531600</v>
      </c>
    </row>
    <row r="14" spans="1:17">
      <c r="A14" s="382" t="s">
        <v>201</v>
      </c>
      <c r="B14" s="384">
        <v>220012128850</v>
      </c>
      <c r="C14" s="384" t="s">
        <v>250</v>
      </c>
      <c r="D14" s="383">
        <v>26</v>
      </c>
      <c r="E14" s="385">
        <v>256500</v>
      </c>
      <c r="F14" s="385">
        <v>256500</v>
      </c>
      <c r="G14" s="385">
        <v>251700</v>
      </c>
      <c r="H14" s="385">
        <v>225000</v>
      </c>
      <c r="I14" s="385">
        <v>224700</v>
      </c>
      <c r="J14" s="385">
        <v>216300</v>
      </c>
      <c r="K14" s="385">
        <v>210000</v>
      </c>
      <c r="L14" s="385">
        <v>243600</v>
      </c>
      <c r="M14" s="385">
        <v>232200</v>
      </c>
      <c r="N14" s="385">
        <v>210900</v>
      </c>
      <c r="O14" s="385">
        <v>226500</v>
      </c>
      <c r="P14" s="385">
        <v>243900</v>
      </c>
      <c r="Q14" s="385">
        <v>2797800</v>
      </c>
    </row>
    <row r="15" spans="1:17">
      <c r="A15" s="382" t="s">
        <v>201</v>
      </c>
      <c r="B15" s="384">
        <v>220012130120</v>
      </c>
      <c r="C15" s="384" t="s">
        <v>251</v>
      </c>
      <c r="D15" s="383">
        <v>26</v>
      </c>
      <c r="E15" s="385">
        <v>247200</v>
      </c>
      <c r="F15" s="385">
        <v>219600</v>
      </c>
      <c r="G15" s="385">
        <v>238500</v>
      </c>
      <c r="H15" s="385">
        <v>219600</v>
      </c>
      <c r="I15" s="385">
        <v>206100</v>
      </c>
      <c r="J15" s="385">
        <v>187200</v>
      </c>
      <c r="K15" s="385">
        <v>183600</v>
      </c>
      <c r="L15" s="385">
        <v>217200</v>
      </c>
      <c r="M15" s="385">
        <v>202800</v>
      </c>
      <c r="N15" s="385">
        <v>199500</v>
      </c>
      <c r="O15" s="385">
        <v>187500</v>
      </c>
      <c r="P15" s="385">
        <v>215400</v>
      </c>
      <c r="Q15" s="385">
        <v>2524200</v>
      </c>
    </row>
    <row r="16" spans="1:17">
      <c r="A16" s="382" t="s">
        <v>201</v>
      </c>
      <c r="B16" s="384">
        <v>220012130138</v>
      </c>
      <c r="C16" s="384" t="s">
        <v>252</v>
      </c>
      <c r="D16" s="383">
        <v>25</v>
      </c>
      <c r="E16" s="385">
        <v>154500</v>
      </c>
      <c r="F16" s="385">
        <v>136200</v>
      </c>
      <c r="G16" s="385">
        <v>143400</v>
      </c>
      <c r="H16" s="385">
        <v>128100</v>
      </c>
      <c r="I16" s="385">
        <v>123900</v>
      </c>
      <c r="J16" s="385">
        <v>125400</v>
      </c>
      <c r="K16" s="385">
        <v>122100</v>
      </c>
      <c r="L16" s="385">
        <v>148800</v>
      </c>
      <c r="M16" s="385">
        <v>141900</v>
      </c>
      <c r="N16" s="385">
        <v>128400</v>
      </c>
      <c r="O16" s="385">
        <v>66600</v>
      </c>
      <c r="P16" s="385">
        <v>82800</v>
      </c>
      <c r="Q16" s="385">
        <v>1502100</v>
      </c>
    </row>
    <row r="17" spans="1:17">
      <c r="A17" s="382" t="s">
        <v>201</v>
      </c>
      <c r="B17" s="384">
        <v>220012130633</v>
      </c>
      <c r="C17" s="384" t="s">
        <v>253</v>
      </c>
      <c r="D17" s="383">
        <v>25</v>
      </c>
      <c r="E17" s="385">
        <v>37120</v>
      </c>
      <c r="F17" s="385">
        <v>37280</v>
      </c>
      <c r="G17" s="385">
        <v>37040</v>
      </c>
      <c r="H17" s="385">
        <v>33680</v>
      </c>
      <c r="I17" s="385">
        <v>32160</v>
      </c>
      <c r="J17" s="385">
        <v>25280</v>
      </c>
      <c r="K17" s="385">
        <v>23840</v>
      </c>
      <c r="L17" s="385">
        <v>24640</v>
      </c>
      <c r="M17" s="385">
        <v>23760</v>
      </c>
      <c r="N17" s="385">
        <v>22720</v>
      </c>
      <c r="O17" s="385">
        <v>24320</v>
      </c>
      <c r="P17" s="385">
        <v>27920</v>
      </c>
      <c r="Q17" s="385">
        <v>349760</v>
      </c>
    </row>
    <row r="18" spans="1:17">
      <c r="A18" s="382" t="s">
        <v>202</v>
      </c>
      <c r="B18" s="384">
        <v>220012500884</v>
      </c>
      <c r="C18" s="384" t="s">
        <v>254</v>
      </c>
      <c r="D18" s="383">
        <v>26</v>
      </c>
      <c r="E18" s="385">
        <v>308400</v>
      </c>
      <c r="F18" s="385"/>
      <c r="G18" s="385">
        <v>574200</v>
      </c>
      <c r="H18" s="385">
        <v>254400</v>
      </c>
      <c r="I18" s="385">
        <v>306600</v>
      </c>
      <c r="J18" s="385">
        <v>335400</v>
      </c>
      <c r="K18" s="385">
        <v>330000</v>
      </c>
      <c r="L18" s="385">
        <v>382800</v>
      </c>
      <c r="M18" s="385">
        <v>317400</v>
      </c>
      <c r="N18" s="385">
        <v>286800</v>
      </c>
      <c r="O18" s="385"/>
      <c r="P18" s="385">
        <v>595200</v>
      </c>
      <c r="Q18" s="385">
        <v>3691200</v>
      </c>
    </row>
    <row r="19" spans="1:17">
      <c r="A19" s="382" t="s">
        <v>202</v>
      </c>
      <c r="B19" s="384">
        <v>220012597302</v>
      </c>
      <c r="C19" s="384" t="s">
        <v>255</v>
      </c>
      <c r="D19" s="383">
        <v>31</v>
      </c>
      <c r="E19" s="385">
        <v>748800</v>
      </c>
      <c r="F19" s="385">
        <v>789600</v>
      </c>
      <c r="G19" s="385">
        <v>710400</v>
      </c>
      <c r="H19" s="385">
        <v>720000</v>
      </c>
      <c r="I19" s="385">
        <v>741600</v>
      </c>
      <c r="J19" s="385">
        <v>844800</v>
      </c>
      <c r="K19" s="385">
        <v>842400</v>
      </c>
      <c r="L19" s="385">
        <v>916800</v>
      </c>
      <c r="M19" s="385">
        <v>811200</v>
      </c>
      <c r="N19" s="385">
        <v>729600</v>
      </c>
      <c r="O19" s="385">
        <v>753600</v>
      </c>
      <c r="P19" s="385">
        <v>808800</v>
      </c>
      <c r="Q19" s="385">
        <v>9417600</v>
      </c>
    </row>
    <row r="20" spans="1:17">
      <c r="A20" s="382" t="s">
        <v>203</v>
      </c>
      <c r="B20" s="384">
        <v>200011194061</v>
      </c>
      <c r="C20" s="384" t="s">
        <v>256</v>
      </c>
      <c r="D20" s="383">
        <v>31</v>
      </c>
      <c r="E20" s="385">
        <v>1500000</v>
      </c>
      <c r="F20" s="385">
        <v>1788000</v>
      </c>
      <c r="G20" s="385">
        <v>1617600</v>
      </c>
      <c r="H20" s="385">
        <v>1644000</v>
      </c>
      <c r="I20" s="385">
        <v>1668000</v>
      </c>
      <c r="J20" s="385"/>
      <c r="K20" s="385">
        <v>3597600</v>
      </c>
      <c r="L20" s="385">
        <v>1807200</v>
      </c>
      <c r="M20" s="385"/>
      <c r="N20" s="385">
        <v>3648000</v>
      </c>
      <c r="O20" s="385">
        <v>1910400</v>
      </c>
      <c r="P20" s="385">
        <v>1598400</v>
      </c>
      <c r="Q20" s="385">
        <v>20779200</v>
      </c>
    </row>
    <row r="21" spans="1:17">
      <c r="A21" s="382" t="s">
        <v>204</v>
      </c>
      <c r="B21" s="384">
        <v>220010957748</v>
      </c>
      <c r="C21" s="384" t="s">
        <v>257</v>
      </c>
      <c r="D21" s="383" t="s">
        <v>205</v>
      </c>
      <c r="E21" s="385">
        <v>173100</v>
      </c>
      <c r="F21" s="385">
        <v>135900</v>
      </c>
      <c r="G21" s="385">
        <v>155400</v>
      </c>
      <c r="H21" s="385">
        <v>175500</v>
      </c>
      <c r="I21" s="385"/>
      <c r="J21" s="385">
        <v>22156</v>
      </c>
      <c r="K21" s="385">
        <v>319047</v>
      </c>
      <c r="L21" s="385">
        <v>230590</v>
      </c>
      <c r="M21" s="385">
        <v>215139</v>
      </c>
      <c r="N21" s="385">
        <v>169894</v>
      </c>
      <c r="O21" s="385">
        <v>157921</v>
      </c>
      <c r="P21" s="385">
        <v>142014</v>
      </c>
      <c r="Q21" s="385">
        <v>1896661</v>
      </c>
    </row>
    <row r="22" spans="1:17">
      <c r="A22" s="382" t="s">
        <v>204</v>
      </c>
      <c r="B22" s="384">
        <v>220010957755</v>
      </c>
      <c r="C22" s="384" t="s">
        <v>258</v>
      </c>
      <c r="D22" s="383" t="s">
        <v>205</v>
      </c>
      <c r="E22" s="385">
        <v>649799</v>
      </c>
      <c r="F22" s="385">
        <v>554100</v>
      </c>
      <c r="G22" s="385">
        <v>550200</v>
      </c>
      <c r="H22" s="385">
        <v>771600</v>
      </c>
      <c r="I22" s="385"/>
      <c r="J22" s="385">
        <v>74833</v>
      </c>
      <c r="K22" s="385">
        <v>1004112</v>
      </c>
      <c r="L22" s="385">
        <v>556802</v>
      </c>
      <c r="M22" s="385">
        <v>594127</v>
      </c>
      <c r="N22" s="385">
        <v>584313</v>
      </c>
      <c r="O22" s="385">
        <v>606404</v>
      </c>
      <c r="P22" s="385">
        <v>589545</v>
      </c>
      <c r="Q22" s="385">
        <v>6535835</v>
      </c>
    </row>
    <row r="23" spans="1:17">
      <c r="A23" s="382" t="s">
        <v>204</v>
      </c>
      <c r="B23" s="384">
        <v>220010957763</v>
      </c>
      <c r="C23" s="384" t="s">
        <v>259</v>
      </c>
      <c r="D23" s="383" t="s">
        <v>205</v>
      </c>
      <c r="E23" s="385">
        <v>160200</v>
      </c>
      <c r="F23" s="385">
        <v>154800</v>
      </c>
      <c r="G23" s="385">
        <v>159300</v>
      </c>
      <c r="H23" s="385">
        <v>230700</v>
      </c>
      <c r="I23" s="385"/>
      <c r="J23" s="385">
        <v>21772</v>
      </c>
      <c r="K23" s="385">
        <v>288643</v>
      </c>
      <c r="L23" s="385">
        <v>144945</v>
      </c>
      <c r="M23" s="385">
        <v>125999</v>
      </c>
      <c r="N23" s="385">
        <v>92782</v>
      </c>
      <c r="O23" s="385">
        <v>120337</v>
      </c>
      <c r="P23" s="385">
        <v>118466</v>
      </c>
      <c r="Q23" s="385">
        <v>1617944</v>
      </c>
    </row>
    <row r="24" spans="1:17">
      <c r="A24" s="382" t="s">
        <v>204</v>
      </c>
      <c r="B24" s="384">
        <v>220010959579</v>
      </c>
      <c r="C24" s="384" t="s">
        <v>260</v>
      </c>
      <c r="D24" s="383" t="s">
        <v>205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71</v>
      </c>
      <c r="P24" s="385">
        <v>72</v>
      </c>
      <c r="Q24" s="385">
        <v>143</v>
      </c>
    </row>
    <row r="25" spans="1:17">
      <c r="A25" s="382" t="s">
        <v>204</v>
      </c>
      <c r="B25" s="384">
        <v>220010960197</v>
      </c>
      <c r="C25" s="384" t="s">
        <v>261</v>
      </c>
      <c r="D25" s="383" t="s">
        <v>205</v>
      </c>
      <c r="E25" s="385">
        <v>93900</v>
      </c>
      <c r="F25" s="385">
        <v>95400</v>
      </c>
      <c r="G25" s="385">
        <v>94500</v>
      </c>
      <c r="H25" s="385">
        <v>101100</v>
      </c>
      <c r="I25" s="385">
        <v>100200</v>
      </c>
      <c r="J25" s="385">
        <v>102900</v>
      </c>
      <c r="K25" s="385">
        <v>105900</v>
      </c>
      <c r="L25" s="385">
        <v>104400</v>
      </c>
      <c r="M25" s="385">
        <v>100800</v>
      </c>
      <c r="N25" s="385">
        <v>45000</v>
      </c>
      <c r="O25" s="385">
        <v>100049</v>
      </c>
      <c r="P25" s="385">
        <v>94728</v>
      </c>
      <c r="Q25" s="385">
        <v>1138877</v>
      </c>
    </row>
    <row r="26" spans="1:17">
      <c r="A26" s="382" t="s">
        <v>204</v>
      </c>
      <c r="B26" s="384">
        <v>220010960247</v>
      </c>
      <c r="C26" s="384" t="s">
        <v>262</v>
      </c>
      <c r="D26" s="383" t="s">
        <v>205</v>
      </c>
      <c r="E26" s="385">
        <v>174300</v>
      </c>
      <c r="F26" s="385">
        <v>131700</v>
      </c>
      <c r="G26" s="385">
        <v>142800</v>
      </c>
      <c r="H26" s="385">
        <v>108000</v>
      </c>
      <c r="I26" s="385">
        <v>105600</v>
      </c>
      <c r="J26" s="385">
        <v>108900</v>
      </c>
      <c r="K26" s="385">
        <v>146400</v>
      </c>
      <c r="L26" s="385">
        <v>146100</v>
      </c>
      <c r="M26" s="385">
        <v>105000</v>
      </c>
      <c r="N26" s="385">
        <v>48300</v>
      </c>
      <c r="O26" s="385">
        <v>102996</v>
      </c>
      <c r="P26" s="385">
        <v>106169</v>
      </c>
      <c r="Q26" s="385">
        <v>1426265</v>
      </c>
    </row>
    <row r="27" spans="1:17">
      <c r="A27" s="382" t="s">
        <v>204</v>
      </c>
      <c r="B27" s="384">
        <v>220010960254</v>
      </c>
      <c r="C27" s="384" t="s">
        <v>263</v>
      </c>
      <c r="D27" s="383" t="s">
        <v>205</v>
      </c>
      <c r="E27" s="385">
        <v>101700</v>
      </c>
      <c r="F27" s="385">
        <v>102300</v>
      </c>
      <c r="G27" s="385">
        <v>102600</v>
      </c>
      <c r="H27" s="385">
        <v>103800</v>
      </c>
      <c r="I27" s="385">
        <v>98700</v>
      </c>
      <c r="J27" s="385">
        <v>102900</v>
      </c>
      <c r="K27" s="385">
        <v>107700</v>
      </c>
      <c r="L27" s="385">
        <v>95400</v>
      </c>
      <c r="M27" s="385">
        <v>101400</v>
      </c>
      <c r="N27" s="385">
        <v>49500</v>
      </c>
      <c r="O27" s="385">
        <v>107731</v>
      </c>
      <c r="P27" s="385">
        <v>102815</v>
      </c>
      <c r="Q27" s="385">
        <v>1176546</v>
      </c>
    </row>
    <row r="28" spans="1:17">
      <c r="A28" s="382" t="s">
        <v>204</v>
      </c>
      <c r="B28" s="384">
        <v>220010960288</v>
      </c>
      <c r="C28" s="384" t="s">
        <v>264</v>
      </c>
      <c r="D28" s="383" t="s">
        <v>205</v>
      </c>
      <c r="E28" s="385">
        <v>175200</v>
      </c>
      <c r="F28" s="385">
        <v>132000</v>
      </c>
      <c r="G28" s="385">
        <v>165000</v>
      </c>
      <c r="H28" s="385">
        <v>109500</v>
      </c>
      <c r="I28" s="385">
        <v>87900</v>
      </c>
      <c r="J28" s="385">
        <v>82200</v>
      </c>
      <c r="K28" s="385">
        <v>101100</v>
      </c>
      <c r="L28" s="385">
        <v>119400</v>
      </c>
      <c r="M28" s="385">
        <v>110700</v>
      </c>
      <c r="N28" s="385">
        <v>42000</v>
      </c>
      <c r="O28" s="385">
        <v>99068</v>
      </c>
      <c r="P28" s="385">
        <v>109601</v>
      </c>
      <c r="Q28" s="385">
        <v>1333669</v>
      </c>
    </row>
    <row r="29" spans="1:17">
      <c r="A29" s="382" t="s">
        <v>204</v>
      </c>
      <c r="B29" s="384">
        <v>220010961997</v>
      </c>
      <c r="C29" s="384" t="s">
        <v>265</v>
      </c>
      <c r="D29" s="383" t="s">
        <v>205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7</v>
      </c>
      <c r="P29" s="385">
        <v>6</v>
      </c>
      <c r="Q29" s="385">
        <v>13</v>
      </c>
    </row>
    <row r="30" spans="1:17">
      <c r="A30" s="382" t="s">
        <v>204</v>
      </c>
      <c r="B30" s="384">
        <v>220010981078</v>
      </c>
      <c r="C30" s="384" t="s">
        <v>266</v>
      </c>
      <c r="D30" s="383" t="s">
        <v>205</v>
      </c>
      <c r="E30" s="385">
        <v>804000</v>
      </c>
      <c r="F30" s="385">
        <v>679200</v>
      </c>
      <c r="G30" s="385">
        <v>650400</v>
      </c>
      <c r="H30" s="385">
        <v>614400</v>
      </c>
      <c r="I30" s="385">
        <v>652800</v>
      </c>
      <c r="J30" s="385">
        <v>631200</v>
      </c>
      <c r="K30" s="385">
        <v>645600</v>
      </c>
      <c r="L30" s="385">
        <v>715200</v>
      </c>
      <c r="M30" s="385">
        <v>609600</v>
      </c>
      <c r="N30" s="385">
        <v>0</v>
      </c>
      <c r="O30" s="385">
        <v>769246</v>
      </c>
      <c r="P30" s="385">
        <v>564545</v>
      </c>
      <c r="Q30" s="385">
        <v>7336191</v>
      </c>
    </row>
    <row r="31" spans="1:17">
      <c r="A31" s="382" t="s">
        <v>206</v>
      </c>
      <c r="B31" s="384">
        <v>200000209276</v>
      </c>
      <c r="C31" s="384" t="s">
        <v>267</v>
      </c>
      <c r="D31" s="383" t="s">
        <v>205</v>
      </c>
      <c r="E31" s="385">
        <v>158840</v>
      </c>
      <c r="F31" s="385">
        <v>117359</v>
      </c>
      <c r="G31" s="385">
        <v>74500</v>
      </c>
      <c r="H31" s="385">
        <v>103700</v>
      </c>
      <c r="I31" s="385">
        <v>87100</v>
      </c>
      <c r="J31" s="385">
        <v>83600</v>
      </c>
      <c r="K31" s="385">
        <v>87500</v>
      </c>
      <c r="L31" s="385">
        <v>67600</v>
      </c>
      <c r="M31" s="385">
        <v>67500</v>
      </c>
      <c r="N31" s="385">
        <v>76600</v>
      </c>
      <c r="O31" s="385">
        <v>82100</v>
      </c>
      <c r="P31" s="385">
        <v>92700</v>
      </c>
      <c r="Q31" s="385">
        <v>1099099</v>
      </c>
    </row>
    <row r="32" spans="1:17">
      <c r="A32" s="382" t="s">
        <v>206</v>
      </c>
      <c r="B32" s="384">
        <v>200000844833</v>
      </c>
      <c r="C32" s="384" t="s">
        <v>268</v>
      </c>
      <c r="D32" s="383" t="s">
        <v>205</v>
      </c>
      <c r="E32" s="385">
        <v>133800</v>
      </c>
      <c r="F32" s="385">
        <v>120840</v>
      </c>
      <c r="G32" s="385">
        <v>131760</v>
      </c>
      <c r="H32" s="385">
        <v>114120</v>
      </c>
      <c r="I32" s="385">
        <v>95760</v>
      </c>
      <c r="J32" s="385">
        <v>90240</v>
      </c>
      <c r="K32" s="385">
        <v>91200</v>
      </c>
      <c r="L32" s="385">
        <v>88560</v>
      </c>
      <c r="M32" s="385">
        <v>82920</v>
      </c>
      <c r="N32" s="385">
        <v>88920</v>
      </c>
      <c r="O32" s="385">
        <v>93120</v>
      </c>
      <c r="P32" s="385">
        <v>168961</v>
      </c>
      <c r="Q32" s="385">
        <v>1300201</v>
      </c>
    </row>
    <row r="33" spans="1:17">
      <c r="A33" s="382" t="s">
        <v>206</v>
      </c>
      <c r="B33" s="384">
        <v>200001933742</v>
      </c>
      <c r="C33" s="384" t="s">
        <v>269</v>
      </c>
      <c r="D33" s="383" t="s">
        <v>205</v>
      </c>
      <c r="E33" s="385">
        <v>58483</v>
      </c>
      <c r="F33" s="385">
        <v>53758</v>
      </c>
      <c r="G33" s="385">
        <v>50085</v>
      </c>
      <c r="H33" s="385">
        <v>48034</v>
      </c>
      <c r="I33" s="385">
        <v>41316</v>
      </c>
      <c r="J33" s="385">
        <v>38204</v>
      </c>
      <c r="K33" s="385">
        <v>37817</v>
      </c>
      <c r="L33" s="385">
        <v>52185</v>
      </c>
      <c r="M33" s="385">
        <v>45709</v>
      </c>
      <c r="N33" s="385">
        <v>38719</v>
      </c>
      <c r="O33" s="385">
        <v>50330</v>
      </c>
      <c r="P33" s="385">
        <v>44631</v>
      </c>
      <c r="Q33" s="385">
        <v>559271</v>
      </c>
    </row>
    <row r="34" spans="1:17">
      <c r="A34" s="382" t="s">
        <v>206</v>
      </c>
      <c r="B34" s="384">
        <v>200001974050</v>
      </c>
      <c r="C34" s="384" t="s">
        <v>270</v>
      </c>
      <c r="D34" s="383" t="s">
        <v>205</v>
      </c>
      <c r="E34" s="385">
        <v>328624</v>
      </c>
      <c r="F34" s="385">
        <v>303640</v>
      </c>
      <c r="G34" s="385">
        <v>282612</v>
      </c>
      <c r="H34" s="385">
        <v>257027</v>
      </c>
      <c r="I34" s="385">
        <v>233874</v>
      </c>
      <c r="J34" s="385">
        <v>239604</v>
      </c>
      <c r="K34" s="385">
        <v>234280</v>
      </c>
      <c r="L34" s="385">
        <v>222901</v>
      </c>
      <c r="M34" s="385">
        <v>221168</v>
      </c>
      <c r="N34" s="385">
        <v>192534</v>
      </c>
      <c r="O34" s="385">
        <v>235362</v>
      </c>
      <c r="P34" s="385">
        <v>233143</v>
      </c>
      <c r="Q34" s="385">
        <v>2984769</v>
      </c>
    </row>
    <row r="35" spans="1:17">
      <c r="A35" s="382" t="s">
        <v>206</v>
      </c>
      <c r="B35" s="384">
        <v>200003605389</v>
      </c>
      <c r="C35" s="384" t="s">
        <v>271</v>
      </c>
      <c r="D35" s="383" t="s">
        <v>205</v>
      </c>
      <c r="E35" s="385">
        <v>60000</v>
      </c>
      <c r="F35" s="385">
        <v>57600</v>
      </c>
      <c r="G35" s="385">
        <v>31200</v>
      </c>
      <c r="H35" s="385">
        <v>37059</v>
      </c>
      <c r="I35" s="385">
        <v>57595</v>
      </c>
      <c r="J35" s="385">
        <v>88413</v>
      </c>
      <c r="K35" s="385">
        <v>104684</v>
      </c>
      <c r="L35" s="385">
        <v>166696</v>
      </c>
      <c r="M35" s="385">
        <v>153370</v>
      </c>
      <c r="N35" s="385">
        <v>91292</v>
      </c>
      <c r="O35" s="385">
        <v>63373</v>
      </c>
      <c r="P35" s="385">
        <v>53969</v>
      </c>
      <c r="Q35" s="385">
        <v>965251</v>
      </c>
    </row>
    <row r="36" spans="1:17">
      <c r="A36" s="382" t="s">
        <v>206</v>
      </c>
      <c r="B36" s="384">
        <v>200005447277</v>
      </c>
      <c r="C36" s="384" t="s">
        <v>272</v>
      </c>
      <c r="D36" s="383" t="s">
        <v>205</v>
      </c>
      <c r="E36" s="385">
        <v>347700</v>
      </c>
      <c r="F36" s="385">
        <v>300000</v>
      </c>
      <c r="G36" s="385">
        <v>340800</v>
      </c>
      <c r="H36" s="385">
        <v>291300</v>
      </c>
      <c r="I36" s="385">
        <v>216000</v>
      </c>
      <c r="J36" s="385">
        <v>202500</v>
      </c>
      <c r="K36" s="385">
        <v>206400</v>
      </c>
      <c r="L36" s="385">
        <v>188100</v>
      </c>
      <c r="M36" s="385">
        <v>184200</v>
      </c>
      <c r="N36" s="385">
        <v>187200</v>
      </c>
      <c r="O36" s="385">
        <v>190800</v>
      </c>
      <c r="P36" s="385">
        <v>210300</v>
      </c>
      <c r="Q36" s="385">
        <v>2865300</v>
      </c>
    </row>
    <row r="37" spans="1:17">
      <c r="A37" s="382" t="s">
        <v>206</v>
      </c>
      <c r="B37" s="384">
        <v>200006053033</v>
      </c>
      <c r="C37" s="384" t="s">
        <v>273</v>
      </c>
      <c r="D37" s="383" t="s">
        <v>205</v>
      </c>
      <c r="E37" s="385">
        <v>421672</v>
      </c>
      <c r="F37" s="385">
        <v>416313</v>
      </c>
      <c r="G37" s="385">
        <v>349513</v>
      </c>
      <c r="H37" s="385">
        <v>345399</v>
      </c>
      <c r="I37" s="385">
        <v>317347</v>
      </c>
      <c r="J37" s="385">
        <v>309438</v>
      </c>
      <c r="K37" s="385">
        <v>299437</v>
      </c>
      <c r="L37" s="385">
        <v>307384</v>
      </c>
      <c r="M37" s="385">
        <v>307399</v>
      </c>
      <c r="N37" s="385">
        <v>293067</v>
      </c>
      <c r="O37" s="385">
        <v>331214</v>
      </c>
      <c r="P37" s="385">
        <v>329150</v>
      </c>
      <c r="Q37" s="385">
        <v>4027333</v>
      </c>
    </row>
    <row r="38" spans="1:17">
      <c r="A38" s="382" t="s">
        <v>206</v>
      </c>
      <c r="B38" s="384">
        <v>200007491208</v>
      </c>
      <c r="C38" s="384" t="s">
        <v>274</v>
      </c>
      <c r="D38" s="383" t="s">
        <v>205</v>
      </c>
      <c r="E38" s="385">
        <v>1207200</v>
      </c>
      <c r="F38" s="385">
        <v>974400</v>
      </c>
      <c r="G38" s="385">
        <v>1008000</v>
      </c>
      <c r="H38" s="385">
        <v>945600</v>
      </c>
      <c r="I38" s="385">
        <v>885600</v>
      </c>
      <c r="J38" s="385">
        <v>811200</v>
      </c>
      <c r="K38" s="385">
        <v>868800</v>
      </c>
      <c r="L38" s="385">
        <v>847200</v>
      </c>
      <c r="M38" s="385">
        <v>0</v>
      </c>
      <c r="N38" s="385">
        <v>959714</v>
      </c>
      <c r="O38" s="385">
        <v>794767</v>
      </c>
      <c r="P38" s="385">
        <v>819003</v>
      </c>
      <c r="Q38" s="385">
        <v>10121484</v>
      </c>
    </row>
    <row r="39" spans="1:17">
      <c r="A39" s="382" t="s">
        <v>206</v>
      </c>
      <c r="B39" s="384">
        <v>200007491406</v>
      </c>
      <c r="C39" s="384" t="s">
        <v>275</v>
      </c>
      <c r="D39" s="383" t="s">
        <v>205</v>
      </c>
      <c r="E39" s="385">
        <v>523500</v>
      </c>
      <c r="F39" s="385">
        <v>363900</v>
      </c>
      <c r="G39" s="385">
        <v>280200</v>
      </c>
      <c r="H39" s="385">
        <v>198300</v>
      </c>
      <c r="I39" s="385">
        <v>183600</v>
      </c>
      <c r="J39" s="385">
        <v>184800</v>
      </c>
      <c r="K39" s="385">
        <v>206400</v>
      </c>
      <c r="L39" s="385">
        <v>199200</v>
      </c>
      <c r="M39" s="385">
        <v>172800</v>
      </c>
      <c r="N39" s="385">
        <v>174000</v>
      </c>
      <c r="O39" s="385">
        <v>167400</v>
      </c>
      <c r="P39" s="385">
        <v>187500</v>
      </c>
      <c r="Q39" s="385">
        <v>2841600</v>
      </c>
    </row>
    <row r="40" spans="1:17">
      <c r="A40" s="382" t="s">
        <v>206</v>
      </c>
      <c r="B40" s="384">
        <v>200007491612</v>
      </c>
      <c r="C40" s="384" t="s">
        <v>276</v>
      </c>
      <c r="D40" s="383" t="s">
        <v>205</v>
      </c>
      <c r="E40" s="385">
        <v>555000</v>
      </c>
      <c r="F40" s="385">
        <v>577800</v>
      </c>
      <c r="G40" s="385">
        <v>509100</v>
      </c>
      <c r="H40" s="385">
        <v>419100</v>
      </c>
      <c r="I40" s="385">
        <v>345600</v>
      </c>
      <c r="J40" s="385"/>
      <c r="K40" s="385">
        <v>340500</v>
      </c>
      <c r="L40" s="385">
        <v>371400</v>
      </c>
      <c r="M40" s="385">
        <v>323400</v>
      </c>
      <c r="N40" s="385">
        <v>233700</v>
      </c>
      <c r="O40" s="385">
        <v>198600</v>
      </c>
      <c r="P40" s="385">
        <v>384000</v>
      </c>
      <c r="Q40" s="385">
        <v>4258200</v>
      </c>
    </row>
    <row r="41" spans="1:17">
      <c r="A41" s="382" t="s">
        <v>206</v>
      </c>
      <c r="B41" s="384">
        <v>200007694868</v>
      </c>
      <c r="C41" s="384" t="s">
        <v>277</v>
      </c>
      <c r="D41" s="383" t="s">
        <v>205</v>
      </c>
      <c r="E41" s="385">
        <v>2056800</v>
      </c>
      <c r="F41" s="385">
        <v>1797600</v>
      </c>
      <c r="G41" s="385">
        <v>1934400</v>
      </c>
      <c r="H41" s="385">
        <v>1917600</v>
      </c>
      <c r="I41" s="385">
        <v>1776000</v>
      </c>
      <c r="J41" s="385">
        <v>1797600</v>
      </c>
      <c r="K41" s="385">
        <v>1953600</v>
      </c>
      <c r="L41" s="385">
        <v>1852800</v>
      </c>
      <c r="M41" s="385">
        <v>1555200</v>
      </c>
      <c r="N41" s="385">
        <v>780426</v>
      </c>
      <c r="O41" s="385">
        <v>1522605</v>
      </c>
      <c r="P41" s="385">
        <v>1464922</v>
      </c>
      <c r="Q41" s="385">
        <v>20409553</v>
      </c>
    </row>
    <row r="42" spans="1:17">
      <c r="A42" s="382" t="s">
        <v>206</v>
      </c>
      <c r="B42" s="384">
        <v>200008462182</v>
      </c>
      <c r="C42" s="384" t="s">
        <v>278</v>
      </c>
      <c r="D42" s="383" t="s">
        <v>205</v>
      </c>
      <c r="E42" s="385">
        <v>118200</v>
      </c>
      <c r="F42" s="385">
        <v>95160</v>
      </c>
      <c r="G42" s="385">
        <v>108720</v>
      </c>
      <c r="H42" s="385">
        <v>89280</v>
      </c>
      <c r="I42" s="385">
        <v>76200</v>
      </c>
      <c r="J42" s="385">
        <v>74280</v>
      </c>
      <c r="K42" s="385">
        <v>75600</v>
      </c>
      <c r="L42" s="385">
        <v>62520</v>
      </c>
      <c r="M42" s="385">
        <v>60360</v>
      </c>
      <c r="N42" s="385">
        <v>66840</v>
      </c>
      <c r="O42" s="385">
        <v>74160</v>
      </c>
      <c r="P42" s="385">
        <v>132048</v>
      </c>
      <c r="Q42" s="385">
        <v>1033368</v>
      </c>
    </row>
    <row r="43" spans="1:17">
      <c r="A43" s="382" t="s">
        <v>206</v>
      </c>
      <c r="B43" s="384">
        <v>200009378858</v>
      </c>
      <c r="C43" s="384" t="s">
        <v>279</v>
      </c>
      <c r="D43" s="383" t="s">
        <v>205</v>
      </c>
      <c r="E43" s="385">
        <v>95040</v>
      </c>
      <c r="F43" s="385">
        <v>79200</v>
      </c>
      <c r="G43" s="385">
        <v>102880</v>
      </c>
      <c r="H43" s="385">
        <v>77440</v>
      </c>
      <c r="I43" s="385">
        <v>58080</v>
      </c>
      <c r="J43" s="385">
        <v>56640</v>
      </c>
      <c r="K43" s="385">
        <v>63360</v>
      </c>
      <c r="L43" s="385">
        <v>58560</v>
      </c>
      <c r="M43" s="385">
        <v>61440</v>
      </c>
      <c r="N43" s="385">
        <v>71360</v>
      </c>
      <c r="O43" s="385">
        <v>77760</v>
      </c>
      <c r="P43" s="385">
        <v>82720</v>
      </c>
      <c r="Q43" s="385">
        <v>884480</v>
      </c>
    </row>
    <row r="44" spans="1:17">
      <c r="A44" s="382" t="s">
        <v>206</v>
      </c>
      <c r="B44" s="384">
        <v>200009862851</v>
      </c>
      <c r="C44" s="384" t="s">
        <v>280</v>
      </c>
      <c r="D44" s="383" t="s">
        <v>205</v>
      </c>
      <c r="E44" s="385">
        <v>215200</v>
      </c>
      <c r="F44" s="385">
        <v>180000</v>
      </c>
      <c r="G44" s="385">
        <v>200800</v>
      </c>
      <c r="H44" s="385">
        <v>176400</v>
      </c>
      <c r="I44" s="385">
        <v>145200</v>
      </c>
      <c r="J44" s="385">
        <v>136800</v>
      </c>
      <c r="K44" s="385">
        <v>157200</v>
      </c>
      <c r="L44" s="385">
        <v>166400</v>
      </c>
      <c r="M44" s="385">
        <v>142000</v>
      </c>
      <c r="N44" s="385">
        <v>151600</v>
      </c>
      <c r="O44" s="385">
        <v>155200</v>
      </c>
      <c r="P44" s="385">
        <v>176800</v>
      </c>
      <c r="Q44" s="385">
        <v>2003600</v>
      </c>
    </row>
    <row r="45" spans="1:17">
      <c r="A45" s="382" t="s">
        <v>206</v>
      </c>
      <c r="B45" s="384">
        <v>200010541296</v>
      </c>
      <c r="C45" s="384" t="s">
        <v>281</v>
      </c>
      <c r="D45" s="383" t="s">
        <v>205</v>
      </c>
      <c r="E45" s="385">
        <v>127200</v>
      </c>
      <c r="F45" s="385">
        <v>106080</v>
      </c>
      <c r="G45" s="385">
        <v>112960</v>
      </c>
      <c r="H45" s="385">
        <v>100480</v>
      </c>
      <c r="I45" s="385">
        <v>75520</v>
      </c>
      <c r="J45" s="385">
        <v>69920</v>
      </c>
      <c r="K45" s="385">
        <v>77440</v>
      </c>
      <c r="L45" s="385">
        <v>73280</v>
      </c>
      <c r="M45" s="385">
        <v>71040</v>
      </c>
      <c r="N45" s="385">
        <v>79840</v>
      </c>
      <c r="O45" s="385">
        <v>85760</v>
      </c>
      <c r="P45" s="385">
        <v>157325</v>
      </c>
      <c r="Q45" s="385">
        <v>1136845</v>
      </c>
    </row>
    <row r="46" spans="1:17">
      <c r="A46" s="382" t="s">
        <v>206</v>
      </c>
      <c r="B46" s="384">
        <v>200011161417</v>
      </c>
      <c r="C46" s="384" t="s">
        <v>282</v>
      </c>
      <c r="D46" s="383" t="s">
        <v>205</v>
      </c>
      <c r="E46" s="385">
        <v>198119</v>
      </c>
      <c r="F46" s="385">
        <v>173400</v>
      </c>
      <c r="G46" s="385">
        <v>186600</v>
      </c>
      <c r="H46" s="385">
        <v>175800</v>
      </c>
      <c r="I46" s="385">
        <v>160920</v>
      </c>
      <c r="J46" s="385">
        <v>168840</v>
      </c>
      <c r="K46" s="385">
        <v>192840</v>
      </c>
      <c r="L46" s="385">
        <v>179400</v>
      </c>
      <c r="M46" s="385">
        <v>141600</v>
      </c>
      <c r="N46" s="385">
        <v>120600</v>
      </c>
      <c r="O46" s="385">
        <v>115920</v>
      </c>
      <c r="P46" s="385">
        <v>73080</v>
      </c>
      <c r="Q46" s="385">
        <v>1887119</v>
      </c>
    </row>
    <row r="47" spans="1:17">
      <c r="A47" s="382" t="s">
        <v>206</v>
      </c>
      <c r="B47" s="384">
        <v>200011664261</v>
      </c>
      <c r="C47" s="384" t="s">
        <v>283</v>
      </c>
      <c r="D47" s="383" t="s">
        <v>205</v>
      </c>
      <c r="E47" s="385">
        <v>26440</v>
      </c>
      <c r="F47" s="385">
        <v>23040</v>
      </c>
      <c r="G47" s="385">
        <v>29080</v>
      </c>
      <c r="H47" s="385">
        <v>22560</v>
      </c>
      <c r="I47" s="385">
        <v>18440</v>
      </c>
      <c r="J47" s="385">
        <v>16800</v>
      </c>
      <c r="K47" s="385">
        <v>21200</v>
      </c>
      <c r="L47" s="385">
        <v>19920</v>
      </c>
      <c r="M47" s="385">
        <v>20080</v>
      </c>
      <c r="N47" s="385">
        <v>26880</v>
      </c>
      <c r="O47" s="385"/>
      <c r="P47" s="385">
        <v>27749</v>
      </c>
      <c r="Q47" s="385">
        <v>252189</v>
      </c>
    </row>
    <row r="48" spans="1:17">
      <c r="A48" s="382" t="s">
        <v>206</v>
      </c>
      <c r="B48" s="384">
        <v>200011693823</v>
      </c>
      <c r="C48" s="384" t="s">
        <v>284</v>
      </c>
      <c r="D48" s="383" t="s">
        <v>205</v>
      </c>
      <c r="E48" s="385">
        <v>861600</v>
      </c>
      <c r="F48" s="385">
        <v>760800</v>
      </c>
      <c r="G48" s="385">
        <v>656611</v>
      </c>
      <c r="H48" s="385">
        <v>560813</v>
      </c>
      <c r="I48" s="385">
        <v>727651</v>
      </c>
      <c r="J48" s="385">
        <v>747856</v>
      </c>
      <c r="K48" s="385">
        <v>706246</v>
      </c>
      <c r="L48" s="385">
        <v>742299</v>
      </c>
      <c r="M48" s="385">
        <v>729233</v>
      </c>
      <c r="N48" s="385">
        <v>655538</v>
      </c>
      <c r="O48" s="385">
        <v>709152</v>
      </c>
      <c r="P48" s="385">
        <v>722505</v>
      </c>
      <c r="Q48" s="385">
        <v>8580304</v>
      </c>
    </row>
    <row r="49" spans="1:17">
      <c r="A49" s="382" t="s">
        <v>206</v>
      </c>
      <c r="B49" s="384">
        <v>200014662163</v>
      </c>
      <c r="C49" s="384" t="s">
        <v>285</v>
      </c>
      <c r="D49" s="383" t="s">
        <v>205</v>
      </c>
      <c r="E49" s="385"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0</v>
      </c>
      <c r="P49" s="385">
        <v>0</v>
      </c>
      <c r="Q49" s="385">
        <v>0</v>
      </c>
    </row>
    <row r="50" spans="1:17">
      <c r="A50" s="382" t="s">
        <v>206</v>
      </c>
      <c r="B50" s="384">
        <v>200014988170</v>
      </c>
      <c r="C50" s="384" t="s">
        <v>286</v>
      </c>
      <c r="D50" s="383" t="s">
        <v>205</v>
      </c>
      <c r="E50" s="385">
        <v>84688</v>
      </c>
      <c r="F50" s="385">
        <v>76817</v>
      </c>
      <c r="G50" s="385">
        <v>74806</v>
      </c>
      <c r="H50" s="385">
        <v>84390</v>
      </c>
      <c r="I50" s="385">
        <v>67203</v>
      </c>
      <c r="J50" s="385">
        <v>53017</v>
      </c>
      <c r="K50" s="385">
        <v>50719</v>
      </c>
      <c r="L50" s="385">
        <v>54939</v>
      </c>
      <c r="M50" s="385">
        <v>54791</v>
      </c>
      <c r="N50" s="385">
        <v>53780</v>
      </c>
      <c r="O50" s="385">
        <v>61787</v>
      </c>
      <c r="P50" s="385">
        <v>67746</v>
      </c>
      <c r="Q50" s="385">
        <v>784683</v>
      </c>
    </row>
    <row r="51" spans="1:17">
      <c r="A51" s="382" t="s">
        <v>206</v>
      </c>
      <c r="B51" s="384">
        <v>200015009513</v>
      </c>
      <c r="C51" s="384" t="s">
        <v>287</v>
      </c>
      <c r="D51" s="383" t="s">
        <v>205</v>
      </c>
      <c r="E51" s="385">
        <v>1231238</v>
      </c>
      <c r="F51" s="385">
        <v>1087863</v>
      </c>
      <c r="G51" s="385">
        <v>418800</v>
      </c>
      <c r="H51" s="385">
        <v>880700</v>
      </c>
      <c r="I51" s="385"/>
      <c r="J51" s="385">
        <v>1045423</v>
      </c>
      <c r="K51" s="385">
        <v>791834</v>
      </c>
      <c r="L51" s="385">
        <v>848665</v>
      </c>
      <c r="M51" s="385">
        <v>872521</v>
      </c>
      <c r="N51" s="385">
        <v>803162</v>
      </c>
      <c r="O51" s="385">
        <v>797253</v>
      </c>
      <c r="P51" s="385">
        <v>783014</v>
      </c>
      <c r="Q51" s="385">
        <v>9560473</v>
      </c>
    </row>
    <row r="52" spans="1:17">
      <c r="A52" s="382" t="s">
        <v>206</v>
      </c>
      <c r="B52" s="384">
        <v>200015844299</v>
      </c>
      <c r="C52" s="384" t="s">
        <v>288</v>
      </c>
      <c r="D52" s="383" t="s">
        <v>205</v>
      </c>
      <c r="E52" s="385">
        <v>60000</v>
      </c>
      <c r="F52" s="385">
        <v>105600</v>
      </c>
      <c r="G52" s="385">
        <v>165600</v>
      </c>
      <c r="H52" s="385">
        <v>196800</v>
      </c>
      <c r="I52" s="385">
        <v>220800</v>
      </c>
      <c r="J52" s="385">
        <v>206400</v>
      </c>
      <c r="K52" s="385">
        <v>307200</v>
      </c>
      <c r="L52" s="385">
        <v>350400</v>
      </c>
      <c r="M52" s="385">
        <v>290400</v>
      </c>
      <c r="N52" s="385">
        <v>189600</v>
      </c>
      <c r="O52" s="385">
        <v>64800</v>
      </c>
      <c r="P52" s="385">
        <v>67200</v>
      </c>
      <c r="Q52" s="385">
        <v>2224800</v>
      </c>
    </row>
    <row r="53" spans="1:17">
      <c r="A53" s="382" t="s">
        <v>206</v>
      </c>
      <c r="B53" s="384">
        <v>200015844489</v>
      </c>
      <c r="C53" s="384" t="s">
        <v>289</v>
      </c>
      <c r="D53" s="383" t="s">
        <v>205</v>
      </c>
      <c r="E53" s="385"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v>0</v>
      </c>
      <c r="K53" s="385">
        <v>0</v>
      </c>
      <c r="L53" s="385">
        <v>4800</v>
      </c>
      <c r="M53" s="385">
        <v>81600</v>
      </c>
      <c r="N53" s="385">
        <v>50</v>
      </c>
      <c r="O53" s="385">
        <v>0</v>
      </c>
      <c r="P53" s="385">
        <v>0</v>
      </c>
      <c r="Q53" s="385">
        <v>86450</v>
      </c>
    </row>
    <row r="54" spans="1:17">
      <c r="A54" s="382" t="s">
        <v>206</v>
      </c>
      <c r="B54" s="384">
        <v>200017445277</v>
      </c>
      <c r="C54" s="384" t="s">
        <v>290</v>
      </c>
      <c r="D54" s="383" t="s">
        <v>205</v>
      </c>
      <c r="E54" s="385">
        <v>0</v>
      </c>
      <c r="F54" s="385">
        <v>0</v>
      </c>
      <c r="G54" s="385">
        <v>0</v>
      </c>
      <c r="H54" s="385">
        <v>0</v>
      </c>
      <c r="I54" s="385">
        <v>0</v>
      </c>
      <c r="J54" s="385">
        <v>0</v>
      </c>
      <c r="K54" s="385">
        <v>0</v>
      </c>
      <c r="L54" s="385">
        <v>0</v>
      </c>
      <c r="M54" s="385">
        <v>0</v>
      </c>
      <c r="N54" s="385">
        <v>0</v>
      </c>
      <c r="O54" s="385">
        <v>0</v>
      </c>
      <c r="P54" s="385">
        <v>0</v>
      </c>
      <c r="Q54" s="385">
        <v>0</v>
      </c>
    </row>
    <row r="55" spans="1:17">
      <c r="A55" s="382" t="s">
        <v>206</v>
      </c>
      <c r="B55" s="384">
        <v>200017445434</v>
      </c>
      <c r="C55" s="384" t="s">
        <v>291</v>
      </c>
      <c r="D55" s="383" t="s">
        <v>205</v>
      </c>
      <c r="E55" s="385">
        <v>926400</v>
      </c>
      <c r="F55" s="385">
        <v>842400</v>
      </c>
      <c r="G55" s="385">
        <v>933600</v>
      </c>
      <c r="H55" s="385">
        <v>818400</v>
      </c>
      <c r="I55" s="385">
        <v>489600</v>
      </c>
      <c r="J55" s="385">
        <v>309600</v>
      </c>
      <c r="K55" s="385">
        <v>780000</v>
      </c>
      <c r="L55" s="385">
        <v>890400</v>
      </c>
      <c r="M55" s="385">
        <v>890400</v>
      </c>
      <c r="N55" s="385">
        <v>777600</v>
      </c>
      <c r="O55" s="385">
        <v>876000</v>
      </c>
      <c r="P55" s="385">
        <v>364961</v>
      </c>
      <c r="Q55" s="385">
        <v>8899361</v>
      </c>
    </row>
    <row r="56" spans="1:17">
      <c r="A56" s="382" t="s">
        <v>206</v>
      </c>
      <c r="B56" s="384">
        <v>200017461670</v>
      </c>
      <c r="C56" s="384" t="s">
        <v>292</v>
      </c>
      <c r="D56" s="383" t="s">
        <v>205</v>
      </c>
      <c r="E56" s="385">
        <v>291900</v>
      </c>
      <c r="F56" s="385">
        <v>253200</v>
      </c>
      <c r="G56" s="385">
        <v>294000</v>
      </c>
      <c r="H56" s="385">
        <v>278700</v>
      </c>
      <c r="I56" s="385">
        <v>235500</v>
      </c>
      <c r="J56" s="385">
        <v>201000</v>
      </c>
      <c r="K56" s="385">
        <v>188100</v>
      </c>
      <c r="L56" s="385">
        <v>181500</v>
      </c>
      <c r="M56" s="385">
        <v>172500</v>
      </c>
      <c r="N56" s="385">
        <v>169200</v>
      </c>
      <c r="O56" s="385">
        <v>179400</v>
      </c>
      <c r="P56" s="385">
        <v>209400</v>
      </c>
      <c r="Q56" s="385">
        <v>2654400</v>
      </c>
    </row>
    <row r="57" spans="1:17">
      <c r="A57" s="382" t="s">
        <v>206</v>
      </c>
      <c r="B57" s="384">
        <v>200019633367</v>
      </c>
      <c r="C57" s="384" t="s">
        <v>293</v>
      </c>
      <c r="D57" s="383" t="s">
        <v>205</v>
      </c>
      <c r="E57" s="385">
        <v>412387</v>
      </c>
      <c r="F57" s="385">
        <v>712538</v>
      </c>
      <c r="G57" s="385"/>
      <c r="H57" s="385">
        <v>332637</v>
      </c>
      <c r="I57" s="385">
        <v>300251</v>
      </c>
      <c r="J57" s="385">
        <v>285045</v>
      </c>
      <c r="K57" s="385">
        <v>271139</v>
      </c>
      <c r="L57" s="385">
        <v>280688</v>
      </c>
      <c r="M57" s="385">
        <v>284653</v>
      </c>
      <c r="N57" s="385">
        <v>251052</v>
      </c>
      <c r="O57" s="385">
        <v>304272</v>
      </c>
      <c r="P57" s="385">
        <v>313297</v>
      </c>
      <c r="Q57" s="385">
        <v>3747959</v>
      </c>
    </row>
    <row r="58" spans="1:17">
      <c r="A58" s="382" t="s">
        <v>206</v>
      </c>
      <c r="B58" s="384">
        <v>200020690513</v>
      </c>
      <c r="C58" s="384" t="s">
        <v>294</v>
      </c>
      <c r="D58" s="383" t="s">
        <v>205</v>
      </c>
      <c r="E58" s="385">
        <v>502200</v>
      </c>
      <c r="F58" s="385">
        <v>415200</v>
      </c>
      <c r="G58" s="385">
        <v>426600</v>
      </c>
      <c r="H58" s="385">
        <v>356400</v>
      </c>
      <c r="I58" s="385">
        <v>282000</v>
      </c>
      <c r="J58" s="385">
        <v>282600</v>
      </c>
      <c r="K58" s="385">
        <v>301200</v>
      </c>
      <c r="L58" s="385">
        <v>249600</v>
      </c>
      <c r="M58" s="385">
        <v>194400</v>
      </c>
      <c r="N58" s="385">
        <v>214200</v>
      </c>
      <c r="O58" s="385">
        <v>207000</v>
      </c>
      <c r="P58" s="385">
        <v>217200</v>
      </c>
      <c r="Q58" s="385">
        <v>3648600</v>
      </c>
    </row>
    <row r="59" spans="1:17">
      <c r="A59" s="382" t="s">
        <v>206</v>
      </c>
      <c r="B59" s="384">
        <v>200020849622</v>
      </c>
      <c r="C59" s="384" t="s">
        <v>295</v>
      </c>
      <c r="D59" s="383" t="s">
        <v>205</v>
      </c>
      <c r="E59" s="385">
        <v>3091200</v>
      </c>
      <c r="F59" s="385">
        <v>2596800</v>
      </c>
      <c r="G59" s="385">
        <v>2037600</v>
      </c>
      <c r="H59" s="385">
        <v>1760176</v>
      </c>
      <c r="I59" s="385">
        <v>2460058</v>
      </c>
      <c r="J59" s="385">
        <v>2495572</v>
      </c>
      <c r="K59" s="385">
        <v>2385388</v>
      </c>
      <c r="L59" s="385">
        <v>2344842</v>
      </c>
      <c r="M59" s="385">
        <v>2063858</v>
      </c>
      <c r="N59" s="385">
        <v>1749871</v>
      </c>
      <c r="O59" s="385">
        <v>1963060</v>
      </c>
      <c r="P59" s="385">
        <v>2172295</v>
      </c>
      <c r="Q59" s="385">
        <v>27120720</v>
      </c>
    </row>
    <row r="60" spans="1:17">
      <c r="A60" s="382" t="s">
        <v>206</v>
      </c>
      <c r="B60" s="384">
        <v>200023313444</v>
      </c>
      <c r="C60" s="384" t="s">
        <v>296</v>
      </c>
      <c r="D60" s="383" t="s">
        <v>205</v>
      </c>
      <c r="E60" s="385">
        <v>287852</v>
      </c>
      <c r="F60" s="385"/>
      <c r="G60" s="385">
        <v>240880</v>
      </c>
      <c r="H60" s="385">
        <v>187284</v>
      </c>
      <c r="I60" s="385">
        <v>169785</v>
      </c>
      <c r="J60" s="385">
        <v>164619</v>
      </c>
      <c r="K60" s="385">
        <v>156632</v>
      </c>
      <c r="L60" s="385">
        <v>160226</v>
      </c>
      <c r="M60" s="385">
        <v>153916</v>
      </c>
      <c r="N60" s="385">
        <v>132282</v>
      </c>
      <c r="O60" s="385">
        <v>154728</v>
      </c>
      <c r="P60" s="385">
        <v>166020</v>
      </c>
      <c r="Q60" s="385">
        <v>1974224</v>
      </c>
    </row>
    <row r="61" spans="1:17">
      <c r="A61" s="382" t="s">
        <v>206</v>
      </c>
      <c r="B61" s="384">
        <v>200023741446</v>
      </c>
      <c r="C61" s="384" t="s">
        <v>297</v>
      </c>
      <c r="D61" s="383" t="s">
        <v>205</v>
      </c>
      <c r="E61" s="385">
        <v>118400</v>
      </c>
      <c r="F61" s="385">
        <v>97120</v>
      </c>
      <c r="G61" s="385">
        <v>108160</v>
      </c>
      <c r="H61" s="385">
        <v>91680</v>
      </c>
      <c r="I61" s="385">
        <v>76320</v>
      </c>
      <c r="J61" s="385">
        <v>73600</v>
      </c>
      <c r="K61" s="385">
        <v>78400</v>
      </c>
      <c r="L61" s="385">
        <v>71680</v>
      </c>
      <c r="M61" s="385">
        <v>70720</v>
      </c>
      <c r="N61" s="385">
        <v>65920</v>
      </c>
      <c r="O61" s="385">
        <v>59200</v>
      </c>
      <c r="P61" s="385">
        <v>42720</v>
      </c>
      <c r="Q61" s="385">
        <v>953920</v>
      </c>
    </row>
    <row r="62" spans="1:17">
      <c r="A62" s="382" t="s">
        <v>206</v>
      </c>
      <c r="B62" s="384">
        <v>220010953846</v>
      </c>
      <c r="C62" s="384" t="s">
        <v>298</v>
      </c>
      <c r="D62" s="383" t="s">
        <v>205</v>
      </c>
      <c r="E62" s="385">
        <v>981600</v>
      </c>
      <c r="F62" s="385">
        <v>888000</v>
      </c>
      <c r="G62" s="385">
        <v>696000</v>
      </c>
      <c r="H62" s="385">
        <v>637418</v>
      </c>
      <c r="I62" s="385">
        <v>889920</v>
      </c>
      <c r="J62" s="385">
        <v>951463</v>
      </c>
      <c r="K62" s="385">
        <v>928860</v>
      </c>
      <c r="L62" s="385">
        <v>958770</v>
      </c>
      <c r="M62" s="385">
        <v>883976</v>
      </c>
      <c r="N62" s="385">
        <v>732270</v>
      </c>
      <c r="O62" s="385">
        <v>719868</v>
      </c>
      <c r="P62" s="385">
        <v>645197</v>
      </c>
      <c r="Q62" s="385">
        <v>9913342</v>
      </c>
    </row>
    <row r="63" spans="1:17">
      <c r="A63" s="382" t="s">
        <v>206</v>
      </c>
      <c r="B63" s="384">
        <v>220010955767</v>
      </c>
      <c r="C63" s="384" t="s">
        <v>299</v>
      </c>
      <c r="D63" s="383" t="s">
        <v>205</v>
      </c>
      <c r="E63" s="385">
        <v>185400</v>
      </c>
      <c r="F63" s="385">
        <v>133800</v>
      </c>
      <c r="G63" s="385">
        <v>114000</v>
      </c>
      <c r="H63" s="385">
        <v>171300</v>
      </c>
      <c r="I63" s="385">
        <v>175500</v>
      </c>
      <c r="J63" s="385">
        <v>34293</v>
      </c>
      <c r="K63" s="385">
        <v>78620</v>
      </c>
      <c r="L63" s="385">
        <v>61413</v>
      </c>
      <c r="M63" s="385">
        <v>42392</v>
      </c>
      <c r="N63" s="385">
        <v>56315</v>
      </c>
      <c r="O63" s="385">
        <v>170916</v>
      </c>
      <c r="P63" s="385">
        <v>320746</v>
      </c>
      <c r="Q63" s="385">
        <v>1544695</v>
      </c>
    </row>
    <row r="64" spans="1:17">
      <c r="A64" s="382" t="s">
        <v>206</v>
      </c>
      <c r="B64" s="384">
        <v>220010956351</v>
      </c>
      <c r="C64" s="384" t="s">
        <v>300</v>
      </c>
      <c r="D64" s="383" t="s">
        <v>205</v>
      </c>
      <c r="E64" s="385">
        <v>0</v>
      </c>
      <c r="F64" s="385"/>
      <c r="G64" s="385">
        <v>0</v>
      </c>
      <c r="H64" s="385">
        <v>0</v>
      </c>
      <c r="I64" s="385">
        <v>0</v>
      </c>
      <c r="J64" s="385">
        <v>0</v>
      </c>
      <c r="K64" s="385"/>
      <c r="L64" s="385">
        <v>0</v>
      </c>
      <c r="M64" s="385">
        <v>0</v>
      </c>
      <c r="N64" s="385">
        <v>0</v>
      </c>
      <c r="O64" s="385">
        <v>0</v>
      </c>
      <c r="P64" s="385">
        <v>0</v>
      </c>
      <c r="Q64" s="385">
        <v>0</v>
      </c>
    </row>
    <row r="65" spans="1:17">
      <c r="A65" s="382" t="s">
        <v>206</v>
      </c>
      <c r="B65" s="384">
        <v>220010956377</v>
      </c>
      <c r="C65" s="384" t="s">
        <v>301</v>
      </c>
      <c r="D65" s="383" t="s">
        <v>205</v>
      </c>
      <c r="E65" s="385"/>
      <c r="F65" s="385"/>
      <c r="G65" s="385"/>
      <c r="H65" s="385"/>
      <c r="I65" s="385"/>
      <c r="J65" s="385"/>
      <c r="K65" s="385">
        <v>429997</v>
      </c>
      <c r="L65" s="385"/>
      <c r="M65" s="385">
        <v>644868</v>
      </c>
      <c r="N65" s="385">
        <v>394394</v>
      </c>
      <c r="O65" s="385">
        <v>380936</v>
      </c>
      <c r="P65" s="385">
        <v>377265</v>
      </c>
      <c r="Q65" s="385">
        <v>2227460</v>
      </c>
    </row>
    <row r="66" spans="1:17">
      <c r="A66" s="382" t="s">
        <v>206</v>
      </c>
      <c r="B66" s="384">
        <v>220010956385</v>
      </c>
      <c r="C66" s="384" t="s">
        <v>302</v>
      </c>
      <c r="D66" s="383" t="s">
        <v>205</v>
      </c>
      <c r="E66" s="385">
        <v>157800</v>
      </c>
      <c r="F66" s="385">
        <v>144600</v>
      </c>
      <c r="G66" s="385">
        <v>149100</v>
      </c>
      <c r="H66" s="385">
        <v>133200</v>
      </c>
      <c r="I66" s="385">
        <v>129000</v>
      </c>
      <c r="J66" s="385">
        <v>144300</v>
      </c>
      <c r="K66" s="385">
        <v>169279</v>
      </c>
      <c r="L66" s="385"/>
      <c r="M66" s="385">
        <v>241687</v>
      </c>
      <c r="N66" s="385">
        <v>154787</v>
      </c>
      <c r="O66" s="385">
        <v>167275</v>
      </c>
      <c r="P66" s="385">
        <v>152145</v>
      </c>
      <c r="Q66" s="385">
        <v>1743173</v>
      </c>
    </row>
    <row r="67" spans="1:17">
      <c r="A67" s="382" t="s">
        <v>206</v>
      </c>
      <c r="B67" s="384">
        <v>220010957714</v>
      </c>
      <c r="C67" s="384" t="s">
        <v>303</v>
      </c>
      <c r="D67" s="383" t="s">
        <v>205</v>
      </c>
      <c r="E67" s="385">
        <v>691200</v>
      </c>
      <c r="F67" s="385">
        <v>615900</v>
      </c>
      <c r="G67" s="385">
        <v>634500</v>
      </c>
      <c r="H67" s="385">
        <v>664800</v>
      </c>
      <c r="I67" s="385">
        <v>675300</v>
      </c>
      <c r="J67" s="385">
        <v>255588</v>
      </c>
      <c r="K67" s="385">
        <v>615844</v>
      </c>
      <c r="L67" s="385">
        <v>632557</v>
      </c>
      <c r="M67" s="385">
        <v>621073</v>
      </c>
      <c r="N67" s="385">
        <v>609113</v>
      </c>
      <c r="O67" s="385">
        <v>631994</v>
      </c>
      <c r="P67" s="385">
        <v>617002</v>
      </c>
      <c r="Q67" s="385">
        <v>7264871</v>
      </c>
    </row>
    <row r="68" spans="1:17">
      <c r="A68" s="382" t="s">
        <v>206</v>
      </c>
      <c r="B68" s="384">
        <v>220010957789</v>
      </c>
      <c r="C68" s="384" t="s">
        <v>304</v>
      </c>
      <c r="D68" s="383" t="s">
        <v>205</v>
      </c>
      <c r="E68" s="385">
        <v>48300</v>
      </c>
      <c r="F68" s="385">
        <v>20100</v>
      </c>
      <c r="G68" s="385">
        <v>49800</v>
      </c>
      <c r="H68" s="385">
        <v>30300</v>
      </c>
      <c r="I68" s="385">
        <v>121500</v>
      </c>
      <c r="J68" s="385">
        <v>50123</v>
      </c>
      <c r="K68" s="385">
        <v>105110</v>
      </c>
      <c r="L68" s="385">
        <v>189881</v>
      </c>
      <c r="M68" s="385">
        <v>166484</v>
      </c>
      <c r="N68" s="385">
        <v>91432</v>
      </c>
      <c r="O68" s="385">
        <v>39597</v>
      </c>
      <c r="P68" s="385">
        <v>22534</v>
      </c>
      <c r="Q68" s="385">
        <v>935161</v>
      </c>
    </row>
    <row r="69" spans="1:17">
      <c r="A69" s="382" t="s">
        <v>206</v>
      </c>
      <c r="B69" s="384">
        <v>220010958852</v>
      </c>
      <c r="C69" s="384" t="s">
        <v>305</v>
      </c>
      <c r="D69" s="383" t="s">
        <v>205</v>
      </c>
      <c r="E69" s="385"/>
      <c r="F69" s="385"/>
      <c r="G69" s="385"/>
      <c r="H69" s="385"/>
      <c r="I69" s="385"/>
      <c r="J69" s="385"/>
      <c r="K69" s="385">
        <v>38520</v>
      </c>
      <c r="L69" s="385">
        <v>20680</v>
      </c>
      <c r="M69" s="385">
        <v>31320</v>
      </c>
      <c r="N69" s="385">
        <v>44080</v>
      </c>
      <c r="O69" s="385"/>
      <c r="P69" s="385">
        <v>35161</v>
      </c>
      <c r="Q69" s="385">
        <v>169761</v>
      </c>
    </row>
    <row r="70" spans="1:17">
      <c r="A70" s="382" t="s">
        <v>206</v>
      </c>
      <c r="B70" s="384">
        <v>220010958860</v>
      </c>
      <c r="C70" s="384" t="s">
        <v>306</v>
      </c>
      <c r="D70" s="383" t="s">
        <v>205</v>
      </c>
      <c r="E70" s="385">
        <v>43840</v>
      </c>
      <c r="F70" s="385">
        <v>34400</v>
      </c>
      <c r="G70" s="385">
        <v>38200</v>
      </c>
      <c r="H70" s="385">
        <v>32680</v>
      </c>
      <c r="I70" s="385">
        <v>22080</v>
      </c>
      <c r="J70" s="385">
        <v>19160</v>
      </c>
      <c r="K70" s="385">
        <v>16297</v>
      </c>
      <c r="L70" s="385">
        <v>6453</v>
      </c>
      <c r="M70" s="385">
        <v>15769</v>
      </c>
      <c r="N70" s="385">
        <v>20056</v>
      </c>
      <c r="O70" s="385">
        <v>28114</v>
      </c>
      <c r="P70" s="385">
        <v>23105</v>
      </c>
      <c r="Q70" s="385">
        <v>300154</v>
      </c>
    </row>
    <row r="71" spans="1:17">
      <c r="A71" s="382" t="s">
        <v>206</v>
      </c>
      <c r="B71" s="384">
        <v>220010960239</v>
      </c>
      <c r="C71" s="384" t="s">
        <v>307</v>
      </c>
      <c r="D71" s="383" t="s">
        <v>205</v>
      </c>
      <c r="E71" s="385">
        <v>1435200</v>
      </c>
      <c r="F71" s="385">
        <v>1308000</v>
      </c>
      <c r="G71" s="385">
        <v>1341600</v>
      </c>
      <c r="H71" s="385">
        <v>1363200</v>
      </c>
      <c r="I71" s="385">
        <v>1269600</v>
      </c>
      <c r="J71" s="385">
        <v>1291200</v>
      </c>
      <c r="K71" s="385">
        <v>0</v>
      </c>
      <c r="L71" s="385">
        <v>2611200</v>
      </c>
      <c r="M71" s="385">
        <v>1255200</v>
      </c>
      <c r="N71" s="385">
        <v>-6427200</v>
      </c>
      <c r="O71" s="385">
        <v>8411410</v>
      </c>
      <c r="P71" s="385">
        <v>1276728</v>
      </c>
      <c r="Q71" s="385">
        <v>15136138</v>
      </c>
    </row>
    <row r="72" spans="1:17">
      <c r="A72" s="382" t="s">
        <v>206</v>
      </c>
      <c r="B72" s="384">
        <v>220010960262</v>
      </c>
      <c r="C72" s="384" t="s">
        <v>308</v>
      </c>
      <c r="D72" s="383" t="s">
        <v>205</v>
      </c>
      <c r="E72" s="385">
        <v>1645200</v>
      </c>
      <c r="F72" s="385">
        <v>1416600</v>
      </c>
      <c r="G72" s="385">
        <v>1474500</v>
      </c>
      <c r="H72" s="385">
        <v>1489800</v>
      </c>
      <c r="I72" s="385">
        <v>1426500</v>
      </c>
      <c r="J72" s="385">
        <v>1438500</v>
      </c>
      <c r="K72" s="385">
        <v>700187</v>
      </c>
      <c r="L72" s="385">
        <v>1504359</v>
      </c>
      <c r="M72" s="385">
        <v>1525178</v>
      </c>
      <c r="N72" s="385">
        <v>1409509</v>
      </c>
      <c r="O72" s="385">
        <v>1361535</v>
      </c>
      <c r="P72" s="385">
        <v>1287745</v>
      </c>
      <c r="Q72" s="385">
        <v>16679613</v>
      </c>
    </row>
    <row r="73" spans="1:17">
      <c r="A73" s="382" t="s">
        <v>206</v>
      </c>
      <c r="B73" s="384">
        <v>220010967325</v>
      </c>
      <c r="C73" s="384" t="s">
        <v>309</v>
      </c>
      <c r="D73" s="383" t="s">
        <v>205</v>
      </c>
      <c r="E73" s="385">
        <v>247800</v>
      </c>
      <c r="F73" s="385">
        <v>213600</v>
      </c>
      <c r="G73" s="385">
        <v>220500</v>
      </c>
      <c r="H73" s="385">
        <v>210300</v>
      </c>
      <c r="I73" s="385">
        <v>194100</v>
      </c>
      <c r="J73" s="385">
        <v>202200</v>
      </c>
      <c r="K73" s="385">
        <v>207226</v>
      </c>
      <c r="L73" s="385"/>
      <c r="M73" s="385">
        <v>278788</v>
      </c>
      <c r="N73" s="385">
        <v>172770</v>
      </c>
      <c r="O73" s="385">
        <v>190744</v>
      </c>
      <c r="P73" s="385">
        <v>225443</v>
      </c>
      <c r="Q73" s="385">
        <v>2363471</v>
      </c>
    </row>
    <row r="74" spans="1:17">
      <c r="A74" s="382" t="s">
        <v>206</v>
      </c>
      <c r="B74" s="384">
        <v>220010967366</v>
      </c>
      <c r="C74" s="384" t="s">
        <v>310</v>
      </c>
      <c r="D74" s="383" t="s">
        <v>205</v>
      </c>
      <c r="E74" s="385">
        <v>384301</v>
      </c>
      <c r="F74" s="385">
        <v>303900</v>
      </c>
      <c r="G74" s="385">
        <v>318000</v>
      </c>
      <c r="H74" s="385">
        <v>278400</v>
      </c>
      <c r="I74" s="385">
        <v>237300</v>
      </c>
      <c r="J74" s="385">
        <v>213300</v>
      </c>
      <c r="K74" s="385">
        <v>270504</v>
      </c>
      <c r="L74" s="385">
        <v>137714</v>
      </c>
      <c r="M74" s="385">
        <v>285756</v>
      </c>
      <c r="N74" s="385">
        <v>224383</v>
      </c>
      <c r="O74" s="385">
        <v>214291</v>
      </c>
      <c r="P74" s="385">
        <v>222472</v>
      </c>
      <c r="Q74" s="385">
        <v>3090321</v>
      </c>
    </row>
    <row r="75" spans="1:17">
      <c r="A75" s="382" t="s">
        <v>206</v>
      </c>
      <c r="B75" s="384">
        <v>220010967374</v>
      </c>
      <c r="C75" s="384" t="s">
        <v>311</v>
      </c>
      <c r="D75" s="383" t="s">
        <v>205</v>
      </c>
      <c r="E75" s="385">
        <v>265500</v>
      </c>
      <c r="F75" s="385">
        <v>243900</v>
      </c>
      <c r="G75" s="385">
        <v>259800</v>
      </c>
      <c r="H75" s="385">
        <v>253200</v>
      </c>
      <c r="I75" s="385">
        <v>234300</v>
      </c>
      <c r="J75" s="385">
        <v>247500</v>
      </c>
      <c r="K75" s="385">
        <v>250185</v>
      </c>
      <c r="L75" s="385"/>
      <c r="M75" s="385">
        <v>376263</v>
      </c>
      <c r="N75" s="385">
        <v>238851</v>
      </c>
      <c r="O75" s="385">
        <v>267176</v>
      </c>
      <c r="P75" s="385">
        <v>263841</v>
      </c>
      <c r="Q75" s="385">
        <v>2900516</v>
      </c>
    </row>
    <row r="76" spans="1:17">
      <c r="A76" s="382" t="s">
        <v>206</v>
      </c>
      <c r="B76" s="384">
        <v>220010983298</v>
      </c>
      <c r="C76" s="384" t="s">
        <v>312</v>
      </c>
      <c r="D76" s="383" t="s">
        <v>205</v>
      </c>
      <c r="E76" s="385">
        <v>813900</v>
      </c>
      <c r="F76" s="385">
        <v>708900</v>
      </c>
      <c r="G76" s="385">
        <v>723600</v>
      </c>
      <c r="H76" s="385">
        <v>738600</v>
      </c>
      <c r="I76" s="385">
        <v>713101</v>
      </c>
      <c r="J76" s="385">
        <v>285828</v>
      </c>
      <c r="K76" s="385">
        <v>669803</v>
      </c>
      <c r="L76" s="385">
        <v>679015</v>
      </c>
      <c r="M76" s="385">
        <v>690380</v>
      </c>
      <c r="N76" s="385">
        <v>667836</v>
      </c>
      <c r="O76" s="385">
        <v>692963</v>
      </c>
      <c r="P76" s="385">
        <v>626151</v>
      </c>
      <c r="Q76" s="385">
        <v>8010077</v>
      </c>
    </row>
    <row r="77" spans="1:17">
      <c r="A77" s="382" t="s">
        <v>207</v>
      </c>
      <c r="B77" s="384">
        <v>200015787761</v>
      </c>
      <c r="C77" s="384" t="s">
        <v>313</v>
      </c>
      <c r="D77" s="383" t="s">
        <v>205</v>
      </c>
      <c r="E77" s="385">
        <v>2887200</v>
      </c>
      <c r="F77" s="385">
        <v>2491200</v>
      </c>
      <c r="G77" s="385">
        <v>2577600</v>
      </c>
      <c r="H77" s="385">
        <v>2640000</v>
      </c>
      <c r="I77" s="385">
        <v>2491200</v>
      </c>
      <c r="J77" s="385">
        <v>2611200</v>
      </c>
      <c r="K77" s="385">
        <v>2836800</v>
      </c>
      <c r="L77" s="385">
        <v>2786400</v>
      </c>
      <c r="M77" s="385">
        <v>2548800</v>
      </c>
      <c r="N77" s="385">
        <v>1338775</v>
      </c>
      <c r="O77" s="385">
        <v>2508488</v>
      </c>
      <c r="P77" s="385">
        <v>2260960</v>
      </c>
      <c r="Q77" s="385">
        <v>29978623</v>
      </c>
    </row>
    <row r="78" spans="1:17">
      <c r="A78" s="382" t="s">
        <v>207</v>
      </c>
      <c r="B78" s="384">
        <v>200015844109</v>
      </c>
      <c r="C78" s="384" t="s">
        <v>314</v>
      </c>
      <c r="D78" s="383" t="s">
        <v>205</v>
      </c>
      <c r="E78" s="385">
        <v>0</v>
      </c>
      <c r="F78" s="385">
        <v>0</v>
      </c>
      <c r="G78" s="385">
        <v>0</v>
      </c>
      <c r="H78" s="385">
        <v>0</v>
      </c>
      <c r="I78" s="385">
        <v>0</v>
      </c>
      <c r="J78" s="385">
        <v>0</v>
      </c>
      <c r="K78" s="385">
        <v>0</v>
      </c>
      <c r="L78" s="385">
        <v>0</v>
      </c>
      <c r="M78" s="385">
        <v>0</v>
      </c>
      <c r="N78" s="385">
        <v>0</v>
      </c>
      <c r="O78" s="385">
        <v>0</v>
      </c>
      <c r="P78" s="385">
        <v>0</v>
      </c>
      <c r="Q78" s="385">
        <v>0</v>
      </c>
    </row>
    <row r="79" spans="1:17">
      <c r="A79" s="382" t="s">
        <v>208</v>
      </c>
      <c r="B79" s="384">
        <v>200003677115</v>
      </c>
      <c r="C79" s="384" t="s">
        <v>315</v>
      </c>
      <c r="D79" s="383" t="s">
        <v>205</v>
      </c>
      <c r="E79" s="385">
        <v>102890</v>
      </c>
      <c r="F79" s="385">
        <v>138143</v>
      </c>
      <c r="G79" s="385">
        <v>134990</v>
      </c>
      <c r="H79" s="385">
        <v>146154</v>
      </c>
      <c r="I79" s="385">
        <v>128810</v>
      </c>
      <c r="J79" s="385">
        <v>147973</v>
      </c>
      <c r="K79" s="385">
        <v>159903</v>
      </c>
      <c r="L79" s="385">
        <v>175721</v>
      </c>
      <c r="M79" s="385">
        <v>152375</v>
      </c>
      <c r="N79" s="385">
        <v>137110</v>
      </c>
      <c r="O79" s="385">
        <v>162474</v>
      </c>
      <c r="P79" s="385">
        <v>143430</v>
      </c>
      <c r="Q79" s="385">
        <v>1729973</v>
      </c>
    </row>
    <row r="80" spans="1:17">
      <c r="A80" s="382" t="s">
        <v>208</v>
      </c>
      <c r="B80" s="384">
        <v>200008678613</v>
      </c>
      <c r="C80" s="384" t="s">
        <v>316</v>
      </c>
      <c r="D80" s="383" t="s">
        <v>205</v>
      </c>
      <c r="E80" s="385">
        <v>107680</v>
      </c>
      <c r="F80" s="385">
        <v>94880</v>
      </c>
      <c r="G80" s="385">
        <v>98400</v>
      </c>
      <c r="H80" s="385">
        <v>89120</v>
      </c>
      <c r="I80" s="385">
        <v>103840</v>
      </c>
      <c r="J80" s="385"/>
      <c r="K80" s="385">
        <v>92905</v>
      </c>
      <c r="L80" s="385">
        <v>81972</v>
      </c>
      <c r="M80" s="385">
        <v>82235</v>
      </c>
      <c r="N80" s="385">
        <v>75960</v>
      </c>
      <c r="O80" s="385">
        <v>84172</v>
      </c>
      <c r="P80" s="385">
        <v>92605</v>
      </c>
      <c r="Q80" s="385">
        <v>1003769</v>
      </c>
    </row>
    <row r="81" spans="1:17">
      <c r="A81" s="382" t="s">
        <v>208</v>
      </c>
      <c r="B81" s="384">
        <v>200009084639</v>
      </c>
      <c r="C81" s="384" t="s">
        <v>317</v>
      </c>
      <c r="D81" s="383" t="s">
        <v>205</v>
      </c>
      <c r="E81" s="385">
        <v>43680</v>
      </c>
      <c r="F81" s="385">
        <v>40640</v>
      </c>
      <c r="G81" s="385">
        <v>41280</v>
      </c>
      <c r="H81" s="385"/>
      <c r="I81" s="385">
        <v>63744</v>
      </c>
      <c r="J81" s="385">
        <v>50465</v>
      </c>
      <c r="K81" s="385">
        <v>48675</v>
      </c>
      <c r="L81" s="385">
        <v>54967</v>
      </c>
      <c r="M81" s="385">
        <v>54605</v>
      </c>
      <c r="N81" s="385">
        <v>41378</v>
      </c>
      <c r="O81" s="385">
        <v>44414</v>
      </c>
      <c r="P81" s="385">
        <v>43443</v>
      </c>
      <c r="Q81" s="385">
        <v>527291</v>
      </c>
    </row>
    <row r="82" spans="1:17">
      <c r="A82" s="382" t="s">
        <v>208</v>
      </c>
      <c r="B82" s="384">
        <v>200014278358</v>
      </c>
      <c r="C82" s="384" t="s">
        <v>318</v>
      </c>
      <c r="D82" s="383" t="s">
        <v>205</v>
      </c>
      <c r="E82" s="385">
        <v>0</v>
      </c>
      <c r="F82" s="385"/>
      <c r="G82" s="385">
        <v>8040</v>
      </c>
      <c r="H82" s="385"/>
      <c r="I82" s="385"/>
      <c r="J82" s="385"/>
      <c r="K82" s="385"/>
      <c r="L82" s="385"/>
      <c r="M82" s="385"/>
      <c r="N82" s="385"/>
      <c r="O82" s="385"/>
      <c r="P82" s="385"/>
      <c r="Q82" s="385">
        <v>8040</v>
      </c>
    </row>
    <row r="83" spans="1:17">
      <c r="A83" s="382" t="s">
        <v>208</v>
      </c>
      <c r="B83" s="384">
        <v>200015841865</v>
      </c>
      <c r="C83" s="384" t="s">
        <v>319</v>
      </c>
      <c r="D83" s="383" t="s">
        <v>205</v>
      </c>
      <c r="E83" s="385">
        <v>269100</v>
      </c>
      <c r="F83" s="385">
        <v>217200</v>
      </c>
      <c r="G83" s="385">
        <v>221400</v>
      </c>
      <c r="H83" s="385">
        <v>182100</v>
      </c>
      <c r="I83" s="385">
        <v>49800</v>
      </c>
      <c r="J83" s="385"/>
      <c r="K83" s="385">
        <v>30802</v>
      </c>
      <c r="L83" s="385">
        <v>22377</v>
      </c>
      <c r="M83" s="385">
        <v>55141</v>
      </c>
      <c r="N83" s="385">
        <v>171773</v>
      </c>
      <c r="O83" s="385">
        <v>236609</v>
      </c>
      <c r="P83" s="385">
        <v>292209</v>
      </c>
      <c r="Q83" s="385">
        <v>1748511</v>
      </c>
    </row>
    <row r="84" spans="1:17">
      <c r="A84" s="382" t="s">
        <v>208</v>
      </c>
      <c r="B84" s="384">
        <v>200015842038</v>
      </c>
      <c r="C84" s="384" t="s">
        <v>320</v>
      </c>
      <c r="D84" s="383" t="s">
        <v>205</v>
      </c>
      <c r="E84" s="385">
        <v>293700</v>
      </c>
      <c r="F84" s="385">
        <v>251700</v>
      </c>
      <c r="G84" s="385">
        <v>258300</v>
      </c>
      <c r="H84" s="385">
        <v>115200</v>
      </c>
      <c r="I84" s="385">
        <v>138900</v>
      </c>
      <c r="J84" s="385"/>
      <c r="K84" s="385">
        <v>182283</v>
      </c>
      <c r="L84" s="385">
        <v>127608</v>
      </c>
      <c r="M84" s="385">
        <v>135952</v>
      </c>
      <c r="N84" s="385">
        <v>150651</v>
      </c>
      <c r="O84" s="385">
        <v>207237</v>
      </c>
      <c r="P84" s="385">
        <v>261274</v>
      </c>
      <c r="Q84" s="385">
        <v>2122805</v>
      </c>
    </row>
    <row r="85" spans="1:17">
      <c r="A85" s="382" t="s">
        <v>208</v>
      </c>
      <c r="B85" s="384">
        <v>200015843168</v>
      </c>
      <c r="C85" s="384" t="s">
        <v>321</v>
      </c>
      <c r="D85" s="383" t="s">
        <v>205</v>
      </c>
      <c r="E85" s="385">
        <v>255618</v>
      </c>
      <c r="F85" s="385">
        <v>260065</v>
      </c>
      <c r="G85" s="385">
        <v>227332</v>
      </c>
      <c r="H85" s="385">
        <v>250409</v>
      </c>
      <c r="I85" s="385">
        <v>244652</v>
      </c>
      <c r="J85" s="385">
        <v>290171</v>
      </c>
      <c r="K85" s="385">
        <v>290884</v>
      </c>
      <c r="L85" s="385">
        <v>330551</v>
      </c>
      <c r="M85" s="385">
        <v>312782</v>
      </c>
      <c r="N85" s="385">
        <v>266801</v>
      </c>
      <c r="O85" s="385">
        <v>266409</v>
      </c>
      <c r="P85" s="385">
        <v>270379</v>
      </c>
      <c r="Q85" s="385">
        <v>3266053</v>
      </c>
    </row>
    <row r="86" spans="1:17">
      <c r="A86" s="382" t="s">
        <v>208</v>
      </c>
      <c r="B86" s="384">
        <v>200015843366</v>
      </c>
      <c r="C86" s="384" t="s">
        <v>322</v>
      </c>
      <c r="D86" s="383" t="s">
        <v>205</v>
      </c>
      <c r="E86" s="385">
        <v>176512</v>
      </c>
      <c r="F86" s="385">
        <v>172162</v>
      </c>
      <c r="G86" s="385"/>
      <c r="H86" s="385">
        <v>321595</v>
      </c>
      <c r="I86" s="385">
        <v>161152</v>
      </c>
      <c r="J86" s="385">
        <v>175444</v>
      </c>
      <c r="K86" s="385">
        <v>198461</v>
      </c>
      <c r="L86" s="385">
        <v>217886</v>
      </c>
      <c r="M86" s="385">
        <v>210226</v>
      </c>
      <c r="N86" s="385">
        <v>179722</v>
      </c>
      <c r="O86" s="385">
        <v>188137</v>
      </c>
      <c r="P86" s="385">
        <v>177428</v>
      </c>
      <c r="Q86" s="385">
        <v>2178725</v>
      </c>
    </row>
    <row r="87" spans="1:17">
      <c r="A87" s="382" t="s">
        <v>208</v>
      </c>
      <c r="B87" s="384">
        <v>200015843762</v>
      </c>
      <c r="C87" s="384" t="s">
        <v>323</v>
      </c>
      <c r="D87" s="383" t="s">
        <v>205</v>
      </c>
      <c r="E87" s="385">
        <v>190970</v>
      </c>
      <c r="F87" s="385">
        <v>181317</v>
      </c>
      <c r="G87" s="385">
        <v>182787</v>
      </c>
      <c r="H87" s="385">
        <v>165051</v>
      </c>
      <c r="I87" s="385">
        <v>158304</v>
      </c>
      <c r="J87" s="385">
        <v>157364</v>
      </c>
      <c r="K87" s="385">
        <v>145794</v>
      </c>
      <c r="L87" s="385">
        <v>178315</v>
      </c>
      <c r="M87" s="385">
        <v>184355</v>
      </c>
      <c r="N87" s="385">
        <v>155326</v>
      </c>
      <c r="O87" s="385">
        <v>159024</v>
      </c>
      <c r="P87" s="385">
        <v>150052</v>
      </c>
      <c r="Q87" s="385">
        <v>2008659</v>
      </c>
    </row>
    <row r="88" spans="1:17">
      <c r="A88" s="382" t="s">
        <v>208</v>
      </c>
      <c r="B88" s="384">
        <v>200015843929</v>
      </c>
      <c r="C88" s="384" t="s">
        <v>324</v>
      </c>
      <c r="D88" s="383" t="s">
        <v>205</v>
      </c>
      <c r="E88" s="385">
        <v>240480</v>
      </c>
      <c r="F88" s="385">
        <v>227536</v>
      </c>
      <c r="G88" s="385">
        <v>201528</v>
      </c>
      <c r="H88" s="385">
        <v>216497</v>
      </c>
      <c r="I88" s="385">
        <v>202765</v>
      </c>
      <c r="J88" s="385">
        <v>201931</v>
      </c>
      <c r="K88" s="385">
        <v>212317</v>
      </c>
      <c r="L88" s="385">
        <v>246932</v>
      </c>
      <c r="M88" s="385">
        <v>243337</v>
      </c>
      <c r="N88" s="385">
        <v>190751</v>
      </c>
      <c r="O88" s="385">
        <v>188086</v>
      </c>
      <c r="P88" s="385">
        <v>180295</v>
      </c>
      <c r="Q88" s="385">
        <v>2552455</v>
      </c>
    </row>
    <row r="89" spans="1:17">
      <c r="A89" s="382" t="s">
        <v>208</v>
      </c>
      <c r="B89" s="384">
        <v>200021485087</v>
      </c>
      <c r="C89" s="384" t="s">
        <v>325</v>
      </c>
      <c r="D89" s="383" t="s">
        <v>205</v>
      </c>
      <c r="E89" s="385">
        <v>66853</v>
      </c>
      <c r="F89" s="385"/>
      <c r="G89" s="385">
        <v>87549</v>
      </c>
      <c r="H89" s="385">
        <v>57841</v>
      </c>
      <c r="I89" s="385">
        <v>49698</v>
      </c>
      <c r="J89" s="385">
        <v>43976</v>
      </c>
      <c r="K89" s="385">
        <v>42152</v>
      </c>
      <c r="L89" s="385">
        <v>47782</v>
      </c>
      <c r="M89" s="385">
        <v>45566</v>
      </c>
      <c r="N89" s="385">
        <v>44473</v>
      </c>
      <c r="O89" s="385">
        <v>53208</v>
      </c>
      <c r="P89" s="385">
        <v>54403</v>
      </c>
      <c r="Q89" s="385">
        <v>593501</v>
      </c>
    </row>
    <row r="90" spans="1:17">
      <c r="A90" s="382" t="s">
        <v>208</v>
      </c>
      <c r="B90" s="384">
        <v>200023662832</v>
      </c>
      <c r="C90" s="384" t="s">
        <v>326</v>
      </c>
      <c r="D90" s="383" t="s">
        <v>205</v>
      </c>
      <c r="E90" s="385">
        <v>249600</v>
      </c>
      <c r="F90" s="385"/>
      <c r="G90" s="385">
        <v>420250</v>
      </c>
      <c r="H90" s="385">
        <v>330136</v>
      </c>
      <c r="I90" s="385">
        <v>460138</v>
      </c>
      <c r="J90" s="385">
        <v>479464</v>
      </c>
      <c r="K90" s="385">
        <v>439959</v>
      </c>
      <c r="L90" s="385">
        <v>425965</v>
      </c>
      <c r="M90" s="385">
        <v>407678</v>
      </c>
      <c r="N90" s="385">
        <v>414081</v>
      </c>
      <c r="O90" s="385">
        <v>514523</v>
      </c>
      <c r="P90" s="385">
        <v>505839</v>
      </c>
      <c r="Q90" s="385">
        <v>4647633</v>
      </c>
    </row>
    <row r="91" spans="1:17">
      <c r="A91" s="382" t="s">
        <v>208</v>
      </c>
      <c r="B91" s="384">
        <v>200024290070</v>
      </c>
      <c r="C91" s="384" t="s">
        <v>327</v>
      </c>
      <c r="D91" s="383" t="s">
        <v>205</v>
      </c>
      <c r="E91" s="385">
        <v>8099</v>
      </c>
      <c r="F91" s="385"/>
      <c r="G91" s="385">
        <v>9994</v>
      </c>
      <c r="H91" s="385">
        <v>6647</v>
      </c>
      <c r="I91" s="385">
        <v>6153</v>
      </c>
      <c r="J91" s="385">
        <v>6172</v>
      </c>
      <c r="K91" s="385">
        <v>5766</v>
      </c>
      <c r="L91" s="385">
        <v>7098</v>
      </c>
      <c r="M91" s="385">
        <v>6760</v>
      </c>
      <c r="N91" s="385">
        <v>5718</v>
      </c>
      <c r="O91" s="385">
        <v>6205</v>
      </c>
      <c r="P91" s="385">
        <v>6857</v>
      </c>
      <c r="Q91" s="385">
        <v>75469</v>
      </c>
    </row>
    <row r="92" spans="1:17">
      <c r="A92" s="382" t="s">
        <v>208</v>
      </c>
      <c r="B92" s="384">
        <v>220010955734</v>
      </c>
      <c r="C92" s="384" t="s">
        <v>328</v>
      </c>
      <c r="D92" s="383" t="s">
        <v>205</v>
      </c>
      <c r="E92" s="385">
        <v>377280</v>
      </c>
      <c r="F92" s="385">
        <v>334440</v>
      </c>
      <c r="G92" s="385">
        <v>358320</v>
      </c>
      <c r="H92" s="385">
        <v>313260</v>
      </c>
      <c r="I92" s="385">
        <v>211380</v>
      </c>
      <c r="J92" s="385"/>
      <c r="K92" s="385">
        <v>381452</v>
      </c>
      <c r="L92" s="385">
        <v>231491</v>
      </c>
      <c r="M92" s="385">
        <v>240582</v>
      </c>
      <c r="N92" s="385">
        <v>221064</v>
      </c>
      <c r="O92" s="385">
        <v>262622</v>
      </c>
      <c r="P92" s="385">
        <v>287291</v>
      </c>
      <c r="Q92" s="385">
        <v>3219182</v>
      </c>
    </row>
    <row r="93" spans="1:17">
      <c r="A93" s="382" t="s">
        <v>208</v>
      </c>
      <c r="B93" s="384">
        <v>220010956344</v>
      </c>
      <c r="C93" s="384" t="s">
        <v>329</v>
      </c>
      <c r="D93" s="383" t="s">
        <v>205</v>
      </c>
      <c r="E93" s="385"/>
      <c r="F93" s="385">
        <v>456900</v>
      </c>
      <c r="G93" s="385">
        <v>226800</v>
      </c>
      <c r="H93" s="385">
        <v>210900</v>
      </c>
      <c r="I93" s="385">
        <v>184200</v>
      </c>
      <c r="J93" s="385">
        <v>210600</v>
      </c>
      <c r="K93" s="385">
        <v>0</v>
      </c>
      <c r="L93" s="385">
        <v>316200</v>
      </c>
      <c r="M93" s="385">
        <v>259897</v>
      </c>
      <c r="N93" s="385">
        <v>215700</v>
      </c>
      <c r="O93" s="385">
        <v>249637</v>
      </c>
      <c r="P93" s="385">
        <v>267659</v>
      </c>
      <c r="Q93" s="385">
        <v>2598493</v>
      </c>
    </row>
    <row r="94" spans="1:17">
      <c r="A94" s="382" t="s">
        <v>208</v>
      </c>
      <c r="B94" s="384">
        <v>220010956369</v>
      </c>
      <c r="C94" s="384" t="s">
        <v>330</v>
      </c>
      <c r="D94" s="383" t="s">
        <v>205</v>
      </c>
      <c r="E94" s="385">
        <v>85440</v>
      </c>
      <c r="F94" s="385">
        <v>72960</v>
      </c>
      <c r="G94" s="385">
        <v>75440</v>
      </c>
      <c r="H94" s="385"/>
      <c r="I94" s="385">
        <v>51612</v>
      </c>
      <c r="J94" s="385">
        <v>66549</v>
      </c>
      <c r="K94" s="385">
        <v>68219</v>
      </c>
      <c r="L94" s="385">
        <v>77807</v>
      </c>
      <c r="M94" s="385">
        <v>77789</v>
      </c>
      <c r="N94" s="385">
        <v>71391</v>
      </c>
      <c r="O94" s="385">
        <v>71564</v>
      </c>
      <c r="P94" s="385">
        <v>72309</v>
      </c>
      <c r="Q94" s="385">
        <v>791080</v>
      </c>
    </row>
    <row r="95" spans="1:17">
      <c r="A95" s="382" t="s">
        <v>208</v>
      </c>
      <c r="B95" s="384">
        <v>220010956377</v>
      </c>
      <c r="C95" s="384" t="s">
        <v>301</v>
      </c>
      <c r="D95" s="383" t="s">
        <v>205</v>
      </c>
      <c r="E95" s="385">
        <v>400800</v>
      </c>
      <c r="F95" s="385">
        <v>363600</v>
      </c>
      <c r="G95" s="385">
        <v>373500</v>
      </c>
      <c r="H95" s="385">
        <v>355500</v>
      </c>
      <c r="I95" s="385">
        <v>339000</v>
      </c>
      <c r="J95" s="385">
        <v>361500</v>
      </c>
      <c r="K95" s="385"/>
      <c r="L95" s="385"/>
      <c r="M95" s="385"/>
      <c r="N95" s="385"/>
      <c r="O95" s="385"/>
      <c r="P95" s="385"/>
      <c r="Q95" s="385">
        <v>2193900</v>
      </c>
    </row>
    <row r="96" spans="1:17">
      <c r="A96" s="382" t="s">
        <v>208</v>
      </c>
      <c r="B96" s="384">
        <v>220010958829</v>
      </c>
      <c r="C96" s="384" t="s">
        <v>331</v>
      </c>
      <c r="D96" s="383" t="s">
        <v>205</v>
      </c>
      <c r="E96" s="385"/>
      <c r="F96" s="385">
        <v>34063</v>
      </c>
      <c r="G96" s="385">
        <v>494721</v>
      </c>
      <c r="H96" s="385">
        <v>343623</v>
      </c>
      <c r="I96" s="385">
        <v>338454</v>
      </c>
      <c r="J96" s="385">
        <v>337535</v>
      </c>
      <c r="K96" s="385">
        <v>314479</v>
      </c>
      <c r="L96" s="385">
        <v>322534</v>
      </c>
      <c r="M96" s="385">
        <v>329778</v>
      </c>
      <c r="N96" s="385">
        <v>328178</v>
      </c>
      <c r="O96" s="385">
        <v>342658</v>
      </c>
      <c r="P96" s="385">
        <v>355424</v>
      </c>
      <c r="Q96" s="385">
        <v>3541447</v>
      </c>
    </row>
    <row r="97" spans="1:17">
      <c r="A97" s="382" t="s">
        <v>208</v>
      </c>
      <c r="B97" s="384">
        <v>220010958837</v>
      </c>
      <c r="C97" s="384" t="s">
        <v>332</v>
      </c>
      <c r="D97" s="383" t="s">
        <v>205</v>
      </c>
      <c r="E97" s="385">
        <v>232500</v>
      </c>
      <c r="F97" s="385">
        <v>196200</v>
      </c>
      <c r="G97" s="385">
        <v>213000</v>
      </c>
      <c r="H97" s="385">
        <v>196500</v>
      </c>
      <c r="I97" s="385">
        <v>160801</v>
      </c>
      <c r="J97" s="385">
        <v>126107</v>
      </c>
      <c r="K97" s="385">
        <v>208272</v>
      </c>
      <c r="L97" s="385">
        <v>230282</v>
      </c>
      <c r="M97" s="385">
        <v>224481</v>
      </c>
      <c r="N97" s="385">
        <v>175893</v>
      </c>
      <c r="O97" s="385">
        <v>169436</v>
      </c>
      <c r="P97" s="385">
        <v>160193</v>
      </c>
      <c r="Q97" s="385">
        <v>2293665</v>
      </c>
    </row>
    <row r="98" spans="1:17">
      <c r="A98" s="382" t="s">
        <v>208</v>
      </c>
      <c r="B98" s="384">
        <v>220010958845</v>
      </c>
      <c r="C98" s="384" t="s">
        <v>333</v>
      </c>
      <c r="D98" s="383" t="s">
        <v>205</v>
      </c>
      <c r="E98" s="385"/>
      <c r="F98" s="385"/>
      <c r="G98" s="385">
        <v>804687</v>
      </c>
      <c r="H98" s="385">
        <v>321458</v>
      </c>
      <c r="I98" s="385">
        <v>288903</v>
      </c>
      <c r="J98" s="385">
        <v>270972</v>
      </c>
      <c r="K98" s="385">
        <v>258735</v>
      </c>
      <c r="L98" s="385">
        <v>268890</v>
      </c>
      <c r="M98" s="385">
        <v>275828</v>
      </c>
      <c r="N98" s="385">
        <v>255450</v>
      </c>
      <c r="O98" s="385">
        <v>269327</v>
      </c>
      <c r="P98" s="385">
        <v>289397</v>
      </c>
      <c r="Q98" s="385">
        <v>3303647</v>
      </c>
    </row>
    <row r="99" spans="1:17">
      <c r="A99" s="382" t="s">
        <v>208</v>
      </c>
      <c r="B99" s="384">
        <v>220010958886</v>
      </c>
      <c r="C99" s="384" t="s">
        <v>334</v>
      </c>
      <c r="D99" s="383" t="s">
        <v>205</v>
      </c>
      <c r="E99" s="385"/>
      <c r="F99" s="385">
        <v>136020</v>
      </c>
      <c r="G99" s="385">
        <v>230190</v>
      </c>
      <c r="H99" s="385">
        <v>245830</v>
      </c>
      <c r="I99" s="385">
        <v>230881</v>
      </c>
      <c r="J99" s="385">
        <v>231806</v>
      </c>
      <c r="K99" s="385">
        <v>228818</v>
      </c>
      <c r="L99" s="385">
        <v>227362</v>
      </c>
      <c r="M99" s="385">
        <v>232253</v>
      </c>
      <c r="N99" s="385">
        <v>216018</v>
      </c>
      <c r="O99" s="385">
        <v>228271</v>
      </c>
      <c r="P99" s="385">
        <v>221211</v>
      </c>
      <c r="Q99" s="385">
        <v>2428660</v>
      </c>
    </row>
    <row r="100" spans="1:17">
      <c r="A100" s="382" t="s">
        <v>208</v>
      </c>
      <c r="B100" s="384">
        <v>220010959504</v>
      </c>
      <c r="C100" s="384" t="s">
        <v>335</v>
      </c>
      <c r="D100" s="383" t="s">
        <v>205</v>
      </c>
      <c r="E100" s="385"/>
      <c r="F100" s="385"/>
      <c r="G100" s="385">
        <v>488549</v>
      </c>
      <c r="H100" s="385">
        <v>167817</v>
      </c>
      <c r="I100" s="385">
        <v>151516</v>
      </c>
      <c r="J100" s="385">
        <v>146395</v>
      </c>
      <c r="K100" s="385">
        <v>142348</v>
      </c>
      <c r="L100" s="385">
        <v>140872</v>
      </c>
      <c r="M100" s="385">
        <v>146793</v>
      </c>
      <c r="N100" s="385">
        <v>140490</v>
      </c>
      <c r="O100" s="385">
        <v>156746</v>
      </c>
      <c r="P100" s="385">
        <v>162047</v>
      </c>
      <c r="Q100" s="385">
        <v>1843573</v>
      </c>
    </row>
    <row r="101" spans="1:17">
      <c r="A101" s="382" t="s">
        <v>208</v>
      </c>
      <c r="B101" s="384">
        <v>220010959538</v>
      </c>
      <c r="C101" s="384" t="s">
        <v>336</v>
      </c>
      <c r="D101" s="383" t="s">
        <v>205</v>
      </c>
      <c r="E101" s="385">
        <v>133232</v>
      </c>
      <c r="F101" s="385"/>
      <c r="G101" s="385">
        <v>310831</v>
      </c>
      <c r="H101" s="385">
        <v>219460</v>
      </c>
      <c r="I101" s="385">
        <v>205597</v>
      </c>
      <c r="J101" s="385">
        <v>208542</v>
      </c>
      <c r="K101" s="385">
        <v>210460</v>
      </c>
      <c r="L101" s="385">
        <v>215853</v>
      </c>
      <c r="M101" s="385">
        <v>221873</v>
      </c>
      <c r="N101" s="385">
        <v>202475</v>
      </c>
      <c r="O101" s="385">
        <v>216932</v>
      </c>
      <c r="P101" s="385">
        <v>206771</v>
      </c>
      <c r="Q101" s="385">
        <v>2352026</v>
      </c>
    </row>
    <row r="102" spans="1:17">
      <c r="A102" s="382" t="s">
        <v>208</v>
      </c>
      <c r="B102" s="384">
        <v>220010959546</v>
      </c>
      <c r="C102" s="384" t="s">
        <v>337</v>
      </c>
      <c r="D102" s="383" t="s">
        <v>205</v>
      </c>
      <c r="E102" s="385">
        <v>120177</v>
      </c>
      <c r="F102" s="385"/>
      <c r="G102" s="385">
        <v>270413</v>
      </c>
      <c r="H102" s="385">
        <v>195533</v>
      </c>
      <c r="I102" s="385">
        <v>184039</v>
      </c>
      <c r="J102" s="385">
        <v>200951</v>
      </c>
      <c r="K102" s="385">
        <v>185345</v>
      </c>
      <c r="L102" s="385">
        <v>196498</v>
      </c>
      <c r="M102" s="385">
        <v>204063</v>
      </c>
      <c r="N102" s="385">
        <v>193141</v>
      </c>
      <c r="O102" s="385">
        <v>196024</v>
      </c>
      <c r="P102" s="385">
        <v>188600</v>
      </c>
      <c r="Q102" s="385">
        <v>2134784</v>
      </c>
    </row>
    <row r="103" spans="1:17">
      <c r="A103" s="382" t="s">
        <v>208</v>
      </c>
      <c r="B103" s="384">
        <v>220010959553</v>
      </c>
      <c r="C103" s="384" t="s">
        <v>338</v>
      </c>
      <c r="D103" s="383" t="s">
        <v>205</v>
      </c>
      <c r="E103" s="385"/>
      <c r="F103" s="385">
        <v>521934</v>
      </c>
      <c r="G103" s="385"/>
      <c r="H103" s="385">
        <v>325995</v>
      </c>
      <c r="I103" s="385">
        <v>325981</v>
      </c>
      <c r="J103" s="385">
        <v>308727</v>
      </c>
      <c r="K103" s="385">
        <v>304660</v>
      </c>
      <c r="L103" s="385">
        <v>298835</v>
      </c>
      <c r="M103" s="385">
        <v>300242</v>
      </c>
      <c r="N103" s="385">
        <v>294927</v>
      </c>
      <c r="O103" s="385">
        <v>315512</v>
      </c>
      <c r="P103" s="385">
        <v>325500</v>
      </c>
      <c r="Q103" s="385">
        <v>3322313</v>
      </c>
    </row>
    <row r="104" spans="1:17">
      <c r="A104" s="382" t="s">
        <v>208</v>
      </c>
      <c r="B104" s="384">
        <v>220010959561</v>
      </c>
      <c r="C104" s="384" t="s">
        <v>339</v>
      </c>
      <c r="D104" s="383" t="s">
        <v>205</v>
      </c>
      <c r="E104" s="385"/>
      <c r="F104" s="385">
        <v>416256</v>
      </c>
      <c r="G104" s="385"/>
      <c r="H104" s="385">
        <v>268859</v>
      </c>
      <c r="I104" s="385">
        <v>266845</v>
      </c>
      <c r="J104" s="385">
        <v>265164</v>
      </c>
      <c r="K104" s="385">
        <v>256785</v>
      </c>
      <c r="L104" s="385">
        <v>272115</v>
      </c>
      <c r="M104" s="385">
        <v>253061</v>
      </c>
      <c r="N104" s="385">
        <v>243302</v>
      </c>
      <c r="O104" s="385">
        <v>261512</v>
      </c>
      <c r="P104" s="385">
        <v>262644</v>
      </c>
      <c r="Q104" s="385">
        <v>2766543</v>
      </c>
    </row>
    <row r="105" spans="1:17">
      <c r="A105" s="382" t="s">
        <v>208</v>
      </c>
      <c r="B105" s="384">
        <v>220010960221</v>
      </c>
      <c r="C105" s="384" t="s">
        <v>340</v>
      </c>
      <c r="D105" s="383" t="s">
        <v>205</v>
      </c>
      <c r="E105" s="385">
        <v>164259</v>
      </c>
      <c r="F105" s="385"/>
      <c r="G105" s="385">
        <v>534088</v>
      </c>
      <c r="H105" s="385">
        <v>381855</v>
      </c>
      <c r="I105" s="385">
        <v>360519</v>
      </c>
      <c r="J105" s="385">
        <v>381800</v>
      </c>
      <c r="K105" s="385">
        <v>360121</v>
      </c>
      <c r="L105" s="385">
        <v>411127</v>
      </c>
      <c r="M105" s="385">
        <v>401111</v>
      </c>
      <c r="N105" s="385">
        <v>350413</v>
      </c>
      <c r="O105" s="385">
        <v>348236</v>
      </c>
      <c r="P105" s="385">
        <v>318127</v>
      </c>
      <c r="Q105" s="385">
        <v>4011656</v>
      </c>
    </row>
    <row r="106" spans="1:17">
      <c r="A106" s="382" t="s">
        <v>208</v>
      </c>
      <c r="B106" s="384">
        <v>220010962003</v>
      </c>
      <c r="C106" s="384" t="s">
        <v>341</v>
      </c>
      <c r="D106" s="383" t="s">
        <v>205</v>
      </c>
      <c r="E106" s="385">
        <v>11747</v>
      </c>
      <c r="F106" s="385"/>
      <c r="G106" s="385">
        <v>32652</v>
      </c>
      <c r="H106" s="385">
        <v>24328</v>
      </c>
      <c r="I106" s="385">
        <v>81039</v>
      </c>
      <c r="J106" s="385">
        <v>130155</v>
      </c>
      <c r="K106" s="385">
        <v>161084</v>
      </c>
      <c r="L106" s="385">
        <v>273781</v>
      </c>
      <c r="M106" s="385">
        <v>274934</v>
      </c>
      <c r="N106" s="385">
        <v>144772</v>
      </c>
      <c r="O106" s="385">
        <v>49578</v>
      </c>
      <c r="P106" s="385">
        <v>16703</v>
      </c>
      <c r="Q106" s="385">
        <v>1200773</v>
      </c>
    </row>
    <row r="107" spans="1:17">
      <c r="A107" s="382" t="s">
        <v>208</v>
      </c>
      <c r="B107" s="384">
        <v>220010962011</v>
      </c>
      <c r="C107" s="384" t="s">
        <v>342</v>
      </c>
      <c r="D107" s="383" t="s">
        <v>205</v>
      </c>
      <c r="E107" s="385">
        <v>8445</v>
      </c>
      <c r="F107" s="385"/>
      <c r="G107" s="385">
        <v>13756</v>
      </c>
      <c r="H107" s="385">
        <v>21374</v>
      </c>
      <c r="I107" s="385">
        <v>27448</v>
      </c>
      <c r="J107" s="385">
        <v>43669</v>
      </c>
      <c r="K107" s="385">
        <v>42999</v>
      </c>
      <c r="L107" s="385">
        <v>153196</v>
      </c>
      <c r="M107" s="385">
        <v>90473</v>
      </c>
      <c r="N107" s="385">
        <v>38700</v>
      </c>
      <c r="O107" s="385">
        <v>12861</v>
      </c>
      <c r="P107" s="385">
        <v>8815</v>
      </c>
      <c r="Q107" s="385">
        <v>461736</v>
      </c>
    </row>
    <row r="108" spans="1:17">
      <c r="A108" s="382" t="s">
        <v>208</v>
      </c>
      <c r="B108" s="384">
        <v>220010962029</v>
      </c>
      <c r="C108" s="384" t="s">
        <v>343</v>
      </c>
      <c r="D108" s="383" t="s">
        <v>205</v>
      </c>
      <c r="E108" s="385"/>
      <c r="F108" s="385">
        <v>108065</v>
      </c>
      <c r="G108" s="385">
        <v>178419</v>
      </c>
      <c r="H108" s="385">
        <v>188805</v>
      </c>
      <c r="I108" s="385">
        <v>164852</v>
      </c>
      <c r="J108" s="385">
        <v>168839</v>
      </c>
      <c r="K108" s="385">
        <v>169366</v>
      </c>
      <c r="L108" s="385">
        <v>170974</v>
      </c>
      <c r="M108" s="385">
        <v>171843</v>
      </c>
      <c r="N108" s="385">
        <v>156936</v>
      </c>
      <c r="O108" s="385">
        <v>163116</v>
      </c>
      <c r="P108" s="385">
        <v>156158</v>
      </c>
      <c r="Q108" s="385">
        <v>1797373</v>
      </c>
    </row>
    <row r="109" spans="1:17">
      <c r="A109" s="382" t="s">
        <v>208</v>
      </c>
      <c r="B109" s="384">
        <v>220010962037</v>
      </c>
      <c r="C109" s="384" t="s">
        <v>344</v>
      </c>
      <c r="D109" s="383" t="s">
        <v>205</v>
      </c>
      <c r="E109" s="385"/>
      <c r="F109" s="385"/>
      <c r="G109" s="385">
        <v>526010</v>
      </c>
      <c r="H109" s="385">
        <v>211327</v>
      </c>
      <c r="I109" s="385">
        <v>172397</v>
      </c>
      <c r="J109" s="385">
        <v>181381</v>
      </c>
      <c r="K109" s="385">
        <v>172768</v>
      </c>
      <c r="L109" s="385">
        <v>174456</v>
      </c>
      <c r="M109" s="385">
        <v>179493</v>
      </c>
      <c r="N109" s="385">
        <v>176445</v>
      </c>
      <c r="O109" s="385">
        <v>195707</v>
      </c>
      <c r="P109" s="385">
        <v>191390</v>
      </c>
      <c r="Q109" s="385">
        <v>2181374</v>
      </c>
    </row>
    <row r="110" spans="1:17">
      <c r="A110" s="382" t="s">
        <v>208</v>
      </c>
      <c r="B110" s="384">
        <v>220010966483</v>
      </c>
      <c r="C110" s="384" t="s">
        <v>345</v>
      </c>
      <c r="D110" s="383" t="s">
        <v>205</v>
      </c>
      <c r="E110" s="385"/>
      <c r="F110" s="385">
        <v>347421</v>
      </c>
      <c r="G110" s="385">
        <v>818377</v>
      </c>
      <c r="H110" s="385">
        <v>577520</v>
      </c>
      <c r="I110" s="385">
        <v>537041</v>
      </c>
      <c r="J110" s="385">
        <v>588429</v>
      </c>
      <c r="K110" s="385">
        <v>544437</v>
      </c>
      <c r="L110" s="385">
        <v>601194</v>
      </c>
      <c r="M110" s="385">
        <v>615217</v>
      </c>
      <c r="N110" s="385">
        <v>564501</v>
      </c>
      <c r="O110" s="385">
        <v>574056</v>
      </c>
      <c r="P110" s="385">
        <v>551587</v>
      </c>
      <c r="Q110" s="385">
        <v>6319780</v>
      </c>
    </row>
    <row r="111" spans="1:17">
      <c r="A111" s="382" t="s">
        <v>208</v>
      </c>
      <c r="B111" s="384">
        <v>220010967309</v>
      </c>
      <c r="C111" s="384" t="s">
        <v>346</v>
      </c>
      <c r="D111" s="383" t="s">
        <v>205</v>
      </c>
      <c r="E111" s="385">
        <v>391164</v>
      </c>
      <c r="F111" s="385"/>
      <c r="G111" s="385">
        <v>1253983</v>
      </c>
      <c r="H111" s="385"/>
      <c r="I111" s="385">
        <v>1734882</v>
      </c>
      <c r="J111" s="385">
        <v>936472</v>
      </c>
      <c r="K111" s="385">
        <v>894561</v>
      </c>
      <c r="L111" s="385">
        <v>1001232</v>
      </c>
      <c r="M111" s="385">
        <v>991074</v>
      </c>
      <c r="N111" s="385">
        <v>878896</v>
      </c>
      <c r="O111" s="385">
        <v>894440</v>
      </c>
      <c r="P111" s="385">
        <v>855478</v>
      </c>
      <c r="Q111" s="385">
        <v>9832182</v>
      </c>
    </row>
    <row r="112" spans="1:17">
      <c r="A112" s="382" t="s">
        <v>208</v>
      </c>
      <c r="B112" s="384">
        <v>220010967341</v>
      </c>
      <c r="C112" s="384" t="s">
        <v>347</v>
      </c>
      <c r="D112" s="383" t="s">
        <v>205</v>
      </c>
      <c r="E112" s="385">
        <v>0</v>
      </c>
      <c r="F112" s="385"/>
      <c r="G112" s="385">
        <v>5600</v>
      </c>
      <c r="H112" s="385"/>
      <c r="I112" s="385"/>
      <c r="J112" s="385"/>
      <c r="K112" s="385"/>
      <c r="L112" s="385"/>
      <c r="M112" s="385"/>
      <c r="N112" s="385"/>
      <c r="O112" s="385"/>
      <c r="P112" s="385"/>
      <c r="Q112" s="385">
        <v>5600</v>
      </c>
    </row>
    <row r="113" spans="1:17">
      <c r="A113" s="382" t="s">
        <v>208</v>
      </c>
      <c r="B113" s="384">
        <v>220010967655</v>
      </c>
      <c r="C113" s="384" t="s">
        <v>348</v>
      </c>
      <c r="D113" s="383" t="s">
        <v>205</v>
      </c>
      <c r="E113" s="385">
        <v>674745</v>
      </c>
      <c r="F113" s="385"/>
      <c r="G113" s="385">
        <v>841141</v>
      </c>
      <c r="H113" s="385">
        <v>613979</v>
      </c>
      <c r="I113" s="385">
        <v>580701</v>
      </c>
      <c r="J113" s="385">
        <v>583854</v>
      </c>
      <c r="K113" s="385">
        <v>552258</v>
      </c>
      <c r="L113" s="385">
        <v>607753</v>
      </c>
      <c r="M113" s="385">
        <v>592977</v>
      </c>
      <c r="N113" s="385">
        <v>501910</v>
      </c>
      <c r="O113" s="385">
        <v>503005</v>
      </c>
      <c r="P113" s="385">
        <v>474703</v>
      </c>
      <c r="Q113" s="385">
        <v>6527026</v>
      </c>
    </row>
    <row r="114" spans="1:17">
      <c r="A114" s="382" t="s">
        <v>208</v>
      </c>
      <c r="B114" s="384">
        <v>220010967663</v>
      </c>
      <c r="C114" s="384" t="s">
        <v>349</v>
      </c>
      <c r="D114" s="383" t="s">
        <v>205</v>
      </c>
      <c r="E114" s="385">
        <v>370161</v>
      </c>
      <c r="F114" s="385"/>
      <c r="G114" s="385">
        <v>356670</v>
      </c>
      <c r="H114" s="385">
        <v>268482</v>
      </c>
      <c r="I114" s="385">
        <v>256582</v>
      </c>
      <c r="J114" s="385">
        <v>269838</v>
      </c>
      <c r="K114" s="385">
        <v>263645</v>
      </c>
      <c r="L114" s="385">
        <v>276609</v>
      </c>
      <c r="M114" s="385">
        <v>274175</v>
      </c>
      <c r="N114" s="385">
        <v>252245</v>
      </c>
      <c r="O114" s="385">
        <v>274722</v>
      </c>
      <c r="P114" s="385">
        <v>272902</v>
      </c>
      <c r="Q114" s="385">
        <v>3136031</v>
      </c>
    </row>
    <row r="115" spans="1:17">
      <c r="A115" s="382" t="s">
        <v>208</v>
      </c>
      <c r="B115" s="384">
        <v>220010968026</v>
      </c>
      <c r="C115" s="384" t="s">
        <v>350</v>
      </c>
      <c r="D115" s="383" t="s">
        <v>205</v>
      </c>
      <c r="E115" s="385">
        <v>137100</v>
      </c>
      <c r="F115" s="385">
        <v>96000</v>
      </c>
      <c r="G115" s="385">
        <v>104400</v>
      </c>
      <c r="H115" s="385">
        <v>89400</v>
      </c>
      <c r="I115" s="385">
        <v>85800</v>
      </c>
      <c r="J115" s="385">
        <v>90600</v>
      </c>
      <c r="K115" s="385">
        <v>102300</v>
      </c>
      <c r="L115" s="385">
        <v>36600</v>
      </c>
      <c r="M115" s="385">
        <v>105556</v>
      </c>
      <c r="N115" s="385">
        <v>91892</v>
      </c>
      <c r="O115" s="385">
        <v>92750</v>
      </c>
      <c r="P115" s="385">
        <v>94366</v>
      </c>
      <c r="Q115" s="385">
        <v>1126764</v>
      </c>
    </row>
    <row r="116" spans="1:17">
      <c r="A116" s="382" t="s">
        <v>208</v>
      </c>
      <c r="B116" s="384">
        <v>220010968034</v>
      </c>
      <c r="C116" s="384" t="s">
        <v>351</v>
      </c>
      <c r="D116" s="383" t="s">
        <v>205</v>
      </c>
      <c r="E116" s="385">
        <v>280773</v>
      </c>
      <c r="F116" s="385"/>
      <c r="G116" s="385">
        <v>414674</v>
      </c>
      <c r="H116" s="385">
        <v>285315</v>
      </c>
      <c r="I116" s="385">
        <v>270945</v>
      </c>
      <c r="J116" s="385">
        <v>298055</v>
      </c>
      <c r="K116" s="385">
        <v>290165</v>
      </c>
      <c r="L116" s="385">
        <v>327629</v>
      </c>
      <c r="M116" s="385">
        <v>316205</v>
      </c>
      <c r="N116" s="385">
        <v>265955</v>
      </c>
      <c r="O116" s="385">
        <v>264633</v>
      </c>
      <c r="P116" s="385">
        <v>253330</v>
      </c>
      <c r="Q116" s="385">
        <v>3267679</v>
      </c>
    </row>
    <row r="117" spans="1:17">
      <c r="A117" s="382" t="s">
        <v>208</v>
      </c>
      <c r="B117" s="384">
        <v>220010968653</v>
      </c>
      <c r="C117" s="384" t="s">
        <v>352</v>
      </c>
      <c r="D117" s="383" t="s">
        <v>205</v>
      </c>
      <c r="E117" s="385"/>
      <c r="F117" s="385">
        <v>375000</v>
      </c>
      <c r="G117" s="385">
        <v>204300</v>
      </c>
      <c r="H117" s="385">
        <v>220500</v>
      </c>
      <c r="I117" s="385">
        <v>219600</v>
      </c>
      <c r="J117" s="385">
        <v>223800</v>
      </c>
      <c r="K117" s="385">
        <v>356100</v>
      </c>
      <c r="L117" s="385"/>
      <c r="M117" s="385">
        <v>289990</v>
      </c>
      <c r="N117" s="385">
        <v>235646</v>
      </c>
      <c r="O117" s="385">
        <v>278234</v>
      </c>
      <c r="P117" s="385">
        <v>284979</v>
      </c>
      <c r="Q117" s="385">
        <v>2688149</v>
      </c>
    </row>
    <row r="118" spans="1:17">
      <c r="A118" s="382" t="s">
        <v>209</v>
      </c>
      <c r="B118" s="384">
        <v>200004398562</v>
      </c>
      <c r="C118" s="384" t="s">
        <v>353</v>
      </c>
      <c r="D118" s="383">
        <v>26</v>
      </c>
      <c r="E118" s="385">
        <v>307800</v>
      </c>
      <c r="F118" s="385">
        <v>298800</v>
      </c>
      <c r="G118" s="385">
        <v>299100</v>
      </c>
      <c r="H118" s="385">
        <v>279300</v>
      </c>
      <c r="I118" s="385">
        <v>295200</v>
      </c>
      <c r="J118" s="385">
        <v>282300</v>
      </c>
      <c r="K118" s="385">
        <v>290100</v>
      </c>
      <c r="L118" s="385">
        <v>329400</v>
      </c>
      <c r="M118" s="385">
        <v>317100</v>
      </c>
      <c r="N118" s="385">
        <v>273600</v>
      </c>
      <c r="O118" s="385">
        <v>287400</v>
      </c>
      <c r="P118" s="385">
        <v>294300</v>
      </c>
      <c r="Q118" s="385">
        <v>3554400</v>
      </c>
    </row>
    <row r="119" spans="1:17">
      <c r="A119" s="382" t="s">
        <v>209</v>
      </c>
      <c r="B119" s="384">
        <v>200006956987</v>
      </c>
      <c r="C119" s="384" t="s">
        <v>354</v>
      </c>
      <c r="D119" s="383">
        <v>24</v>
      </c>
      <c r="E119" s="385">
        <v>3020</v>
      </c>
      <c r="F119" s="385">
        <v>3020</v>
      </c>
      <c r="G119" s="385">
        <v>2910</v>
      </c>
      <c r="H119" s="385">
        <v>2810</v>
      </c>
      <c r="I119" s="385">
        <v>3010</v>
      </c>
      <c r="J119" s="385">
        <v>2910</v>
      </c>
      <c r="K119" s="385">
        <v>2910</v>
      </c>
      <c r="L119" s="385">
        <v>3030</v>
      </c>
      <c r="M119" s="385">
        <v>3030</v>
      </c>
      <c r="N119" s="385">
        <v>2330</v>
      </c>
      <c r="O119" s="385">
        <v>2350</v>
      </c>
      <c r="P119" s="385">
        <v>2390</v>
      </c>
      <c r="Q119" s="385">
        <v>33720</v>
      </c>
    </row>
    <row r="120" spans="1:17">
      <c r="A120" s="382" t="s">
        <v>209</v>
      </c>
      <c r="B120" s="384">
        <v>200006957167</v>
      </c>
      <c r="C120" s="384" t="s">
        <v>355</v>
      </c>
      <c r="D120" s="383">
        <v>26</v>
      </c>
      <c r="E120" s="385">
        <v>490800</v>
      </c>
      <c r="F120" s="385">
        <v>500400</v>
      </c>
      <c r="G120" s="385">
        <v>491700</v>
      </c>
      <c r="H120" s="385">
        <v>486000</v>
      </c>
      <c r="I120" s="385">
        <v>536100</v>
      </c>
      <c r="J120" s="385">
        <v>527100</v>
      </c>
      <c r="K120" s="385">
        <v>561900</v>
      </c>
      <c r="L120" s="385">
        <v>596100</v>
      </c>
      <c r="M120" s="385">
        <v>578700</v>
      </c>
      <c r="N120" s="385">
        <v>511500</v>
      </c>
      <c r="O120" s="385">
        <v>513600</v>
      </c>
      <c r="P120" s="385">
        <v>515100</v>
      </c>
      <c r="Q120" s="385">
        <v>6309000</v>
      </c>
    </row>
    <row r="121" spans="1:17">
      <c r="A121" s="382" t="s">
        <v>209</v>
      </c>
      <c r="B121" s="384">
        <v>200006957373</v>
      </c>
      <c r="C121" s="384" t="s">
        <v>356</v>
      </c>
      <c r="D121" s="383">
        <v>26</v>
      </c>
      <c r="E121" s="385">
        <v>722100</v>
      </c>
      <c r="F121" s="385">
        <v>719160</v>
      </c>
      <c r="G121" s="385">
        <v>673140</v>
      </c>
      <c r="H121" s="385">
        <v>645720</v>
      </c>
      <c r="I121" s="385">
        <v>746520</v>
      </c>
      <c r="J121" s="385"/>
      <c r="K121" s="385">
        <v>1558260</v>
      </c>
      <c r="L121" s="385">
        <v>899940</v>
      </c>
      <c r="M121" s="385">
        <v>860760</v>
      </c>
      <c r="N121" s="385">
        <v>726660</v>
      </c>
      <c r="O121" s="385">
        <v>729060</v>
      </c>
      <c r="P121" s="385">
        <v>719580</v>
      </c>
      <c r="Q121" s="385">
        <v>9000900</v>
      </c>
    </row>
    <row r="122" spans="1:17">
      <c r="A122" s="382" t="s">
        <v>209</v>
      </c>
      <c r="B122" s="384">
        <v>200006957589</v>
      </c>
      <c r="C122" s="384" t="s">
        <v>357</v>
      </c>
      <c r="D122" s="383">
        <v>26</v>
      </c>
      <c r="E122" s="385">
        <v>376800</v>
      </c>
      <c r="F122" s="385">
        <v>383400</v>
      </c>
      <c r="G122" s="385">
        <v>365400</v>
      </c>
      <c r="H122" s="385">
        <v>361800</v>
      </c>
      <c r="I122" s="385">
        <v>416400</v>
      </c>
      <c r="J122" s="385"/>
      <c r="K122" s="385">
        <v>887700</v>
      </c>
      <c r="L122" s="385">
        <v>494100</v>
      </c>
      <c r="M122" s="385">
        <v>488100</v>
      </c>
      <c r="N122" s="385">
        <v>411300</v>
      </c>
      <c r="O122" s="385">
        <v>414000</v>
      </c>
      <c r="P122" s="385">
        <v>387000</v>
      </c>
      <c r="Q122" s="385">
        <v>4986000</v>
      </c>
    </row>
    <row r="123" spans="1:17">
      <c r="A123" s="382" t="s">
        <v>209</v>
      </c>
      <c r="B123" s="384">
        <v>200006957928</v>
      </c>
      <c r="C123" s="384" t="s">
        <v>358</v>
      </c>
      <c r="D123" s="383">
        <v>25</v>
      </c>
      <c r="E123" s="385">
        <v>50440</v>
      </c>
      <c r="F123" s="385">
        <v>46240</v>
      </c>
      <c r="G123" s="385">
        <v>46000</v>
      </c>
      <c r="H123" s="385">
        <v>44720</v>
      </c>
      <c r="I123" s="385">
        <v>44760</v>
      </c>
      <c r="J123" s="385">
        <v>40920</v>
      </c>
      <c r="K123" s="385">
        <v>43160</v>
      </c>
      <c r="L123" s="385">
        <v>43160</v>
      </c>
      <c r="M123" s="385">
        <v>44120</v>
      </c>
      <c r="N123" s="385">
        <v>42280</v>
      </c>
      <c r="O123" s="385">
        <v>45040</v>
      </c>
      <c r="P123" s="385">
        <v>47680</v>
      </c>
      <c r="Q123" s="385">
        <v>538520</v>
      </c>
    </row>
    <row r="124" spans="1:17">
      <c r="A124" s="382" t="s">
        <v>209</v>
      </c>
      <c r="B124" s="384">
        <v>200011307093</v>
      </c>
      <c r="C124" s="384" t="s">
        <v>359</v>
      </c>
      <c r="D124" s="383">
        <v>24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413</v>
      </c>
      <c r="L124" s="385">
        <v>71</v>
      </c>
      <c r="M124" s="385">
        <v>71</v>
      </c>
      <c r="N124" s="385">
        <v>66</v>
      </c>
      <c r="O124" s="385">
        <v>70</v>
      </c>
      <c r="P124" s="385">
        <v>71</v>
      </c>
      <c r="Q124" s="385">
        <v>762</v>
      </c>
    </row>
    <row r="125" spans="1:17">
      <c r="A125" s="382" t="s">
        <v>209</v>
      </c>
      <c r="B125" s="384">
        <v>200012076010</v>
      </c>
      <c r="C125" s="384" t="s">
        <v>360</v>
      </c>
      <c r="D125" s="383">
        <v>25</v>
      </c>
      <c r="E125" s="385">
        <v>24679</v>
      </c>
      <c r="F125" s="385">
        <v>26640</v>
      </c>
      <c r="G125" s="385">
        <v>27240</v>
      </c>
      <c r="H125" s="385">
        <v>26160</v>
      </c>
      <c r="I125" s="385">
        <v>29120</v>
      </c>
      <c r="J125" s="385">
        <v>30480</v>
      </c>
      <c r="K125" s="385">
        <v>31400</v>
      </c>
      <c r="L125" s="385">
        <v>33480</v>
      </c>
      <c r="M125" s="385">
        <v>32800</v>
      </c>
      <c r="N125" s="385">
        <v>27760</v>
      </c>
      <c r="O125" s="385">
        <v>26080</v>
      </c>
      <c r="P125" s="385">
        <v>22840</v>
      </c>
      <c r="Q125" s="385">
        <v>338679</v>
      </c>
    </row>
    <row r="126" spans="1:17">
      <c r="A126" s="382" t="s">
        <v>209</v>
      </c>
      <c r="B126" s="384">
        <v>200024684827</v>
      </c>
      <c r="C126" s="384" t="s">
        <v>361</v>
      </c>
      <c r="D126" s="383">
        <v>25</v>
      </c>
      <c r="E126" s="385">
        <v>74240</v>
      </c>
      <c r="F126" s="385">
        <v>63680</v>
      </c>
      <c r="G126" s="385">
        <v>66480</v>
      </c>
      <c r="H126" s="385">
        <v>56720</v>
      </c>
      <c r="I126" s="385">
        <v>47600</v>
      </c>
      <c r="J126" s="385">
        <v>42000</v>
      </c>
      <c r="K126" s="385">
        <v>44880</v>
      </c>
      <c r="L126" s="385">
        <v>42720</v>
      </c>
      <c r="M126" s="385">
        <v>43680</v>
      </c>
      <c r="N126" s="385">
        <v>44640</v>
      </c>
      <c r="O126" s="385">
        <v>47200</v>
      </c>
      <c r="P126" s="385">
        <v>63680</v>
      </c>
      <c r="Q126" s="385">
        <v>637520</v>
      </c>
    </row>
    <row r="127" spans="1:17">
      <c r="A127" s="382" t="s">
        <v>210</v>
      </c>
      <c r="B127" s="384">
        <v>200001684410</v>
      </c>
      <c r="C127" s="384" t="s">
        <v>362</v>
      </c>
      <c r="D127" s="383">
        <v>24</v>
      </c>
      <c r="E127" s="385">
        <v>15760</v>
      </c>
      <c r="F127" s="385">
        <v>15440</v>
      </c>
      <c r="G127" s="385">
        <v>15600</v>
      </c>
      <c r="H127" s="385">
        <v>13840</v>
      </c>
      <c r="I127" s="385">
        <v>13160</v>
      </c>
      <c r="J127" s="385">
        <v>13440</v>
      </c>
      <c r="K127" s="385">
        <v>15280</v>
      </c>
      <c r="L127" s="385">
        <v>15280</v>
      </c>
      <c r="M127" s="385">
        <v>14920</v>
      </c>
      <c r="N127" s="385">
        <v>14080</v>
      </c>
      <c r="O127" s="385">
        <v>15080</v>
      </c>
      <c r="P127" s="385">
        <v>17000</v>
      </c>
      <c r="Q127" s="385">
        <v>178880</v>
      </c>
    </row>
    <row r="128" spans="1:17">
      <c r="A128" s="382" t="s">
        <v>210</v>
      </c>
      <c r="B128" s="384">
        <v>200006987164</v>
      </c>
      <c r="C128" s="384" t="s">
        <v>363</v>
      </c>
      <c r="D128" s="383">
        <v>31</v>
      </c>
      <c r="E128" s="385">
        <v>2174400</v>
      </c>
      <c r="F128" s="385">
        <v>2001600</v>
      </c>
      <c r="G128" s="385">
        <v>2049600</v>
      </c>
      <c r="H128" s="385">
        <v>1908000</v>
      </c>
      <c r="I128" s="385">
        <v>2020800</v>
      </c>
      <c r="J128" s="385"/>
      <c r="K128" s="385">
        <v>4449600</v>
      </c>
      <c r="L128" s="385">
        <v>2373600</v>
      </c>
      <c r="M128" s="385">
        <v>2222400</v>
      </c>
      <c r="N128" s="385">
        <v>1934400</v>
      </c>
      <c r="O128" s="385">
        <v>1912800</v>
      </c>
      <c r="P128" s="385">
        <v>1898400</v>
      </c>
      <c r="Q128" s="385">
        <v>24945600</v>
      </c>
    </row>
    <row r="129" spans="1:33">
      <c r="A129" s="382" t="s">
        <v>210</v>
      </c>
      <c r="B129" s="384">
        <v>200010477699</v>
      </c>
      <c r="C129" s="384" t="s">
        <v>364</v>
      </c>
      <c r="D129" s="383">
        <v>25</v>
      </c>
      <c r="E129" s="385">
        <v>27680</v>
      </c>
      <c r="F129" s="385">
        <v>25760</v>
      </c>
      <c r="G129" s="385">
        <v>25200</v>
      </c>
      <c r="H129" s="385">
        <v>22320</v>
      </c>
      <c r="I129" s="385">
        <v>22320</v>
      </c>
      <c r="J129" s="385">
        <v>22800</v>
      </c>
      <c r="K129" s="385">
        <v>25040</v>
      </c>
      <c r="L129" s="385">
        <v>22880</v>
      </c>
      <c r="M129" s="385">
        <v>23760</v>
      </c>
      <c r="N129" s="385">
        <v>21600</v>
      </c>
      <c r="O129" s="385">
        <v>22400</v>
      </c>
      <c r="P129" s="385">
        <v>24160</v>
      </c>
      <c r="Q129" s="385">
        <v>285920</v>
      </c>
    </row>
    <row r="130" spans="1:33">
      <c r="A130" s="382" t="s">
        <v>211</v>
      </c>
      <c r="B130" s="384">
        <v>220007335098</v>
      </c>
      <c r="C130" s="384" t="s">
        <v>365</v>
      </c>
      <c r="D130" s="383">
        <v>25</v>
      </c>
      <c r="E130" s="385">
        <v>28160</v>
      </c>
      <c r="F130" s="385">
        <v>31680</v>
      </c>
      <c r="G130" s="385">
        <v>22000</v>
      </c>
      <c r="H130" s="385">
        <v>16560</v>
      </c>
      <c r="I130" s="385">
        <v>13920</v>
      </c>
      <c r="J130" s="385">
        <v>16240</v>
      </c>
      <c r="K130" s="385">
        <v>15520</v>
      </c>
      <c r="L130" s="385">
        <v>16000</v>
      </c>
      <c r="M130" s="385">
        <v>14400</v>
      </c>
      <c r="N130" s="385">
        <v>15200</v>
      </c>
      <c r="O130" s="385">
        <v>20480</v>
      </c>
      <c r="P130" s="385">
        <v>20480</v>
      </c>
      <c r="Q130" s="385">
        <v>230640</v>
      </c>
    </row>
    <row r="131" spans="1:33">
      <c r="A131" s="382" t="s">
        <v>211</v>
      </c>
      <c r="B131" s="384">
        <v>220007335379</v>
      </c>
      <c r="C131" s="384" t="s">
        <v>366</v>
      </c>
      <c r="D131" s="383">
        <v>25</v>
      </c>
      <c r="E131" s="385">
        <v>28440</v>
      </c>
      <c r="F131" s="385">
        <v>26800</v>
      </c>
      <c r="G131" s="385">
        <v>48880</v>
      </c>
      <c r="H131" s="385">
        <v>18120</v>
      </c>
      <c r="I131" s="385">
        <v>12160</v>
      </c>
      <c r="J131" s="385">
        <v>11240</v>
      </c>
      <c r="K131" s="385">
        <v>10880</v>
      </c>
      <c r="L131" s="385">
        <v>9840</v>
      </c>
      <c r="M131" s="385">
        <v>5520</v>
      </c>
      <c r="N131" s="385">
        <v>4640</v>
      </c>
      <c r="O131" s="385">
        <v>5520</v>
      </c>
      <c r="P131" s="385">
        <v>5840</v>
      </c>
      <c r="Q131" s="385">
        <v>187880</v>
      </c>
    </row>
    <row r="132" spans="1:33">
      <c r="A132" s="382" t="s">
        <v>211</v>
      </c>
      <c r="B132" s="384">
        <v>220007335692</v>
      </c>
      <c r="C132" s="384" t="s">
        <v>367</v>
      </c>
      <c r="D132" s="383">
        <v>25</v>
      </c>
      <c r="E132" s="385">
        <v>10530</v>
      </c>
      <c r="F132" s="385">
        <v>10430</v>
      </c>
      <c r="G132" s="385">
        <v>11970</v>
      </c>
      <c r="H132" s="385">
        <v>12530</v>
      </c>
      <c r="I132" s="385">
        <v>17200</v>
      </c>
      <c r="J132" s="385">
        <v>16660</v>
      </c>
      <c r="K132" s="385">
        <v>19240</v>
      </c>
      <c r="L132" s="385">
        <v>17190</v>
      </c>
      <c r="M132" s="385">
        <v>13990</v>
      </c>
      <c r="N132" s="385">
        <v>11190</v>
      </c>
      <c r="O132" s="385">
        <v>11260</v>
      </c>
      <c r="P132" s="385">
        <v>9250</v>
      </c>
      <c r="Q132" s="385">
        <v>161440</v>
      </c>
    </row>
    <row r="133" spans="1:33">
      <c r="A133" s="382" t="s">
        <v>211</v>
      </c>
      <c r="B133" s="384">
        <v>220007338712</v>
      </c>
      <c r="C133" s="384" t="s">
        <v>368</v>
      </c>
      <c r="D133" s="383">
        <v>24</v>
      </c>
      <c r="E133" s="385">
        <v>16300</v>
      </c>
      <c r="F133" s="385">
        <v>15260</v>
      </c>
      <c r="G133" s="385">
        <v>13930</v>
      </c>
      <c r="H133" s="385">
        <v>13650</v>
      </c>
      <c r="I133" s="385">
        <v>14320</v>
      </c>
      <c r="J133" s="385">
        <v>13300</v>
      </c>
      <c r="K133" s="385">
        <v>15890</v>
      </c>
      <c r="L133" s="385">
        <v>17520</v>
      </c>
      <c r="M133" s="385">
        <v>14200</v>
      </c>
      <c r="N133" s="385">
        <v>13370</v>
      </c>
      <c r="O133" s="385">
        <v>15400</v>
      </c>
      <c r="P133" s="385">
        <v>13210</v>
      </c>
      <c r="Q133" s="385">
        <v>176350</v>
      </c>
    </row>
    <row r="134" spans="1:33">
      <c r="A134" s="382" t="s">
        <v>211</v>
      </c>
      <c r="B134" s="384">
        <v>220007338738</v>
      </c>
      <c r="C134" s="384" t="s">
        <v>369</v>
      </c>
      <c r="D134" s="383">
        <v>24</v>
      </c>
      <c r="E134" s="385">
        <v>12900</v>
      </c>
      <c r="F134" s="385">
        <v>13740</v>
      </c>
      <c r="G134" s="385">
        <v>13280</v>
      </c>
      <c r="H134" s="385">
        <v>12080</v>
      </c>
      <c r="I134" s="385">
        <v>11560</v>
      </c>
      <c r="J134" s="385">
        <v>9910</v>
      </c>
      <c r="K134" s="385">
        <v>10260</v>
      </c>
      <c r="L134" s="385">
        <v>5710</v>
      </c>
      <c r="M134" s="385">
        <v>5730</v>
      </c>
      <c r="N134" s="385">
        <v>6840</v>
      </c>
      <c r="O134" s="385">
        <v>10490</v>
      </c>
      <c r="P134" s="385">
        <v>11580</v>
      </c>
      <c r="Q134" s="385">
        <v>124080</v>
      </c>
    </row>
    <row r="135" spans="1:33">
      <c r="A135" s="382" t="s">
        <v>211</v>
      </c>
      <c r="B135" s="384">
        <v>220007338746</v>
      </c>
      <c r="C135" s="384" t="s">
        <v>370</v>
      </c>
      <c r="D135" s="383">
        <v>24</v>
      </c>
      <c r="E135" s="385">
        <v>10230</v>
      </c>
      <c r="F135" s="385">
        <v>9980</v>
      </c>
      <c r="G135" s="385">
        <v>9610</v>
      </c>
      <c r="H135" s="385">
        <v>9570</v>
      </c>
      <c r="I135" s="385">
        <v>10980</v>
      </c>
      <c r="J135" s="385">
        <v>10180</v>
      </c>
      <c r="K135" s="385">
        <v>12200</v>
      </c>
      <c r="L135" s="385">
        <v>12120</v>
      </c>
      <c r="M135" s="385">
        <v>9930</v>
      </c>
      <c r="N135" s="385">
        <v>9010</v>
      </c>
      <c r="O135" s="385">
        <v>9750</v>
      </c>
      <c r="P135" s="385">
        <v>8760</v>
      </c>
      <c r="Q135" s="385">
        <v>122320</v>
      </c>
    </row>
    <row r="136" spans="1:33">
      <c r="A136" s="382" t="s">
        <v>211</v>
      </c>
      <c r="B136" s="384">
        <v>220007338753</v>
      </c>
      <c r="C136" s="384" t="s">
        <v>371</v>
      </c>
      <c r="D136" s="383">
        <v>24</v>
      </c>
      <c r="E136" s="385">
        <v>16850</v>
      </c>
      <c r="F136" s="385">
        <v>15620</v>
      </c>
      <c r="G136" s="385">
        <v>13050</v>
      </c>
      <c r="H136" s="385">
        <v>12490</v>
      </c>
      <c r="I136" s="385">
        <v>12500</v>
      </c>
      <c r="J136" s="385">
        <v>11300</v>
      </c>
      <c r="K136" s="385">
        <v>13090</v>
      </c>
      <c r="L136" s="385">
        <v>15180</v>
      </c>
      <c r="M136" s="385">
        <v>15210</v>
      </c>
      <c r="N136" s="385">
        <v>16180</v>
      </c>
      <c r="O136" s="385">
        <v>21880</v>
      </c>
      <c r="P136" s="385">
        <v>20460</v>
      </c>
      <c r="Q136" s="385">
        <v>183810</v>
      </c>
    </row>
    <row r="137" spans="1:33">
      <c r="A137" s="382" t="s">
        <v>211</v>
      </c>
      <c r="B137" s="384">
        <v>220007355443</v>
      </c>
      <c r="C137" s="384" t="s">
        <v>372</v>
      </c>
      <c r="D137" s="383">
        <v>31</v>
      </c>
      <c r="E137" s="385">
        <v>2107200</v>
      </c>
      <c r="F137" s="385">
        <v>4497600</v>
      </c>
      <c r="G137" s="385"/>
      <c r="H137" s="385">
        <v>2083200</v>
      </c>
      <c r="I137" s="385">
        <v>2109600</v>
      </c>
      <c r="J137" s="385">
        <v>2414400</v>
      </c>
      <c r="K137" s="385">
        <v>2236800</v>
      </c>
      <c r="L137" s="385">
        <v>2460000</v>
      </c>
      <c r="M137" s="385">
        <v>2709600</v>
      </c>
      <c r="N137" s="385">
        <v>4432800</v>
      </c>
      <c r="O137" s="385">
        <v>0</v>
      </c>
      <c r="P137" s="385">
        <v>2385600</v>
      </c>
      <c r="Q137" s="385">
        <v>27436800</v>
      </c>
    </row>
    <row r="140" spans="1:33" ht="18.75">
      <c r="A140" s="386" t="s">
        <v>212</v>
      </c>
      <c r="S140" s="473" t="s">
        <v>213</v>
      </c>
      <c r="T140" s="473"/>
      <c r="U140" s="473"/>
      <c r="V140" s="473"/>
      <c r="W140" s="473"/>
      <c r="X140" s="473"/>
      <c r="Y140" s="473"/>
      <c r="Z140" s="473"/>
      <c r="AA140" s="473"/>
      <c r="AB140" s="473"/>
      <c r="AC140" s="473"/>
      <c r="AD140" s="473"/>
      <c r="AE140" s="473"/>
      <c r="AF140" s="473"/>
      <c r="AG140" s="473"/>
    </row>
    <row r="142" spans="1:33">
      <c r="E142" s="474" t="s">
        <v>214</v>
      </c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6"/>
      <c r="V142" s="474" t="s">
        <v>215</v>
      </c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75"/>
      <c r="AG142" s="476"/>
    </row>
    <row r="143" spans="1:33" ht="30">
      <c r="A143" s="387" t="s">
        <v>196</v>
      </c>
      <c r="B143" s="387" t="s">
        <v>216</v>
      </c>
      <c r="C143" s="387" t="s">
        <v>217</v>
      </c>
      <c r="E143" s="387" t="s">
        <v>89</v>
      </c>
      <c r="F143" s="387" t="s">
        <v>90</v>
      </c>
      <c r="G143" s="387" t="s">
        <v>91</v>
      </c>
      <c r="H143" s="387" t="s">
        <v>92</v>
      </c>
      <c r="I143" s="387" t="s">
        <v>93</v>
      </c>
      <c r="J143" s="387" t="s">
        <v>94</v>
      </c>
      <c r="K143" s="387" t="s">
        <v>95</v>
      </c>
      <c r="L143" s="387" t="s">
        <v>96</v>
      </c>
      <c r="M143" s="387" t="s">
        <v>97</v>
      </c>
      <c r="N143" s="387" t="s">
        <v>98</v>
      </c>
      <c r="O143" s="387" t="s">
        <v>99</v>
      </c>
      <c r="P143" s="387" t="s">
        <v>100</v>
      </c>
      <c r="Q143" s="387" t="s">
        <v>21</v>
      </c>
      <c r="S143" s="388" t="s">
        <v>196</v>
      </c>
      <c r="T143" s="388" t="s">
        <v>216</v>
      </c>
      <c r="U143" s="388" t="s">
        <v>218</v>
      </c>
      <c r="V143" s="387" t="s">
        <v>89</v>
      </c>
      <c r="W143" s="387" t="s">
        <v>90</v>
      </c>
      <c r="X143" s="387" t="s">
        <v>91</v>
      </c>
      <c r="Y143" s="387" t="s">
        <v>92</v>
      </c>
      <c r="Z143" s="387" t="s">
        <v>93</v>
      </c>
      <c r="AA143" s="387" t="s">
        <v>94</v>
      </c>
      <c r="AB143" s="387" t="s">
        <v>95</v>
      </c>
      <c r="AC143" s="387" t="s">
        <v>96</v>
      </c>
      <c r="AD143" s="387" t="s">
        <v>97</v>
      </c>
      <c r="AE143" s="387" t="s">
        <v>98</v>
      </c>
      <c r="AF143" s="387" t="s">
        <v>99</v>
      </c>
      <c r="AG143" s="387" t="s">
        <v>100</v>
      </c>
    </row>
    <row r="144" spans="1:33">
      <c r="A144" s="382" t="s">
        <v>200</v>
      </c>
      <c r="B144" s="383">
        <v>31</v>
      </c>
      <c r="C144" s="383">
        <v>1</v>
      </c>
      <c r="E144" s="385">
        <f>E6</f>
        <v>2637600</v>
      </c>
      <c r="F144" s="385">
        <f t="shared" ref="F144:Q144" si="0">F6</f>
        <v>2479200</v>
      </c>
      <c r="G144" s="385">
        <f t="shared" si="0"/>
        <v>2692800</v>
      </c>
      <c r="H144" s="385">
        <f t="shared" si="0"/>
        <v>2407200</v>
      </c>
      <c r="I144" s="385">
        <f t="shared" si="0"/>
        <v>2568000</v>
      </c>
      <c r="J144" s="385">
        <f t="shared" si="0"/>
        <v>2712000</v>
      </c>
      <c r="K144" s="385">
        <f t="shared" si="0"/>
        <v>2500800</v>
      </c>
      <c r="L144" s="385">
        <f t="shared" si="0"/>
        <v>2517600</v>
      </c>
      <c r="M144" s="385">
        <f t="shared" si="0"/>
        <v>2839200</v>
      </c>
      <c r="N144" s="385">
        <f t="shared" si="0"/>
        <v>2486400</v>
      </c>
      <c r="O144" s="385">
        <f t="shared" si="0"/>
        <v>2678400</v>
      </c>
      <c r="P144" s="385">
        <f t="shared" si="0"/>
        <v>2515200</v>
      </c>
      <c r="Q144" s="385">
        <f t="shared" si="0"/>
        <v>31034400</v>
      </c>
      <c r="S144" s="382" t="s">
        <v>200</v>
      </c>
      <c r="T144" s="383">
        <v>31</v>
      </c>
      <c r="U144" s="383">
        <f>C144</f>
        <v>1</v>
      </c>
      <c r="V144" s="389">
        <v>1</v>
      </c>
      <c r="W144" s="389">
        <v>1</v>
      </c>
      <c r="X144" s="389">
        <v>1</v>
      </c>
      <c r="Y144" s="389">
        <v>1</v>
      </c>
      <c r="Z144" s="389">
        <v>1</v>
      </c>
      <c r="AA144" s="389">
        <v>1</v>
      </c>
      <c r="AB144" s="389">
        <v>1</v>
      </c>
      <c r="AC144" s="389">
        <v>1</v>
      </c>
      <c r="AD144" s="389">
        <v>1</v>
      </c>
      <c r="AE144" s="389">
        <v>1</v>
      </c>
      <c r="AF144" s="389">
        <v>1</v>
      </c>
      <c r="AG144" s="389">
        <v>1</v>
      </c>
    </row>
    <row r="145" spans="1:33">
      <c r="B145" s="383"/>
      <c r="C145" s="383"/>
      <c r="T145" s="383"/>
      <c r="U145" s="383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</row>
    <row r="146" spans="1:33">
      <c r="A146" s="382" t="s">
        <v>201</v>
      </c>
      <c r="B146" s="383">
        <v>24</v>
      </c>
      <c r="C146" s="383">
        <v>1</v>
      </c>
      <c r="E146" s="385">
        <f>E7</f>
        <v>6010</v>
      </c>
      <c r="F146" s="385">
        <f t="shared" ref="F146:Q146" si="1">F7</f>
        <v>5710</v>
      </c>
      <c r="G146" s="385">
        <f t="shared" si="1"/>
        <v>5860</v>
      </c>
      <c r="H146" s="385">
        <f t="shared" si="1"/>
        <v>5480</v>
      </c>
      <c r="I146" s="385">
        <f t="shared" si="1"/>
        <v>5140</v>
      </c>
      <c r="J146" s="385">
        <f t="shared" si="1"/>
        <v>4900</v>
      </c>
      <c r="K146" s="385">
        <f t="shared" si="1"/>
        <v>5060</v>
      </c>
      <c r="L146" s="385">
        <f t="shared" si="1"/>
        <v>5380</v>
      </c>
      <c r="M146" s="385">
        <f t="shared" si="1"/>
        <v>5200</v>
      </c>
      <c r="N146" s="385">
        <f t="shared" si="1"/>
        <v>5430</v>
      </c>
      <c r="O146" s="385">
        <f t="shared" si="1"/>
        <v>5420</v>
      </c>
      <c r="P146" s="385">
        <f t="shared" si="1"/>
        <v>5940</v>
      </c>
      <c r="Q146" s="385">
        <f t="shared" si="1"/>
        <v>65530</v>
      </c>
      <c r="S146" s="382" t="s">
        <v>201</v>
      </c>
      <c r="T146" s="383">
        <v>24</v>
      </c>
      <c r="U146" s="383">
        <f t="shared" ref="U146:U149" si="2">C146</f>
        <v>1</v>
      </c>
      <c r="V146" s="389">
        <f>E146/E$149</f>
        <v>2.9453998343518897E-3</v>
      </c>
      <c r="W146" s="389">
        <f t="shared" ref="W146:AG148" si="3">F146/F$149</f>
        <v>2.9607736382256098E-3</v>
      </c>
      <c r="X146" s="389">
        <f t="shared" si="3"/>
        <v>2.9543140042550186E-3</v>
      </c>
      <c r="Y146" s="389">
        <f t="shared" si="3"/>
        <v>2.9677527666983478E-3</v>
      </c>
      <c r="Z146" s="389">
        <f t="shared" si="3"/>
        <v>2.8402497651544454E-3</v>
      </c>
      <c r="AA146" s="389">
        <f t="shared" si="3"/>
        <v>2.7417419013700318E-3</v>
      </c>
      <c r="AB146" s="389">
        <f t="shared" si="3"/>
        <v>2.7926177756192327E-3</v>
      </c>
      <c r="AC146" s="389">
        <f t="shared" si="3"/>
        <v>2.5515285458184338E-3</v>
      </c>
      <c r="AD146" s="389">
        <f t="shared" si="3"/>
        <v>2.6091319618665328E-3</v>
      </c>
      <c r="AE146" s="389">
        <f t="shared" si="3"/>
        <v>2.9021137863766335E-3</v>
      </c>
      <c r="AF146" s="389">
        <f t="shared" si="3"/>
        <v>3.1189577386980939E-3</v>
      </c>
      <c r="AG146" s="389">
        <f t="shared" si="3"/>
        <v>3.1626024917474176E-3</v>
      </c>
    </row>
    <row r="147" spans="1:33">
      <c r="B147" s="383">
        <v>25</v>
      </c>
      <c r="C147" s="383">
        <v>5</v>
      </c>
      <c r="E147" s="385">
        <f>E9+E10+E13+E16+E17</f>
        <v>417460</v>
      </c>
      <c r="F147" s="385">
        <f t="shared" ref="F147:Q147" si="4">F9+F10+F13+F16+F17</f>
        <v>387740</v>
      </c>
      <c r="G147" s="385">
        <f t="shared" si="4"/>
        <v>405380</v>
      </c>
      <c r="H147" s="385">
        <f t="shared" si="4"/>
        <v>368635</v>
      </c>
      <c r="I147" s="385">
        <f t="shared" si="4"/>
        <v>382405</v>
      </c>
      <c r="J147" s="385">
        <f t="shared" si="4"/>
        <v>376640</v>
      </c>
      <c r="K147" s="385">
        <f t="shared" si="4"/>
        <v>377960</v>
      </c>
      <c r="L147" s="385">
        <f t="shared" si="4"/>
        <v>444460</v>
      </c>
      <c r="M147" s="385">
        <f t="shared" si="4"/>
        <v>419400</v>
      </c>
      <c r="N147" s="385">
        <f t="shared" si="4"/>
        <v>398320</v>
      </c>
      <c r="O147" s="385">
        <f t="shared" si="4"/>
        <v>315140</v>
      </c>
      <c r="P147" s="385">
        <f t="shared" si="4"/>
        <v>345560</v>
      </c>
      <c r="Q147" s="385">
        <f t="shared" si="4"/>
        <v>4639100</v>
      </c>
      <c r="T147" s="383">
        <v>25</v>
      </c>
      <c r="U147" s="383">
        <f t="shared" si="2"/>
        <v>5</v>
      </c>
      <c r="V147" s="389">
        <f t="shared" ref="V147:V148" si="5">E147/E$149</f>
        <v>0.20459011894318466</v>
      </c>
      <c r="W147" s="389">
        <f t="shared" si="3"/>
        <v>0.2010526042881958</v>
      </c>
      <c r="X147" s="389">
        <f t="shared" si="3"/>
        <v>0.20437198140697943</v>
      </c>
      <c r="Y147" s="389">
        <f t="shared" si="3"/>
        <v>0.19963823743646816</v>
      </c>
      <c r="Z147" s="389">
        <f t="shared" si="3"/>
        <v>0.2113085041719622</v>
      </c>
      <c r="AA147" s="389">
        <f t="shared" si="3"/>
        <v>0.2107448305575528</v>
      </c>
      <c r="AB147" s="389">
        <f t="shared" si="3"/>
        <v>0.20859640602234095</v>
      </c>
      <c r="AC147" s="389">
        <f t="shared" si="3"/>
        <v>0.21079040473502991</v>
      </c>
      <c r="AD147" s="389">
        <f t="shared" si="3"/>
        <v>0.21043652784746614</v>
      </c>
      <c r="AE147" s="389">
        <f t="shared" si="3"/>
        <v>0.21288581277892094</v>
      </c>
      <c r="AF147" s="389">
        <f t="shared" si="3"/>
        <v>0.18134840254120246</v>
      </c>
      <c r="AG147" s="389">
        <f t="shared" si="3"/>
        <v>0.18398466616973699</v>
      </c>
    </row>
    <row r="148" spans="1:33">
      <c r="A148" s="390"/>
      <c r="B148" s="391">
        <v>26</v>
      </c>
      <c r="C148" s="391">
        <v>5</v>
      </c>
      <c r="D148" s="391"/>
      <c r="E148" s="392">
        <f>E8+E11+E12+E14+E15</f>
        <v>1617000</v>
      </c>
      <c r="F148" s="392">
        <f t="shared" ref="F148:Q148" si="6">F8+F11+F12+F14+F15</f>
        <v>1535100</v>
      </c>
      <c r="G148" s="392">
        <f t="shared" si="6"/>
        <v>1572300</v>
      </c>
      <c r="H148" s="392">
        <f t="shared" si="6"/>
        <v>1472400</v>
      </c>
      <c r="I148" s="392">
        <f t="shared" si="6"/>
        <v>1422155</v>
      </c>
      <c r="J148" s="392">
        <f t="shared" si="6"/>
        <v>1405645</v>
      </c>
      <c r="K148" s="392">
        <f t="shared" si="6"/>
        <v>1428900</v>
      </c>
      <c r="L148" s="392">
        <f t="shared" si="6"/>
        <v>1658700</v>
      </c>
      <c r="M148" s="392">
        <f t="shared" si="6"/>
        <v>1568400</v>
      </c>
      <c r="N148" s="392">
        <f t="shared" si="6"/>
        <v>1467300</v>
      </c>
      <c r="O148" s="392">
        <f t="shared" si="6"/>
        <v>1417200</v>
      </c>
      <c r="P148" s="392">
        <f t="shared" si="6"/>
        <v>1526700</v>
      </c>
      <c r="Q148" s="392">
        <f t="shared" si="6"/>
        <v>18091800</v>
      </c>
      <c r="S148" s="390"/>
      <c r="T148" s="391">
        <v>26</v>
      </c>
      <c r="U148" s="391">
        <f t="shared" si="2"/>
        <v>5</v>
      </c>
      <c r="V148" s="393">
        <f t="shared" si="5"/>
        <v>0.79246448122246349</v>
      </c>
      <c r="W148" s="393">
        <f t="shared" si="3"/>
        <v>0.79598662207357862</v>
      </c>
      <c r="X148" s="393">
        <f t="shared" si="3"/>
        <v>0.79267370458876552</v>
      </c>
      <c r="Y148" s="393">
        <f t="shared" si="3"/>
        <v>0.7973940097968335</v>
      </c>
      <c r="Z148" s="393">
        <f t="shared" si="3"/>
        <v>0.78585124606288337</v>
      </c>
      <c r="AA148" s="393">
        <f t="shared" si="3"/>
        <v>0.78651342754107711</v>
      </c>
      <c r="AB148" s="393">
        <f t="shared" si="3"/>
        <v>0.78861097620203979</v>
      </c>
      <c r="AC148" s="393">
        <f t="shared" si="3"/>
        <v>0.78665806671915162</v>
      </c>
      <c r="AD148" s="393">
        <f t="shared" si="3"/>
        <v>0.78695434019066735</v>
      </c>
      <c r="AE148" s="393">
        <f t="shared" si="3"/>
        <v>0.78421207343470245</v>
      </c>
      <c r="AF148" s="393">
        <f t="shared" si="3"/>
        <v>0.81553263972009948</v>
      </c>
      <c r="AG148" s="393">
        <f t="shared" si="3"/>
        <v>0.81285273133851565</v>
      </c>
    </row>
    <row r="149" spans="1:33">
      <c r="B149" s="383" t="s">
        <v>21</v>
      </c>
      <c r="C149" s="383">
        <f>SUM(C146:C148)</f>
        <v>11</v>
      </c>
      <c r="E149" s="385">
        <f>SUM(E146:E148)</f>
        <v>2040470</v>
      </c>
      <c r="F149" s="385">
        <f t="shared" ref="F149:Q149" si="7">SUM(F146:F148)</f>
        <v>1928550</v>
      </c>
      <c r="G149" s="385">
        <f t="shared" si="7"/>
        <v>1983540</v>
      </c>
      <c r="H149" s="385">
        <f t="shared" si="7"/>
        <v>1846515</v>
      </c>
      <c r="I149" s="385">
        <f t="shared" si="7"/>
        <v>1809700</v>
      </c>
      <c r="J149" s="385">
        <f t="shared" si="7"/>
        <v>1787185</v>
      </c>
      <c r="K149" s="385">
        <f t="shared" si="7"/>
        <v>1811920</v>
      </c>
      <c r="L149" s="385">
        <f t="shared" si="7"/>
        <v>2108540</v>
      </c>
      <c r="M149" s="385">
        <f t="shared" si="7"/>
        <v>1993000</v>
      </c>
      <c r="N149" s="385">
        <f t="shared" si="7"/>
        <v>1871050</v>
      </c>
      <c r="O149" s="385">
        <f t="shared" si="7"/>
        <v>1737760</v>
      </c>
      <c r="P149" s="385">
        <f t="shared" si="7"/>
        <v>1878200</v>
      </c>
      <c r="Q149" s="385">
        <f t="shared" si="7"/>
        <v>22796430</v>
      </c>
      <c r="T149" s="383"/>
      <c r="U149" s="383">
        <f t="shared" si="2"/>
        <v>11</v>
      </c>
      <c r="V149" s="389">
        <f>SUM(V146:V148)</f>
        <v>1</v>
      </c>
      <c r="W149" s="389">
        <f t="shared" ref="W149:AG149" si="8">SUM(W146:W148)</f>
        <v>1</v>
      </c>
      <c r="X149" s="389">
        <f t="shared" si="8"/>
        <v>1</v>
      </c>
      <c r="Y149" s="389">
        <f t="shared" si="8"/>
        <v>1</v>
      </c>
      <c r="Z149" s="389">
        <f t="shared" si="8"/>
        <v>1</v>
      </c>
      <c r="AA149" s="389">
        <f t="shared" si="8"/>
        <v>1</v>
      </c>
      <c r="AB149" s="389">
        <f t="shared" si="8"/>
        <v>1</v>
      </c>
      <c r="AC149" s="389">
        <f t="shared" si="8"/>
        <v>1</v>
      </c>
      <c r="AD149" s="389">
        <f t="shared" si="8"/>
        <v>1</v>
      </c>
      <c r="AE149" s="389">
        <f t="shared" si="8"/>
        <v>1</v>
      </c>
      <c r="AF149" s="389">
        <f t="shared" si="8"/>
        <v>1</v>
      </c>
      <c r="AG149" s="389">
        <f t="shared" si="8"/>
        <v>1</v>
      </c>
    </row>
    <row r="150" spans="1:33">
      <c r="B150" s="383"/>
      <c r="C150" s="383"/>
      <c r="T150" s="383"/>
      <c r="U150" s="383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</row>
    <row r="151" spans="1:33">
      <c r="A151" s="382" t="s">
        <v>202</v>
      </c>
      <c r="B151" s="383">
        <v>26</v>
      </c>
      <c r="C151" s="383">
        <v>1</v>
      </c>
      <c r="E151" s="385">
        <f>E18</f>
        <v>308400</v>
      </c>
      <c r="F151" s="385">
        <f t="shared" ref="F151:Q152" si="9">F18</f>
        <v>0</v>
      </c>
      <c r="G151" s="385">
        <f t="shared" si="9"/>
        <v>574200</v>
      </c>
      <c r="H151" s="385">
        <f t="shared" si="9"/>
        <v>254400</v>
      </c>
      <c r="I151" s="385">
        <f t="shared" si="9"/>
        <v>306600</v>
      </c>
      <c r="J151" s="385">
        <f t="shared" si="9"/>
        <v>335400</v>
      </c>
      <c r="K151" s="385">
        <f t="shared" si="9"/>
        <v>330000</v>
      </c>
      <c r="L151" s="385">
        <f t="shared" si="9"/>
        <v>382800</v>
      </c>
      <c r="M151" s="385">
        <f t="shared" si="9"/>
        <v>317400</v>
      </c>
      <c r="N151" s="385">
        <f t="shared" si="9"/>
        <v>286800</v>
      </c>
      <c r="O151" s="385">
        <f t="shared" si="9"/>
        <v>0</v>
      </c>
      <c r="P151" s="385">
        <f t="shared" si="9"/>
        <v>595200</v>
      </c>
      <c r="Q151" s="385">
        <f t="shared" si="9"/>
        <v>3691200</v>
      </c>
      <c r="S151" s="382" t="s">
        <v>202</v>
      </c>
      <c r="T151" s="383">
        <v>26</v>
      </c>
      <c r="U151" s="383">
        <f t="shared" ref="U151:U153" si="10">C151</f>
        <v>1</v>
      </c>
      <c r="V151" s="389">
        <f>E151/E$153</f>
        <v>0.29171396140749151</v>
      </c>
      <c r="W151" s="389">
        <f t="shared" ref="W151:AG152" si="11">F151/F$153</f>
        <v>0</v>
      </c>
      <c r="X151" s="389">
        <f t="shared" si="11"/>
        <v>0.44698738907052776</v>
      </c>
      <c r="Y151" s="389">
        <f t="shared" si="11"/>
        <v>0.26108374384236455</v>
      </c>
      <c r="Z151" s="389">
        <f t="shared" si="11"/>
        <v>0.29250143102461362</v>
      </c>
      <c r="AA151" s="389">
        <f t="shared" si="11"/>
        <v>0.28418912048805289</v>
      </c>
      <c r="AB151" s="389">
        <f t="shared" si="11"/>
        <v>0.28147389969293757</v>
      </c>
      <c r="AC151" s="389">
        <f t="shared" si="11"/>
        <v>0.2945521698984303</v>
      </c>
      <c r="AD151" s="389">
        <f t="shared" si="11"/>
        <v>0.28123338649654439</v>
      </c>
      <c r="AE151" s="389">
        <f t="shared" si="11"/>
        <v>0.28217237308146398</v>
      </c>
      <c r="AF151" s="389">
        <f t="shared" si="11"/>
        <v>0</v>
      </c>
      <c r="AG151" s="389">
        <f t="shared" si="11"/>
        <v>0.42393162393162392</v>
      </c>
    </row>
    <row r="152" spans="1:33">
      <c r="A152" s="390"/>
      <c r="B152" s="391">
        <v>31</v>
      </c>
      <c r="C152" s="391">
        <v>1</v>
      </c>
      <c r="D152" s="391"/>
      <c r="E152" s="392">
        <f>E19</f>
        <v>748800</v>
      </c>
      <c r="F152" s="392">
        <f t="shared" si="9"/>
        <v>789600</v>
      </c>
      <c r="G152" s="392">
        <f t="shared" si="9"/>
        <v>710400</v>
      </c>
      <c r="H152" s="392">
        <f t="shared" si="9"/>
        <v>720000</v>
      </c>
      <c r="I152" s="392">
        <f t="shared" si="9"/>
        <v>741600</v>
      </c>
      <c r="J152" s="392">
        <f t="shared" si="9"/>
        <v>844800</v>
      </c>
      <c r="K152" s="392">
        <f t="shared" si="9"/>
        <v>842400</v>
      </c>
      <c r="L152" s="392">
        <f t="shared" si="9"/>
        <v>916800</v>
      </c>
      <c r="M152" s="392">
        <f t="shared" si="9"/>
        <v>811200</v>
      </c>
      <c r="N152" s="392">
        <f t="shared" si="9"/>
        <v>729600</v>
      </c>
      <c r="O152" s="392">
        <f t="shared" si="9"/>
        <v>753600</v>
      </c>
      <c r="P152" s="392">
        <f t="shared" si="9"/>
        <v>808800</v>
      </c>
      <c r="Q152" s="392">
        <f t="shared" si="9"/>
        <v>9417600</v>
      </c>
      <c r="S152" s="390"/>
      <c r="T152" s="391">
        <v>31</v>
      </c>
      <c r="U152" s="391">
        <f t="shared" si="10"/>
        <v>1</v>
      </c>
      <c r="V152" s="393">
        <f>E152/E$153</f>
        <v>0.70828603859250849</v>
      </c>
      <c r="W152" s="393">
        <f t="shared" si="11"/>
        <v>1</v>
      </c>
      <c r="X152" s="393">
        <f t="shared" si="11"/>
        <v>0.55301261092947218</v>
      </c>
      <c r="Y152" s="393">
        <f t="shared" si="11"/>
        <v>0.73891625615763545</v>
      </c>
      <c r="Z152" s="393">
        <f t="shared" si="11"/>
        <v>0.70749856897538632</v>
      </c>
      <c r="AA152" s="393">
        <f t="shared" si="11"/>
        <v>0.71581087951194711</v>
      </c>
      <c r="AB152" s="393">
        <f t="shared" si="11"/>
        <v>0.71852610030706243</v>
      </c>
      <c r="AC152" s="393">
        <f t="shared" si="11"/>
        <v>0.70544783010156975</v>
      </c>
      <c r="AD152" s="393">
        <f t="shared" si="11"/>
        <v>0.71876661350345561</v>
      </c>
      <c r="AE152" s="393">
        <f t="shared" si="11"/>
        <v>0.71782762691853597</v>
      </c>
      <c r="AF152" s="393">
        <f t="shared" si="11"/>
        <v>1</v>
      </c>
      <c r="AG152" s="393">
        <f t="shared" si="11"/>
        <v>0.57606837606837602</v>
      </c>
    </row>
    <row r="153" spans="1:33">
      <c r="B153" s="383" t="s">
        <v>21</v>
      </c>
      <c r="C153" s="383">
        <f>SUM(C151:C152)</f>
        <v>2</v>
      </c>
      <c r="E153" s="385">
        <f>SUM(E151:E152)</f>
        <v>1057200</v>
      </c>
      <c r="F153" s="385">
        <f t="shared" ref="F153:Q153" si="12">SUM(F151:F152)</f>
        <v>789600</v>
      </c>
      <c r="G153" s="385">
        <f t="shared" si="12"/>
        <v>1284600</v>
      </c>
      <c r="H153" s="385">
        <f t="shared" si="12"/>
        <v>974400</v>
      </c>
      <c r="I153" s="385">
        <f t="shared" si="12"/>
        <v>1048200</v>
      </c>
      <c r="J153" s="385">
        <f t="shared" si="12"/>
        <v>1180200</v>
      </c>
      <c r="K153" s="385">
        <f t="shared" si="12"/>
        <v>1172400</v>
      </c>
      <c r="L153" s="385">
        <f t="shared" si="12"/>
        <v>1299600</v>
      </c>
      <c r="M153" s="385">
        <f t="shared" si="12"/>
        <v>1128600</v>
      </c>
      <c r="N153" s="385">
        <f t="shared" si="12"/>
        <v>1016400</v>
      </c>
      <c r="O153" s="385">
        <f t="shared" si="12"/>
        <v>753600</v>
      </c>
      <c r="P153" s="385">
        <f t="shared" si="12"/>
        <v>1404000</v>
      </c>
      <c r="Q153" s="385">
        <f t="shared" si="12"/>
        <v>13108800</v>
      </c>
      <c r="T153" s="383"/>
      <c r="U153" s="383">
        <f t="shared" si="10"/>
        <v>2</v>
      </c>
      <c r="V153" s="389">
        <f>SUM(V151:V152)</f>
        <v>1</v>
      </c>
      <c r="W153" s="389">
        <f t="shared" ref="W153:AG153" si="13">SUM(W151:W152)</f>
        <v>1</v>
      </c>
      <c r="X153" s="389">
        <f t="shared" si="13"/>
        <v>1</v>
      </c>
      <c r="Y153" s="389">
        <f t="shared" si="13"/>
        <v>1</v>
      </c>
      <c r="Z153" s="389">
        <f t="shared" si="13"/>
        <v>1</v>
      </c>
      <c r="AA153" s="389">
        <f t="shared" si="13"/>
        <v>1</v>
      </c>
      <c r="AB153" s="389">
        <f t="shared" si="13"/>
        <v>1</v>
      </c>
      <c r="AC153" s="389">
        <f t="shared" si="13"/>
        <v>1</v>
      </c>
      <c r="AD153" s="389">
        <f t="shared" si="13"/>
        <v>1</v>
      </c>
      <c r="AE153" s="389">
        <f t="shared" si="13"/>
        <v>1</v>
      </c>
      <c r="AF153" s="389">
        <f t="shared" si="13"/>
        <v>1</v>
      </c>
      <c r="AG153" s="389">
        <f t="shared" si="13"/>
        <v>1</v>
      </c>
    </row>
    <row r="154" spans="1:33">
      <c r="B154" s="383"/>
      <c r="C154" s="383"/>
      <c r="T154" s="383"/>
      <c r="U154" s="383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</row>
    <row r="155" spans="1:33">
      <c r="A155" s="382" t="s">
        <v>219</v>
      </c>
      <c r="B155" s="383">
        <v>31</v>
      </c>
      <c r="C155" s="383">
        <v>1</v>
      </c>
      <c r="E155" s="385">
        <f>E20</f>
        <v>1500000</v>
      </c>
      <c r="F155" s="385">
        <f t="shared" ref="F155:Q155" si="14">F20</f>
        <v>1788000</v>
      </c>
      <c r="G155" s="385">
        <f t="shared" si="14"/>
        <v>1617600</v>
      </c>
      <c r="H155" s="385">
        <f t="shared" si="14"/>
        <v>1644000</v>
      </c>
      <c r="I155" s="385">
        <f t="shared" si="14"/>
        <v>1668000</v>
      </c>
      <c r="J155" s="385">
        <f t="shared" si="14"/>
        <v>0</v>
      </c>
      <c r="K155" s="385">
        <f t="shared" si="14"/>
        <v>3597600</v>
      </c>
      <c r="L155" s="385">
        <f t="shared" si="14"/>
        <v>1807200</v>
      </c>
      <c r="M155" s="385">
        <f t="shared" si="14"/>
        <v>0</v>
      </c>
      <c r="N155" s="385">
        <f t="shared" si="14"/>
        <v>3648000</v>
      </c>
      <c r="O155" s="385">
        <f t="shared" si="14"/>
        <v>1910400</v>
      </c>
      <c r="P155" s="385">
        <f t="shared" si="14"/>
        <v>1598400</v>
      </c>
      <c r="Q155" s="385">
        <f t="shared" si="14"/>
        <v>20779200</v>
      </c>
      <c r="S155" s="382" t="s">
        <v>219</v>
      </c>
      <c r="T155" s="383">
        <v>31</v>
      </c>
      <c r="U155" s="383">
        <f>C155</f>
        <v>1</v>
      </c>
      <c r="V155" s="389">
        <v>1</v>
      </c>
      <c r="W155" s="389">
        <v>1</v>
      </c>
      <c r="X155" s="389">
        <v>1</v>
      </c>
      <c r="Y155" s="389">
        <v>1</v>
      </c>
      <c r="Z155" s="389">
        <v>1</v>
      </c>
      <c r="AA155" s="389">
        <v>1</v>
      </c>
      <c r="AB155" s="389">
        <v>1</v>
      </c>
      <c r="AC155" s="389">
        <v>1</v>
      </c>
      <c r="AD155" s="389">
        <v>1</v>
      </c>
      <c r="AE155" s="389">
        <v>1</v>
      </c>
      <c r="AF155" s="389">
        <v>1</v>
      </c>
      <c r="AG155" s="389">
        <v>1</v>
      </c>
    </row>
    <row r="156" spans="1:33">
      <c r="B156" s="383"/>
      <c r="C156" s="383"/>
      <c r="T156" s="383"/>
      <c r="U156" s="383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</row>
    <row r="157" spans="1:33">
      <c r="A157" s="382" t="s">
        <v>209</v>
      </c>
      <c r="B157" s="383">
        <v>24</v>
      </c>
      <c r="C157" s="383">
        <v>2</v>
      </c>
      <c r="E157" s="385">
        <f>E119+E124</f>
        <v>3020</v>
      </c>
      <c r="F157" s="385">
        <f t="shared" ref="F157:Q157" si="15">F119+F124</f>
        <v>3020</v>
      </c>
      <c r="G157" s="385">
        <f t="shared" si="15"/>
        <v>2910</v>
      </c>
      <c r="H157" s="385">
        <f t="shared" si="15"/>
        <v>2810</v>
      </c>
      <c r="I157" s="385">
        <f t="shared" si="15"/>
        <v>3010</v>
      </c>
      <c r="J157" s="385">
        <f t="shared" si="15"/>
        <v>2910</v>
      </c>
      <c r="K157" s="385">
        <f t="shared" si="15"/>
        <v>3323</v>
      </c>
      <c r="L157" s="385">
        <f t="shared" si="15"/>
        <v>3101</v>
      </c>
      <c r="M157" s="385">
        <f t="shared" si="15"/>
        <v>3101</v>
      </c>
      <c r="N157" s="385">
        <f t="shared" si="15"/>
        <v>2396</v>
      </c>
      <c r="O157" s="385">
        <f t="shared" si="15"/>
        <v>2420</v>
      </c>
      <c r="P157" s="385">
        <f t="shared" si="15"/>
        <v>2461</v>
      </c>
      <c r="Q157" s="385">
        <f t="shared" si="15"/>
        <v>34482</v>
      </c>
      <c r="S157" s="382" t="s">
        <v>209</v>
      </c>
      <c r="T157" s="383">
        <v>24</v>
      </c>
      <c r="U157" s="383">
        <f t="shared" ref="U157:U160" si="16">C157</f>
        <v>2</v>
      </c>
      <c r="V157" s="389">
        <f>E157/E$160</f>
        <v>1.4732576898441323E-3</v>
      </c>
      <c r="W157" s="389">
        <f t="shared" ref="W157:AG159" si="17">F157/F$160</f>
        <v>1.4794203807303047E-3</v>
      </c>
      <c r="X157" s="389">
        <f t="shared" si="17"/>
        <v>1.475681678727364E-3</v>
      </c>
      <c r="Y157" s="389">
        <f t="shared" si="17"/>
        <v>1.4764374247988946E-3</v>
      </c>
      <c r="Z157" s="389">
        <f t="shared" si="17"/>
        <v>1.4206757885694597E-3</v>
      </c>
      <c r="AA157" s="389">
        <f t="shared" si="17"/>
        <v>3.1435330719123702E-3</v>
      </c>
      <c r="AB157" s="389">
        <f t="shared" si="17"/>
        <v>9.71432062753985E-4</v>
      </c>
      <c r="AC157" s="389">
        <f t="shared" si="17"/>
        <v>1.2698602498524775E-3</v>
      </c>
      <c r="AD157" s="389">
        <f t="shared" si="17"/>
        <v>1.3093443102635113E-3</v>
      </c>
      <c r="AE157" s="389">
        <f t="shared" si="17"/>
        <v>1.1744315084876694E-3</v>
      </c>
      <c r="AF157" s="389">
        <f t="shared" si="17"/>
        <v>1.172026346377373E-3</v>
      </c>
      <c r="AG157" s="389">
        <f t="shared" si="17"/>
        <v>1.1989432151067821E-3</v>
      </c>
    </row>
    <row r="158" spans="1:33">
      <c r="B158" s="383">
        <v>25</v>
      </c>
      <c r="C158" s="383">
        <v>3</v>
      </c>
      <c r="E158" s="385">
        <f>E123+E125+E126</f>
        <v>149359</v>
      </c>
      <c r="F158" s="385">
        <f t="shared" ref="F158:Q158" si="18">F123+F125+F126</f>
        <v>136560</v>
      </c>
      <c r="G158" s="385">
        <f t="shared" si="18"/>
        <v>139720</v>
      </c>
      <c r="H158" s="385">
        <f t="shared" si="18"/>
        <v>127600</v>
      </c>
      <c r="I158" s="385">
        <f t="shared" si="18"/>
        <v>121480</v>
      </c>
      <c r="J158" s="385">
        <f t="shared" si="18"/>
        <v>113400</v>
      </c>
      <c r="K158" s="385">
        <f t="shared" si="18"/>
        <v>119440</v>
      </c>
      <c r="L158" s="385">
        <f t="shared" si="18"/>
        <v>119360</v>
      </c>
      <c r="M158" s="385">
        <f t="shared" si="18"/>
        <v>120600</v>
      </c>
      <c r="N158" s="385">
        <f t="shared" si="18"/>
        <v>114680</v>
      </c>
      <c r="O158" s="385">
        <f t="shared" si="18"/>
        <v>118320</v>
      </c>
      <c r="P158" s="385">
        <f t="shared" si="18"/>
        <v>134200</v>
      </c>
      <c r="Q158" s="385">
        <f t="shared" si="18"/>
        <v>1514719</v>
      </c>
      <c r="T158" s="383">
        <v>25</v>
      </c>
      <c r="U158" s="383">
        <f t="shared" si="16"/>
        <v>3</v>
      </c>
      <c r="V158" s="389">
        <f t="shared" ref="V158:V159" si="19">E158/E$160</f>
        <v>7.2862349436235013E-2</v>
      </c>
      <c r="W158" s="389">
        <f t="shared" si="17"/>
        <v>6.689723416971205E-2</v>
      </c>
      <c r="X158" s="389">
        <f t="shared" si="17"/>
        <v>7.0853004863157154E-2</v>
      </c>
      <c r="Y158" s="389">
        <f t="shared" si="17"/>
        <v>6.7043920072718477E-2</v>
      </c>
      <c r="Z158" s="389">
        <f t="shared" si="17"/>
        <v>5.7336775679540854E-2</v>
      </c>
      <c r="AA158" s="389">
        <f t="shared" si="17"/>
        <v>0.12250056713225524</v>
      </c>
      <c r="AB158" s="389">
        <f t="shared" si="17"/>
        <v>3.4916595117464935E-2</v>
      </c>
      <c r="AC158" s="389">
        <f t="shared" si="17"/>
        <v>4.8877948862428806E-2</v>
      </c>
      <c r="AD158" s="389">
        <f t="shared" si="17"/>
        <v>5.0921291137626404E-2</v>
      </c>
      <c r="AE158" s="389">
        <f t="shared" si="17"/>
        <v>5.6211938811922345E-2</v>
      </c>
      <c r="AF158" s="389">
        <f t="shared" si="17"/>
        <v>5.7303370786516851E-2</v>
      </c>
      <c r="AG158" s="389">
        <f t="shared" si="17"/>
        <v>6.5379187105782263E-2</v>
      </c>
    </row>
    <row r="159" spans="1:33">
      <c r="A159" s="390"/>
      <c r="B159" s="391">
        <v>26</v>
      </c>
      <c r="C159" s="391">
        <v>4</v>
      </c>
      <c r="D159" s="391"/>
      <c r="E159" s="392">
        <f>E118+E120+E121+E122</f>
        <v>1897500</v>
      </c>
      <c r="F159" s="392">
        <f t="shared" ref="F159:Q159" si="20">F118+F120+F121+F122</f>
        <v>1901760</v>
      </c>
      <c r="G159" s="392">
        <f t="shared" si="20"/>
        <v>1829340</v>
      </c>
      <c r="H159" s="392">
        <f t="shared" si="20"/>
        <v>1772820</v>
      </c>
      <c r="I159" s="392">
        <f t="shared" si="20"/>
        <v>1994220</v>
      </c>
      <c r="J159" s="392">
        <f t="shared" si="20"/>
        <v>809400</v>
      </c>
      <c r="K159" s="392">
        <f t="shared" si="20"/>
        <v>3297960</v>
      </c>
      <c r="L159" s="392">
        <f t="shared" si="20"/>
        <v>2319540</v>
      </c>
      <c r="M159" s="392">
        <f t="shared" si="20"/>
        <v>2244660</v>
      </c>
      <c r="N159" s="392">
        <f t="shared" si="20"/>
        <v>1923060</v>
      </c>
      <c r="O159" s="392">
        <f t="shared" si="20"/>
        <v>1944060</v>
      </c>
      <c r="P159" s="392">
        <f t="shared" si="20"/>
        <v>1915980</v>
      </c>
      <c r="Q159" s="392">
        <f t="shared" si="20"/>
        <v>23850300</v>
      </c>
      <c r="S159" s="390"/>
      <c r="T159" s="391">
        <v>26</v>
      </c>
      <c r="U159" s="391">
        <f t="shared" si="16"/>
        <v>4</v>
      </c>
      <c r="V159" s="393">
        <f t="shared" si="19"/>
        <v>0.92566439287392088</v>
      </c>
      <c r="W159" s="393">
        <f t="shared" si="17"/>
        <v>0.9316233454495576</v>
      </c>
      <c r="X159" s="393">
        <f t="shared" si="17"/>
        <v>0.92767131345811549</v>
      </c>
      <c r="Y159" s="393">
        <f t="shared" si="17"/>
        <v>0.93147964250248261</v>
      </c>
      <c r="Z159" s="393">
        <f t="shared" si="17"/>
        <v>0.94124254853188971</v>
      </c>
      <c r="AA159" s="393">
        <f t="shared" si="17"/>
        <v>0.87435589979583239</v>
      </c>
      <c r="AB159" s="393">
        <f t="shared" si="17"/>
        <v>0.96411197281978112</v>
      </c>
      <c r="AC159" s="393">
        <f t="shared" si="17"/>
        <v>0.94985219088771877</v>
      </c>
      <c r="AD159" s="393">
        <f t="shared" si="17"/>
        <v>0.94776936455211014</v>
      </c>
      <c r="AE159" s="393">
        <f t="shared" si="17"/>
        <v>0.94261362967958995</v>
      </c>
      <c r="AF159" s="393">
        <f t="shared" si="17"/>
        <v>0.94152460286710582</v>
      </c>
      <c r="AG159" s="393">
        <f t="shared" si="17"/>
        <v>0.933421869679111</v>
      </c>
    </row>
    <row r="160" spans="1:33">
      <c r="B160" s="383" t="s">
        <v>21</v>
      </c>
      <c r="C160" s="383">
        <f>SUM(C157:C159)</f>
        <v>9</v>
      </c>
      <c r="E160" s="385">
        <f>SUM(E157:E159)</f>
        <v>2049879</v>
      </c>
      <c r="F160" s="385">
        <f t="shared" ref="F160:Q160" si="21">SUM(F157:F159)</f>
        <v>2041340</v>
      </c>
      <c r="G160" s="385">
        <f t="shared" si="21"/>
        <v>1971970</v>
      </c>
      <c r="H160" s="385">
        <f t="shared" si="21"/>
        <v>1903230</v>
      </c>
      <c r="I160" s="385">
        <f t="shared" si="21"/>
        <v>2118710</v>
      </c>
      <c r="J160" s="385">
        <f t="shared" si="21"/>
        <v>925710</v>
      </c>
      <c r="K160" s="385">
        <f t="shared" si="21"/>
        <v>3420723</v>
      </c>
      <c r="L160" s="385">
        <f t="shared" si="21"/>
        <v>2442001</v>
      </c>
      <c r="M160" s="385">
        <f t="shared" si="21"/>
        <v>2368361</v>
      </c>
      <c r="N160" s="385">
        <f t="shared" si="21"/>
        <v>2040136</v>
      </c>
      <c r="O160" s="385">
        <f t="shared" si="21"/>
        <v>2064800</v>
      </c>
      <c r="P160" s="385">
        <f t="shared" si="21"/>
        <v>2052641</v>
      </c>
      <c r="Q160" s="385">
        <f t="shared" si="21"/>
        <v>25399501</v>
      </c>
      <c r="T160" s="383"/>
      <c r="U160" s="383">
        <f t="shared" si="16"/>
        <v>9</v>
      </c>
      <c r="V160" s="389">
        <f>SUM(V157:V159)</f>
        <v>1</v>
      </c>
      <c r="W160" s="389">
        <f t="shared" ref="W160:AG160" si="22">SUM(W157:W159)</f>
        <v>1</v>
      </c>
      <c r="X160" s="389">
        <f t="shared" si="22"/>
        <v>1</v>
      </c>
      <c r="Y160" s="389">
        <f t="shared" si="22"/>
        <v>1</v>
      </c>
      <c r="Z160" s="389">
        <f t="shared" si="22"/>
        <v>1</v>
      </c>
      <c r="AA160" s="389">
        <f t="shared" si="22"/>
        <v>1</v>
      </c>
      <c r="AB160" s="389">
        <f t="shared" si="22"/>
        <v>1</v>
      </c>
      <c r="AC160" s="389">
        <f t="shared" si="22"/>
        <v>1</v>
      </c>
      <c r="AD160" s="389">
        <f t="shared" si="22"/>
        <v>1</v>
      </c>
      <c r="AE160" s="389">
        <f t="shared" si="22"/>
        <v>1</v>
      </c>
      <c r="AF160" s="389">
        <f t="shared" si="22"/>
        <v>1</v>
      </c>
      <c r="AG160" s="389">
        <f t="shared" si="22"/>
        <v>1</v>
      </c>
    </row>
    <row r="161" spans="1:33">
      <c r="B161" s="383"/>
      <c r="C161" s="383"/>
      <c r="T161" s="383"/>
      <c r="U161" s="383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</row>
    <row r="162" spans="1:33">
      <c r="A162" s="382" t="s">
        <v>220</v>
      </c>
      <c r="B162" s="383">
        <v>24</v>
      </c>
      <c r="C162" s="383">
        <v>1</v>
      </c>
      <c r="E162" s="385">
        <f>E127</f>
        <v>15760</v>
      </c>
      <c r="F162" s="385">
        <f t="shared" ref="F162:Q162" si="23">F127</f>
        <v>15440</v>
      </c>
      <c r="G162" s="385">
        <f t="shared" si="23"/>
        <v>15600</v>
      </c>
      <c r="H162" s="385">
        <f t="shared" si="23"/>
        <v>13840</v>
      </c>
      <c r="I162" s="385">
        <f t="shared" si="23"/>
        <v>13160</v>
      </c>
      <c r="J162" s="385">
        <f t="shared" si="23"/>
        <v>13440</v>
      </c>
      <c r="K162" s="385">
        <f t="shared" si="23"/>
        <v>15280</v>
      </c>
      <c r="L162" s="385">
        <f t="shared" si="23"/>
        <v>15280</v>
      </c>
      <c r="M162" s="385">
        <f t="shared" si="23"/>
        <v>14920</v>
      </c>
      <c r="N162" s="385">
        <f t="shared" si="23"/>
        <v>14080</v>
      </c>
      <c r="O162" s="385">
        <f t="shared" si="23"/>
        <v>15080</v>
      </c>
      <c r="P162" s="385">
        <f t="shared" si="23"/>
        <v>17000</v>
      </c>
      <c r="Q162" s="385">
        <f t="shared" si="23"/>
        <v>178880</v>
      </c>
      <c r="S162" s="382" t="s">
        <v>220</v>
      </c>
      <c r="T162" s="383">
        <v>24</v>
      </c>
      <c r="U162" s="383">
        <f t="shared" ref="U162:U165" si="24">C162</f>
        <v>1</v>
      </c>
      <c r="V162" s="389">
        <f>E162/E$165</f>
        <v>7.1060130577498826E-3</v>
      </c>
      <c r="W162" s="389">
        <f t="shared" ref="W162:AG164" si="25">F162/F$165</f>
        <v>7.5582533777168595E-3</v>
      </c>
      <c r="X162" s="389">
        <f t="shared" si="25"/>
        <v>7.462686567164179E-3</v>
      </c>
      <c r="Y162" s="389">
        <f t="shared" si="25"/>
        <v>7.1187556579705375E-3</v>
      </c>
      <c r="Z162" s="389">
        <f t="shared" si="25"/>
        <v>6.3999066275020914E-3</v>
      </c>
      <c r="AA162" s="389">
        <f t="shared" si="25"/>
        <v>0.37086092715231789</v>
      </c>
      <c r="AB162" s="389">
        <f t="shared" si="25"/>
        <v>3.4031786757893236E-3</v>
      </c>
      <c r="AC162" s="389">
        <f t="shared" si="25"/>
        <v>6.3356221182870598E-3</v>
      </c>
      <c r="AD162" s="389">
        <f t="shared" si="25"/>
        <v>6.5986165903019799E-3</v>
      </c>
      <c r="AE162" s="389">
        <f t="shared" si="25"/>
        <v>7.1469178916592222E-3</v>
      </c>
      <c r="AF162" s="389">
        <f t="shared" si="25"/>
        <v>7.732223065405993E-3</v>
      </c>
      <c r="AG162" s="389">
        <f t="shared" si="25"/>
        <v>8.764874507620285E-3</v>
      </c>
    </row>
    <row r="163" spans="1:33">
      <c r="B163" s="383">
        <v>25</v>
      </c>
      <c r="C163" s="383">
        <v>1</v>
      </c>
      <c r="E163" s="385">
        <f>E129</f>
        <v>27680</v>
      </c>
      <c r="F163" s="385">
        <f t="shared" ref="F163:Q163" si="26">F129</f>
        <v>25760</v>
      </c>
      <c r="G163" s="385">
        <f t="shared" si="26"/>
        <v>25200</v>
      </c>
      <c r="H163" s="385">
        <f t="shared" si="26"/>
        <v>22320</v>
      </c>
      <c r="I163" s="385">
        <f t="shared" si="26"/>
        <v>22320</v>
      </c>
      <c r="J163" s="385">
        <f t="shared" si="26"/>
        <v>22800</v>
      </c>
      <c r="K163" s="385">
        <f t="shared" si="26"/>
        <v>25040</v>
      </c>
      <c r="L163" s="385">
        <f t="shared" si="26"/>
        <v>22880</v>
      </c>
      <c r="M163" s="385">
        <f t="shared" si="26"/>
        <v>23760</v>
      </c>
      <c r="N163" s="385">
        <f t="shared" si="26"/>
        <v>21600</v>
      </c>
      <c r="O163" s="385">
        <f t="shared" si="26"/>
        <v>22400</v>
      </c>
      <c r="P163" s="385">
        <f t="shared" si="26"/>
        <v>24160</v>
      </c>
      <c r="Q163" s="385">
        <f t="shared" si="26"/>
        <v>285920</v>
      </c>
      <c r="T163" s="383">
        <v>25</v>
      </c>
      <c r="U163" s="383">
        <f t="shared" si="24"/>
        <v>1</v>
      </c>
      <c r="V163" s="389">
        <f t="shared" ref="V163:V164" si="27">E163/E$165</f>
        <v>1.2480611766403348E-2</v>
      </c>
      <c r="W163" s="389">
        <f t="shared" si="25"/>
        <v>1.2610142941061289E-2</v>
      </c>
      <c r="X163" s="389">
        <f t="shared" si="25"/>
        <v>1.2055109070034443E-2</v>
      </c>
      <c r="Y163" s="389">
        <f t="shared" si="25"/>
        <v>1.1480536581351329E-2</v>
      </c>
      <c r="Z163" s="389">
        <f t="shared" si="25"/>
        <v>1.0854552881903243E-2</v>
      </c>
      <c r="AA163" s="389">
        <f t="shared" si="25"/>
        <v>0.62913907284768211</v>
      </c>
      <c r="AB163" s="389">
        <f t="shared" si="25"/>
        <v>5.5769367828380012E-3</v>
      </c>
      <c r="AC163" s="389">
        <f t="shared" si="25"/>
        <v>9.4868477792151781E-3</v>
      </c>
      <c r="AD163" s="389">
        <f t="shared" si="25"/>
        <v>1.0508252693403152E-2</v>
      </c>
      <c r="AE163" s="389">
        <f t="shared" si="25"/>
        <v>1.0964021765613579E-2</v>
      </c>
      <c r="AF163" s="389">
        <f t="shared" si="25"/>
        <v>1.1485530282831183E-2</v>
      </c>
      <c r="AG163" s="389">
        <f t="shared" si="25"/>
        <v>1.2456433417888593E-2</v>
      </c>
    </row>
    <row r="164" spans="1:33">
      <c r="A164" s="390"/>
      <c r="B164" s="391">
        <v>31</v>
      </c>
      <c r="C164" s="391">
        <v>1</v>
      </c>
      <c r="D164" s="391"/>
      <c r="E164" s="392">
        <f>E128</f>
        <v>2174400</v>
      </c>
      <c r="F164" s="392">
        <f t="shared" ref="F164:Q164" si="28">F128</f>
        <v>2001600</v>
      </c>
      <c r="G164" s="392">
        <f t="shared" si="28"/>
        <v>2049600</v>
      </c>
      <c r="H164" s="392">
        <f t="shared" si="28"/>
        <v>1908000</v>
      </c>
      <c r="I164" s="392">
        <f t="shared" si="28"/>
        <v>2020800</v>
      </c>
      <c r="J164" s="392">
        <f t="shared" si="28"/>
        <v>0</v>
      </c>
      <c r="K164" s="392">
        <f t="shared" si="28"/>
        <v>4449600</v>
      </c>
      <c r="L164" s="392">
        <f t="shared" si="28"/>
        <v>2373600</v>
      </c>
      <c r="M164" s="392">
        <f t="shared" si="28"/>
        <v>2222400</v>
      </c>
      <c r="N164" s="392">
        <f t="shared" si="28"/>
        <v>1934400</v>
      </c>
      <c r="O164" s="392">
        <f t="shared" si="28"/>
        <v>1912800</v>
      </c>
      <c r="P164" s="392">
        <f t="shared" si="28"/>
        <v>1898400</v>
      </c>
      <c r="Q164" s="392">
        <f t="shared" si="28"/>
        <v>24945600</v>
      </c>
      <c r="S164" s="390"/>
      <c r="T164" s="391">
        <v>31</v>
      </c>
      <c r="U164" s="391">
        <f t="shared" si="24"/>
        <v>1</v>
      </c>
      <c r="V164" s="393">
        <f t="shared" si="27"/>
        <v>0.98041337517584681</v>
      </c>
      <c r="W164" s="393">
        <f t="shared" si="25"/>
        <v>0.97983160368122191</v>
      </c>
      <c r="X164" s="393">
        <f t="shared" si="25"/>
        <v>0.98048220436280142</v>
      </c>
      <c r="Y164" s="393">
        <f t="shared" si="25"/>
        <v>0.98140070776067811</v>
      </c>
      <c r="Z164" s="393">
        <f t="shared" si="25"/>
        <v>0.9827455404905947</v>
      </c>
      <c r="AA164" s="393">
        <f t="shared" si="25"/>
        <v>0</v>
      </c>
      <c r="AB164" s="393">
        <f t="shared" si="25"/>
        <v>0.99101988454137269</v>
      </c>
      <c r="AC164" s="393">
        <f t="shared" si="25"/>
        <v>0.98417753010249776</v>
      </c>
      <c r="AD164" s="393">
        <f t="shared" si="25"/>
        <v>0.98289313071629492</v>
      </c>
      <c r="AE164" s="393">
        <f t="shared" si="25"/>
        <v>0.98188906034272716</v>
      </c>
      <c r="AF164" s="393">
        <f t="shared" si="25"/>
        <v>0.98078224665176283</v>
      </c>
      <c r="AG164" s="393">
        <f t="shared" si="25"/>
        <v>0.97877869207449109</v>
      </c>
    </row>
    <row r="165" spans="1:33">
      <c r="B165" s="383" t="s">
        <v>21</v>
      </c>
      <c r="C165" s="383">
        <f>SUM(C162:C164)</f>
        <v>3</v>
      </c>
      <c r="E165" s="385">
        <f>SUM(E162:E164)</f>
        <v>2217840</v>
      </c>
      <c r="F165" s="385">
        <f t="shared" ref="F165:Q165" si="29">SUM(F162:F164)</f>
        <v>2042800</v>
      </c>
      <c r="G165" s="385">
        <f t="shared" si="29"/>
        <v>2090400</v>
      </c>
      <c r="H165" s="385">
        <f t="shared" si="29"/>
        <v>1944160</v>
      </c>
      <c r="I165" s="385">
        <f t="shared" si="29"/>
        <v>2056280</v>
      </c>
      <c r="J165" s="385">
        <f t="shared" si="29"/>
        <v>36240</v>
      </c>
      <c r="K165" s="385">
        <f t="shared" si="29"/>
        <v>4489920</v>
      </c>
      <c r="L165" s="385">
        <f t="shared" si="29"/>
        <v>2411760</v>
      </c>
      <c r="M165" s="385">
        <f t="shared" si="29"/>
        <v>2261080</v>
      </c>
      <c r="N165" s="385">
        <f t="shared" si="29"/>
        <v>1970080</v>
      </c>
      <c r="O165" s="385">
        <f t="shared" si="29"/>
        <v>1950280</v>
      </c>
      <c r="P165" s="385">
        <f t="shared" si="29"/>
        <v>1939560</v>
      </c>
      <c r="Q165" s="385">
        <f t="shared" si="29"/>
        <v>25410400</v>
      </c>
      <c r="T165" s="383"/>
      <c r="U165" s="383">
        <f t="shared" si="24"/>
        <v>3</v>
      </c>
      <c r="V165" s="389">
        <f>SUM(V162:V164)</f>
        <v>1</v>
      </c>
      <c r="W165" s="389">
        <f t="shared" ref="W165:AG165" si="30">SUM(W162:W164)</f>
        <v>1</v>
      </c>
      <c r="X165" s="389">
        <f t="shared" si="30"/>
        <v>1</v>
      </c>
      <c r="Y165" s="389">
        <f t="shared" si="30"/>
        <v>1</v>
      </c>
      <c r="Z165" s="389">
        <f t="shared" si="30"/>
        <v>1</v>
      </c>
      <c r="AA165" s="389">
        <f t="shared" si="30"/>
        <v>1</v>
      </c>
      <c r="AB165" s="389">
        <f t="shared" si="30"/>
        <v>1</v>
      </c>
      <c r="AC165" s="389">
        <f t="shared" si="30"/>
        <v>1</v>
      </c>
      <c r="AD165" s="389">
        <f t="shared" si="30"/>
        <v>1</v>
      </c>
      <c r="AE165" s="389">
        <f t="shared" si="30"/>
        <v>1</v>
      </c>
      <c r="AF165" s="389">
        <f t="shared" si="30"/>
        <v>1</v>
      </c>
      <c r="AG165" s="389">
        <f t="shared" si="30"/>
        <v>1</v>
      </c>
    </row>
    <row r="166" spans="1:33">
      <c r="B166" s="383"/>
      <c r="C166" s="383"/>
      <c r="T166" s="383"/>
      <c r="U166" s="383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</row>
    <row r="167" spans="1:33">
      <c r="A167" s="382" t="s">
        <v>211</v>
      </c>
      <c r="B167" s="383">
        <v>24</v>
      </c>
      <c r="C167" s="383">
        <v>4</v>
      </c>
      <c r="E167" s="385">
        <f>SUM(E133:E136)</f>
        <v>56280</v>
      </c>
      <c r="F167" s="385">
        <f t="shared" ref="F167:Q167" si="31">SUM(F133:F136)</f>
        <v>54600</v>
      </c>
      <c r="G167" s="385">
        <f t="shared" si="31"/>
        <v>49870</v>
      </c>
      <c r="H167" s="385">
        <f t="shared" si="31"/>
        <v>47790</v>
      </c>
      <c r="I167" s="385">
        <f t="shared" si="31"/>
        <v>49360</v>
      </c>
      <c r="J167" s="385">
        <f t="shared" si="31"/>
        <v>44690</v>
      </c>
      <c r="K167" s="385">
        <f t="shared" si="31"/>
        <v>51440</v>
      </c>
      <c r="L167" s="385">
        <f t="shared" si="31"/>
        <v>50530</v>
      </c>
      <c r="M167" s="385">
        <f t="shared" si="31"/>
        <v>45070</v>
      </c>
      <c r="N167" s="385">
        <f t="shared" si="31"/>
        <v>45400</v>
      </c>
      <c r="O167" s="385">
        <f t="shared" si="31"/>
        <v>57520</v>
      </c>
      <c r="P167" s="385">
        <f t="shared" si="31"/>
        <v>54010</v>
      </c>
      <c r="Q167" s="385">
        <f t="shared" si="31"/>
        <v>606560</v>
      </c>
      <c r="S167" s="382" t="s">
        <v>211</v>
      </c>
      <c r="T167" s="383">
        <v>24</v>
      </c>
      <c r="U167" s="383">
        <f t="shared" ref="U167:U170" si="32">C167</f>
        <v>4</v>
      </c>
      <c r="V167" s="389">
        <f>E167/E$170</f>
        <v>2.5230766471951618E-2</v>
      </c>
      <c r="W167" s="389">
        <f t="shared" ref="W167:AG169" si="33">F167/F$170</f>
        <v>1.181534306692548E-2</v>
      </c>
      <c r="X167" s="389">
        <f t="shared" si="33"/>
        <v>0.37575346594333936</v>
      </c>
      <c r="Y167" s="389">
        <f t="shared" si="33"/>
        <v>2.1940134055642272E-2</v>
      </c>
      <c r="Z167" s="389">
        <f t="shared" si="33"/>
        <v>2.2413542574832898E-2</v>
      </c>
      <c r="AA167" s="389">
        <f t="shared" si="33"/>
        <v>1.7852934009260035E-2</v>
      </c>
      <c r="AB167" s="389">
        <f t="shared" si="33"/>
        <v>2.2040550499597238E-2</v>
      </c>
      <c r="AC167" s="389">
        <f t="shared" si="33"/>
        <v>1.9788060589921521E-2</v>
      </c>
      <c r="AD167" s="389">
        <f t="shared" si="33"/>
        <v>1.616234786163567E-2</v>
      </c>
      <c r="AE167" s="389">
        <f t="shared" si="33"/>
        <v>1.0068237814438386E-2</v>
      </c>
      <c r="AF167" s="389">
        <f t="shared" si="33"/>
        <v>0.60687908841527749</v>
      </c>
      <c r="AG167" s="389">
        <f t="shared" si="33"/>
        <v>2.182063526693008E-2</v>
      </c>
    </row>
    <row r="168" spans="1:33">
      <c r="B168" s="383">
        <v>25</v>
      </c>
      <c r="C168" s="383">
        <v>3</v>
      </c>
      <c r="E168" s="385">
        <f>SUM(E130:E132)</f>
        <v>67130</v>
      </c>
      <c r="F168" s="385">
        <f t="shared" ref="F168:Q168" si="34">SUM(F130:F132)</f>
        <v>68910</v>
      </c>
      <c r="G168" s="385">
        <f t="shared" si="34"/>
        <v>82850</v>
      </c>
      <c r="H168" s="385">
        <f t="shared" si="34"/>
        <v>47210</v>
      </c>
      <c r="I168" s="385">
        <f t="shared" si="34"/>
        <v>43280</v>
      </c>
      <c r="J168" s="385">
        <f t="shared" si="34"/>
        <v>44140</v>
      </c>
      <c r="K168" s="385">
        <f t="shared" si="34"/>
        <v>45640</v>
      </c>
      <c r="L168" s="385">
        <f t="shared" si="34"/>
        <v>43030</v>
      </c>
      <c r="M168" s="385">
        <f t="shared" si="34"/>
        <v>33910</v>
      </c>
      <c r="N168" s="385">
        <f t="shared" si="34"/>
        <v>31030</v>
      </c>
      <c r="O168" s="385">
        <f t="shared" si="34"/>
        <v>37260</v>
      </c>
      <c r="P168" s="385">
        <f t="shared" si="34"/>
        <v>35570</v>
      </c>
      <c r="Q168" s="385">
        <f t="shared" si="34"/>
        <v>579960</v>
      </c>
      <c r="T168" s="383">
        <v>25</v>
      </c>
      <c r="U168" s="383">
        <f t="shared" si="32"/>
        <v>3</v>
      </c>
      <c r="V168" s="389">
        <f t="shared" ref="V168:V169" si="35">E168/E$170</f>
        <v>3.0094906774380103E-2</v>
      </c>
      <c r="W168" s="389">
        <f t="shared" si="33"/>
        <v>1.4912001661938365E-2</v>
      </c>
      <c r="X168" s="389">
        <f t="shared" si="33"/>
        <v>0.62424653405666064</v>
      </c>
      <c r="Y168" s="389">
        <f t="shared" si="33"/>
        <v>2.1673859149756679E-2</v>
      </c>
      <c r="Z168" s="389">
        <f t="shared" si="33"/>
        <v>1.9652717233362395E-2</v>
      </c>
      <c r="AA168" s="389">
        <f t="shared" si="33"/>
        <v>1.7633217882495816E-2</v>
      </c>
      <c r="AB168" s="389">
        <f t="shared" si="33"/>
        <v>1.9555418444821501E-2</v>
      </c>
      <c r="AC168" s="389">
        <f t="shared" si="33"/>
        <v>1.6850984507902692E-2</v>
      </c>
      <c r="AD168" s="389">
        <f t="shared" si="33"/>
        <v>1.2160310982650668E-2</v>
      </c>
      <c r="AE168" s="389">
        <f t="shared" si="33"/>
        <v>6.8814409555511694E-3</v>
      </c>
      <c r="AF168" s="389">
        <f t="shared" si="33"/>
        <v>0.39312091158472251</v>
      </c>
      <c r="AG168" s="389">
        <f t="shared" si="33"/>
        <v>1.4370672031933032E-2</v>
      </c>
    </row>
    <row r="169" spans="1:33">
      <c r="A169" s="390"/>
      <c r="B169" s="391">
        <v>31</v>
      </c>
      <c r="C169" s="391">
        <v>1</v>
      </c>
      <c r="D169" s="391"/>
      <c r="E169" s="392">
        <f>E137</f>
        <v>2107200</v>
      </c>
      <c r="F169" s="392">
        <f t="shared" ref="F169:Q169" si="36">F137</f>
        <v>4497600</v>
      </c>
      <c r="G169" s="392">
        <f t="shared" si="36"/>
        <v>0</v>
      </c>
      <c r="H169" s="392">
        <f t="shared" si="36"/>
        <v>2083200</v>
      </c>
      <c r="I169" s="392">
        <f t="shared" si="36"/>
        <v>2109600</v>
      </c>
      <c r="J169" s="392">
        <f t="shared" si="36"/>
        <v>2414400</v>
      </c>
      <c r="K169" s="392">
        <f t="shared" si="36"/>
        <v>2236800</v>
      </c>
      <c r="L169" s="392">
        <f t="shared" si="36"/>
        <v>2460000</v>
      </c>
      <c r="M169" s="392">
        <f t="shared" si="36"/>
        <v>2709600</v>
      </c>
      <c r="N169" s="392">
        <f t="shared" si="36"/>
        <v>4432800</v>
      </c>
      <c r="O169" s="392">
        <f t="shared" si="36"/>
        <v>0</v>
      </c>
      <c r="P169" s="392">
        <f t="shared" si="36"/>
        <v>2385600</v>
      </c>
      <c r="Q169" s="392">
        <f t="shared" si="36"/>
        <v>27436800</v>
      </c>
      <c r="S169" s="390"/>
      <c r="T169" s="391">
        <v>31</v>
      </c>
      <c r="U169" s="391">
        <f t="shared" si="32"/>
        <v>1</v>
      </c>
      <c r="V169" s="393">
        <f t="shared" si="35"/>
        <v>0.94467432675366825</v>
      </c>
      <c r="W169" s="393">
        <f t="shared" si="33"/>
        <v>0.97327265527113616</v>
      </c>
      <c r="X169" s="393">
        <f t="shared" si="33"/>
        <v>0</v>
      </c>
      <c r="Y169" s="393">
        <f t="shared" si="33"/>
        <v>0.95638600679460106</v>
      </c>
      <c r="Z169" s="393">
        <f t="shared" si="33"/>
        <v>0.95793374019180466</v>
      </c>
      <c r="AA169" s="393">
        <f t="shared" si="33"/>
        <v>0.96451384810824414</v>
      </c>
      <c r="AB169" s="393">
        <f t="shared" si="33"/>
        <v>0.95840403105558125</v>
      </c>
      <c r="AC169" s="393">
        <f t="shared" si="33"/>
        <v>0.96336095490217577</v>
      </c>
      <c r="AD169" s="393">
        <f t="shared" si="33"/>
        <v>0.97167734115571369</v>
      </c>
      <c r="AE169" s="393">
        <f t="shared" si="33"/>
        <v>0.98305032123001046</v>
      </c>
      <c r="AF169" s="393">
        <f t="shared" si="33"/>
        <v>0</v>
      </c>
      <c r="AG169" s="393">
        <f t="shared" si="33"/>
        <v>0.96380869270113689</v>
      </c>
    </row>
    <row r="170" spans="1:33">
      <c r="B170" s="383" t="s">
        <v>21</v>
      </c>
      <c r="C170" s="383">
        <f>SUM(C167:C169)</f>
        <v>8</v>
      </c>
      <c r="E170" s="385">
        <f>SUM(E167:E169)</f>
        <v>2230610</v>
      </c>
      <c r="F170" s="385">
        <f t="shared" ref="F170:Q170" si="37">SUM(F167:F169)</f>
        <v>4621110</v>
      </c>
      <c r="G170" s="385">
        <f t="shared" si="37"/>
        <v>132720</v>
      </c>
      <c r="H170" s="385">
        <f t="shared" si="37"/>
        <v>2178200</v>
      </c>
      <c r="I170" s="385">
        <f t="shared" si="37"/>
        <v>2202240</v>
      </c>
      <c r="J170" s="385">
        <f t="shared" si="37"/>
        <v>2503230</v>
      </c>
      <c r="K170" s="385">
        <f t="shared" si="37"/>
        <v>2333880</v>
      </c>
      <c r="L170" s="385">
        <f t="shared" si="37"/>
        <v>2553560</v>
      </c>
      <c r="M170" s="385">
        <f t="shared" si="37"/>
        <v>2788580</v>
      </c>
      <c r="N170" s="385">
        <f t="shared" si="37"/>
        <v>4509230</v>
      </c>
      <c r="O170" s="385">
        <f t="shared" si="37"/>
        <v>94780</v>
      </c>
      <c r="P170" s="385">
        <f t="shared" si="37"/>
        <v>2475180</v>
      </c>
      <c r="Q170" s="385">
        <f t="shared" si="37"/>
        <v>28623320</v>
      </c>
      <c r="T170" s="383"/>
      <c r="U170" s="383">
        <f t="shared" si="32"/>
        <v>8</v>
      </c>
      <c r="V170" s="389">
        <f>SUM(V167:V169)</f>
        <v>1</v>
      </c>
      <c r="W170" s="389">
        <f t="shared" ref="W170:AG170" si="38">SUM(W167:W169)</f>
        <v>1</v>
      </c>
      <c r="X170" s="389">
        <f t="shared" si="38"/>
        <v>1</v>
      </c>
      <c r="Y170" s="389">
        <f t="shared" si="38"/>
        <v>1</v>
      </c>
      <c r="Z170" s="389">
        <f t="shared" si="38"/>
        <v>1</v>
      </c>
      <c r="AA170" s="389">
        <f t="shared" si="38"/>
        <v>1</v>
      </c>
      <c r="AB170" s="389">
        <f t="shared" si="38"/>
        <v>1</v>
      </c>
      <c r="AC170" s="389">
        <f t="shared" si="38"/>
        <v>1</v>
      </c>
      <c r="AD170" s="389">
        <f t="shared" si="38"/>
        <v>1</v>
      </c>
      <c r="AE170" s="389">
        <f t="shared" si="38"/>
        <v>1</v>
      </c>
      <c r="AF170" s="389">
        <f t="shared" si="38"/>
        <v>1</v>
      </c>
      <c r="AG170" s="389">
        <f t="shared" si="38"/>
        <v>1</v>
      </c>
    </row>
    <row r="171" spans="1:33">
      <c r="B171" s="383"/>
      <c r="C171" s="383"/>
      <c r="T171" s="383"/>
      <c r="U171" s="383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</row>
    <row r="172" spans="1:33">
      <c r="A172" s="382" t="s">
        <v>221</v>
      </c>
      <c r="B172" s="383" t="s">
        <v>222</v>
      </c>
      <c r="C172" s="383">
        <v>10</v>
      </c>
      <c r="E172" s="385">
        <f>SUM(E21:E30)</f>
        <v>2332199</v>
      </c>
      <c r="F172" s="385">
        <f t="shared" ref="F172:Q172" si="39">SUM(F21:F30)</f>
        <v>1985400</v>
      </c>
      <c r="G172" s="385">
        <f t="shared" si="39"/>
        <v>2020200</v>
      </c>
      <c r="H172" s="385">
        <f t="shared" si="39"/>
        <v>2214600</v>
      </c>
      <c r="I172" s="385">
        <f t="shared" si="39"/>
        <v>1045200</v>
      </c>
      <c r="J172" s="385">
        <f t="shared" si="39"/>
        <v>1146861</v>
      </c>
      <c r="K172" s="385">
        <f t="shared" si="39"/>
        <v>2718502</v>
      </c>
      <c r="L172" s="385">
        <f t="shared" si="39"/>
        <v>2112837</v>
      </c>
      <c r="M172" s="385">
        <f t="shared" si="39"/>
        <v>1962765</v>
      </c>
      <c r="N172" s="385">
        <f t="shared" si="39"/>
        <v>1031789</v>
      </c>
      <c r="O172" s="385">
        <f t="shared" si="39"/>
        <v>2063830</v>
      </c>
      <c r="P172" s="385">
        <f t="shared" si="39"/>
        <v>1827961</v>
      </c>
      <c r="Q172" s="385">
        <f t="shared" si="39"/>
        <v>22462144</v>
      </c>
      <c r="S172" s="382" t="s">
        <v>223</v>
      </c>
      <c r="T172" s="383" t="s">
        <v>224</v>
      </c>
      <c r="U172" s="383">
        <f>C176</f>
        <v>97</v>
      </c>
      <c r="V172" s="389">
        <v>1</v>
      </c>
      <c r="W172" s="389">
        <v>1</v>
      </c>
      <c r="X172" s="389">
        <v>1</v>
      </c>
      <c r="Y172" s="389">
        <v>1</v>
      </c>
      <c r="Z172" s="389">
        <v>1</v>
      </c>
      <c r="AA172" s="389">
        <v>1</v>
      </c>
      <c r="AB172" s="389">
        <v>1</v>
      </c>
      <c r="AC172" s="389">
        <v>1</v>
      </c>
      <c r="AD172" s="389">
        <v>1</v>
      </c>
      <c r="AE172" s="389">
        <v>1</v>
      </c>
      <c r="AF172" s="389">
        <v>1</v>
      </c>
      <c r="AG172" s="389">
        <v>1</v>
      </c>
    </row>
    <row r="173" spans="1:33">
      <c r="A173" s="382" t="s">
        <v>225</v>
      </c>
      <c r="B173" s="383" t="s">
        <v>222</v>
      </c>
      <c r="C173" s="383">
        <v>46</v>
      </c>
      <c r="E173" s="385">
        <f>SUM(E31:E76)</f>
        <v>21399724</v>
      </c>
      <c r="F173" s="385">
        <f t="shared" ref="F173:Q173" si="40">SUM(F31:F76)</f>
        <v>18720128</v>
      </c>
      <c r="G173" s="385">
        <f t="shared" si="40"/>
        <v>17109467</v>
      </c>
      <c r="H173" s="385">
        <f t="shared" si="40"/>
        <v>16870377</v>
      </c>
      <c r="I173" s="385">
        <f t="shared" si="40"/>
        <v>15891521</v>
      </c>
      <c r="J173" s="385">
        <f t="shared" si="40"/>
        <v>15367066</v>
      </c>
      <c r="K173" s="385">
        <f t="shared" si="40"/>
        <v>15515548</v>
      </c>
      <c r="L173" s="385">
        <f t="shared" si="40"/>
        <v>17906187</v>
      </c>
      <c r="M173" s="385">
        <f t="shared" si="40"/>
        <v>16528312</v>
      </c>
      <c r="N173" s="385">
        <f t="shared" si="40"/>
        <v>7084143</v>
      </c>
      <c r="O173" s="385">
        <f t="shared" si="40"/>
        <v>22891942</v>
      </c>
      <c r="P173" s="385">
        <f t="shared" si="40"/>
        <v>15859894</v>
      </c>
      <c r="Q173" s="385">
        <f t="shared" si="40"/>
        <v>201144309</v>
      </c>
      <c r="T173" s="383"/>
      <c r="U173" s="383"/>
    </row>
    <row r="174" spans="1:33">
      <c r="A174" s="382" t="s">
        <v>226</v>
      </c>
      <c r="B174" s="383" t="s">
        <v>222</v>
      </c>
      <c r="C174" s="383">
        <v>2</v>
      </c>
      <c r="E174" s="385">
        <f>SUM(E77:E78)</f>
        <v>2887200</v>
      </c>
      <c r="F174" s="385">
        <f t="shared" ref="F174:Q174" si="41">SUM(F77:F78)</f>
        <v>2491200</v>
      </c>
      <c r="G174" s="385">
        <f t="shared" si="41"/>
        <v>2577600</v>
      </c>
      <c r="H174" s="385">
        <f t="shared" si="41"/>
        <v>2640000</v>
      </c>
      <c r="I174" s="385">
        <f t="shared" si="41"/>
        <v>2491200</v>
      </c>
      <c r="J174" s="385">
        <f t="shared" si="41"/>
        <v>2611200</v>
      </c>
      <c r="K174" s="385">
        <f t="shared" si="41"/>
        <v>2836800</v>
      </c>
      <c r="L174" s="385">
        <f t="shared" si="41"/>
        <v>2786400</v>
      </c>
      <c r="M174" s="385">
        <f t="shared" si="41"/>
        <v>2548800</v>
      </c>
      <c r="N174" s="385">
        <f t="shared" si="41"/>
        <v>1338775</v>
      </c>
      <c r="O174" s="385">
        <f t="shared" si="41"/>
        <v>2508488</v>
      </c>
      <c r="P174" s="385">
        <f t="shared" si="41"/>
        <v>2260960</v>
      </c>
      <c r="Q174" s="385">
        <f t="shared" si="41"/>
        <v>29978623</v>
      </c>
      <c r="T174" s="383"/>
      <c r="U174" s="383"/>
    </row>
    <row r="175" spans="1:33">
      <c r="A175" s="390" t="s">
        <v>227</v>
      </c>
      <c r="B175" s="391" t="s">
        <v>222</v>
      </c>
      <c r="C175" s="391">
        <v>39</v>
      </c>
      <c r="D175" s="391"/>
      <c r="E175" s="392">
        <f>SUM(E79:E117)</f>
        <v>5393005</v>
      </c>
      <c r="F175" s="392">
        <f t="shared" ref="F175:Q175" si="42">SUM(F79:F117)</f>
        <v>5042502</v>
      </c>
      <c r="G175" s="392">
        <f t="shared" si="42"/>
        <v>11022371</v>
      </c>
      <c r="H175" s="392">
        <f t="shared" si="42"/>
        <v>7928370</v>
      </c>
      <c r="I175" s="392">
        <f t="shared" si="42"/>
        <v>9198971</v>
      </c>
      <c r="J175" s="392">
        <f t="shared" si="42"/>
        <v>8184700</v>
      </c>
      <c r="K175" s="392">
        <f t="shared" si="42"/>
        <v>8319278</v>
      </c>
      <c r="L175" s="392">
        <f t="shared" si="42"/>
        <v>8750464</v>
      </c>
      <c r="M175" s="392">
        <f t="shared" si="42"/>
        <v>8960700</v>
      </c>
      <c r="N175" s="392">
        <f t="shared" si="42"/>
        <v>8050084</v>
      </c>
      <c r="O175" s="392">
        <f t="shared" si="42"/>
        <v>8502077</v>
      </c>
      <c r="P175" s="392">
        <f t="shared" si="42"/>
        <v>8455798</v>
      </c>
      <c r="Q175" s="392">
        <f t="shared" si="42"/>
        <v>97808320</v>
      </c>
      <c r="S175" s="394"/>
      <c r="T175" s="395"/>
      <c r="U175" s="395"/>
    </row>
    <row r="176" spans="1:33">
      <c r="B176" s="383" t="s">
        <v>21</v>
      </c>
      <c r="C176" s="383">
        <f>SUM(C172:C175)</f>
        <v>97</v>
      </c>
      <c r="E176" s="385">
        <f>SUM(E172:E175)</f>
        <v>32012128</v>
      </c>
      <c r="F176" s="385">
        <f t="shared" ref="F176:Q176" si="43">SUM(F172:F175)</f>
        <v>28239230</v>
      </c>
      <c r="G176" s="385">
        <f t="shared" si="43"/>
        <v>32729638</v>
      </c>
      <c r="H176" s="385">
        <f t="shared" si="43"/>
        <v>29653347</v>
      </c>
      <c r="I176" s="385">
        <f t="shared" si="43"/>
        <v>28626892</v>
      </c>
      <c r="J176" s="385">
        <f t="shared" si="43"/>
        <v>27309827</v>
      </c>
      <c r="K176" s="385">
        <f t="shared" si="43"/>
        <v>29390128</v>
      </c>
      <c r="L176" s="385">
        <f t="shared" si="43"/>
        <v>31555888</v>
      </c>
      <c r="M176" s="385">
        <f t="shared" si="43"/>
        <v>30000577</v>
      </c>
      <c r="N176" s="385">
        <f t="shared" si="43"/>
        <v>17504791</v>
      </c>
      <c r="O176" s="385">
        <f t="shared" si="43"/>
        <v>35966337</v>
      </c>
      <c r="P176" s="385">
        <f t="shared" si="43"/>
        <v>28404613</v>
      </c>
      <c r="Q176" s="385">
        <f t="shared" si="43"/>
        <v>351393396</v>
      </c>
      <c r="T176" s="383"/>
      <c r="U176" s="383"/>
    </row>
    <row r="177" spans="1:33">
      <c r="B177" s="383"/>
      <c r="C177" s="383"/>
    </row>
    <row r="178" spans="1:33">
      <c r="A178" s="383" t="s">
        <v>23</v>
      </c>
      <c r="C178" s="383">
        <f>C144+C149+C153+C155+C160+C165+C170+C176</f>
        <v>132</v>
      </c>
      <c r="E178" s="385">
        <f>E144+E149+E153+E155+E160+E165+E170+E176</f>
        <v>45745727</v>
      </c>
      <c r="F178" s="385">
        <f t="shared" ref="F178:Q178" si="44">F144+F149+F153+F155+F160+F165+F170+F176</f>
        <v>43929830</v>
      </c>
      <c r="G178" s="385">
        <f t="shared" si="44"/>
        <v>44503268</v>
      </c>
      <c r="H178" s="385">
        <f t="shared" si="44"/>
        <v>42551052</v>
      </c>
      <c r="I178" s="385">
        <f t="shared" si="44"/>
        <v>42098022</v>
      </c>
      <c r="J178" s="385">
        <f t="shared" si="44"/>
        <v>36454392</v>
      </c>
      <c r="K178" s="385">
        <f t="shared" si="44"/>
        <v>48717371</v>
      </c>
      <c r="L178" s="385">
        <f t="shared" si="44"/>
        <v>46696149</v>
      </c>
      <c r="M178" s="385">
        <f t="shared" si="44"/>
        <v>43379398</v>
      </c>
      <c r="N178" s="385">
        <f t="shared" si="44"/>
        <v>35046087</v>
      </c>
      <c r="O178" s="385">
        <f t="shared" si="44"/>
        <v>47156357</v>
      </c>
      <c r="P178" s="385">
        <f t="shared" si="44"/>
        <v>42267794</v>
      </c>
      <c r="Q178" s="385">
        <f t="shared" si="44"/>
        <v>518545447</v>
      </c>
    </row>
    <row r="181" spans="1:33" ht="18.75">
      <c r="B181" s="386" t="s">
        <v>228</v>
      </c>
      <c r="S181" s="473" t="s">
        <v>213</v>
      </c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  <c r="AE181" s="473"/>
      <c r="AF181" s="473"/>
      <c r="AG181" s="473"/>
    </row>
    <row r="183" spans="1:33">
      <c r="E183" s="474" t="s">
        <v>214</v>
      </c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6"/>
      <c r="T183" s="474" t="s">
        <v>214</v>
      </c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6"/>
    </row>
    <row r="184" spans="1:33">
      <c r="A184" s="387"/>
      <c r="B184" s="387" t="s">
        <v>216</v>
      </c>
      <c r="C184" s="387" t="s">
        <v>217</v>
      </c>
      <c r="E184" s="387" t="s">
        <v>89</v>
      </c>
      <c r="F184" s="387" t="s">
        <v>90</v>
      </c>
      <c r="G184" s="387" t="s">
        <v>91</v>
      </c>
      <c r="H184" s="387" t="s">
        <v>92</v>
      </c>
      <c r="I184" s="387" t="s">
        <v>93</v>
      </c>
      <c r="J184" s="387" t="s">
        <v>94</v>
      </c>
      <c r="K184" s="387" t="s">
        <v>95</v>
      </c>
      <c r="L184" s="387" t="s">
        <v>96</v>
      </c>
      <c r="M184" s="387" t="s">
        <v>97</v>
      </c>
      <c r="N184" s="387" t="s">
        <v>98</v>
      </c>
      <c r="O184" s="387" t="s">
        <v>99</v>
      </c>
      <c r="P184" s="387" t="s">
        <v>100</v>
      </c>
      <c r="Q184" s="387" t="s">
        <v>21</v>
      </c>
      <c r="S184" s="387" t="s">
        <v>216</v>
      </c>
      <c r="T184" s="387" t="s">
        <v>89</v>
      </c>
      <c r="U184" s="387" t="s">
        <v>90</v>
      </c>
      <c r="V184" s="387" t="s">
        <v>91</v>
      </c>
      <c r="W184" s="387" t="s">
        <v>92</v>
      </c>
      <c r="X184" s="387" t="s">
        <v>93</v>
      </c>
      <c r="Y184" s="387" t="s">
        <v>94</v>
      </c>
      <c r="Z184" s="387" t="s">
        <v>95</v>
      </c>
      <c r="AA184" s="387" t="s">
        <v>96</v>
      </c>
      <c r="AB184" s="387" t="s">
        <v>97</v>
      </c>
      <c r="AC184" s="387" t="s">
        <v>98</v>
      </c>
      <c r="AD184" s="387" t="s">
        <v>99</v>
      </c>
      <c r="AE184" s="387" t="s">
        <v>100</v>
      </c>
      <c r="AF184" s="387"/>
    </row>
    <row r="185" spans="1:33">
      <c r="B185" s="383">
        <v>24</v>
      </c>
      <c r="C185" s="382">
        <f>C146+C157+C162+C167</f>
        <v>8</v>
      </c>
      <c r="E185" s="396">
        <f t="shared" ref="E185:Q186" si="45">E146+E157+E162+E167</f>
        <v>81070</v>
      </c>
      <c r="F185" s="396">
        <f t="shared" si="45"/>
        <v>78770</v>
      </c>
      <c r="G185" s="396">
        <f t="shared" si="45"/>
        <v>74240</v>
      </c>
      <c r="H185" s="396">
        <f t="shared" si="45"/>
        <v>69920</v>
      </c>
      <c r="I185" s="396">
        <f t="shared" si="45"/>
        <v>70670</v>
      </c>
      <c r="J185" s="396">
        <f t="shared" si="45"/>
        <v>65940</v>
      </c>
      <c r="K185" s="396">
        <f t="shared" si="45"/>
        <v>75103</v>
      </c>
      <c r="L185" s="396">
        <f t="shared" si="45"/>
        <v>74291</v>
      </c>
      <c r="M185" s="396">
        <f t="shared" si="45"/>
        <v>68291</v>
      </c>
      <c r="N185" s="396">
        <f t="shared" si="45"/>
        <v>67306</v>
      </c>
      <c r="O185" s="396">
        <f t="shared" si="45"/>
        <v>80440</v>
      </c>
      <c r="P185" s="396">
        <f t="shared" si="45"/>
        <v>79411</v>
      </c>
      <c r="Q185" s="396">
        <f t="shared" si="45"/>
        <v>885452</v>
      </c>
      <c r="S185" s="383">
        <v>24</v>
      </c>
      <c r="T185" s="401">
        <f>E185/E$192</f>
        <v>1.7721873782878125E-3</v>
      </c>
      <c r="U185" s="401">
        <f t="shared" ref="U185:AE188" si="46">F185/F$192</f>
        <v>1.7930868387152875E-3</v>
      </c>
      <c r="V185" s="401">
        <f t="shared" si="46"/>
        <v>1.6681920977129141E-3</v>
      </c>
      <c r="W185" s="401">
        <f t="shared" si="46"/>
        <v>1.6432026169411747E-3</v>
      </c>
      <c r="X185" s="401">
        <f t="shared" si="46"/>
        <v>1.6787011988354226E-3</v>
      </c>
      <c r="Y185" s="401">
        <f t="shared" si="46"/>
        <v>1.8088355444249352E-3</v>
      </c>
      <c r="Z185" s="401">
        <f t="shared" si="46"/>
        <v>1.5416061757519714E-3</v>
      </c>
      <c r="AA185" s="401">
        <f t="shared" si="46"/>
        <v>1.5909448978330097E-3</v>
      </c>
      <c r="AB185" s="401">
        <f t="shared" si="46"/>
        <v>1.5742726535762437E-3</v>
      </c>
      <c r="AC185" s="401">
        <f t="shared" si="46"/>
        <v>1.9204997122788631E-3</v>
      </c>
      <c r="AD185" s="401">
        <f t="shared" si="46"/>
        <v>1.7058145522140314E-3</v>
      </c>
      <c r="AE185" s="401">
        <f t="shared" si="46"/>
        <v>1.8787590381461592E-3</v>
      </c>
      <c r="AF185" s="396"/>
    </row>
    <row r="186" spans="1:33">
      <c r="B186" s="383">
        <v>25</v>
      </c>
      <c r="C186" s="382">
        <f>C147+C158+C163+C168</f>
        <v>12</v>
      </c>
      <c r="E186" s="396">
        <f t="shared" si="45"/>
        <v>661629</v>
      </c>
      <c r="F186" s="396">
        <f t="shared" si="45"/>
        <v>618970</v>
      </c>
      <c r="G186" s="396">
        <f t="shared" si="45"/>
        <v>653150</v>
      </c>
      <c r="H186" s="396">
        <f t="shared" si="45"/>
        <v>565765</v>
      </c>
      <c r="I186" s="396">
        <f t="shared" si="45"/>
        <v>569485</v>
      </c>
      <c r="J186" s="396">
        <f t="shared" si="45"/>
        <v>556980</v>
      </c>
      <c r="K186" s="396">
        <f t="shared" si="45"/>
        <v>568080</v>
      </c>
      <c r="L186" s="396">
        <f t="shared" si="45"/>
        <v>629730</v>
      </c>
      <c r="M186" s="396">
        <f t="shared" si="45"/>
        <v>597670</v>
      </c>
      <c r="N186" s="396">
        <f t="shared" si="45"/>
        <v>565630</v>
      </c>
      <c r="O186" s="396">
        <f t="shared" si="45"/>
        <v>493120</v>
      </c>
      <c r="P186" s="396">
        <f t="shared" si="45"/>
        <v>539490</v>
      </c>
      <c r="Q186" s="396">
        <f t="shared" si="45"/>
        <v>7019699</v>
      </c>
      <c r="S186" s="383">
        <v>25</v>
      </c>
      <c r="T186" s="401">
        <f t="shared" ref="T186:T188" si="47">E186/E$192</f>
        <v>1.4463186911424536E-2</v>
      </c>
      <c r="U186" s="401">
        <f t="shared" si="46"/>
        <v>1.4089970300363101E-2</v>
      </c>
      <c r="V186" s="401">
        <f t="shared" si="46"/>
        <v>1.4676450277763872E-2</v>
      </c>
      <c r="W186" s="401">
        <f t="shared" si="46"/>
        <v>1.3296146003628771E-2</v>
      </c>
      <c r="X186" s="401">
        <f t="shared" si="46"/>
        <v>1.3527595192002133E-2</v>
      </c>
      <c r="Y186" s="401">
        <f t="shared" si="46"/>
        <v>1.5278817433027E-2</v>
      </c>
      <c r="Z186" s="401">
        <f t="shared" si="46"/>
        <v>1.1660727751503668E-2</v>
      </c>
      <c r="AA186" s="401">
        <f t="shared" si="46"/>
        <v>1.3485694505557621E-2</v>
      </c>
      <c r="AB186" s="401">
        <f t="shared" si="46"/>
        <v>1.377773845547603E-2</v>
      </c>
      <c r="AC186" s="401">
        <f t="shared" si="46"/>
        <v>1.6139604972161371E-2</v>
      </c>
      <c r="AD186" s="401">
        <f t="shared" si="46"/>
        <v>1.0457126702980895E-2</v>
      </c>
      <c r="AE186" s="401">
        <f t="shared" si="46"/>
        <v>1.2763618560268369E-2</v>
      </c>
      <c r="AF186" s="396"/>
    </row>
    <row r="187" spans="1:33">
      <c r="B187" s="383">
        <v>26</v>
      </c>
      <c r="C187" s="382">
        <f>C148+C151+C159</f>
        <v>10</v>
      </c>
      <c r="E187" s="396">
        <f t="shared" ref="E187:Q187" si="48">E148+E151+E159</f>
        <v>3822900</v>
      </c>
      <c r="F187" s="396">
        <f t="shared" si="48"/>
        <v>3436860</v>
      </c>
      <c r="G187" s="396">
        <f t="shared" si="48"/>
        <v>3975840</v>
      </c>
      <c r="H187" s="396">
        <f t="shared" si="48"/>
        <v>3499620</v>
      </c>
      <c r="I187" s="396">
        <f t="shared" si="48"/>
        <v>3722975</v>
      </c>
      <c r="J187" s="396">
        <f t="shared" si="48"/>
        <v>2550445</v>
      </c>
      <c r="K187" s="396">
        <f t="shared" si="48"/>
        <v>5056860</v>
      </c>
      <c r="L187" s="396">
        <f t="shared" si="48"/>
        <v>4361040</v>
      </c>
      <c r="M187" s="396">
        <f t="shared" si="48"/>
        <v>4130460</v>
      </c>
      <c r="N187" s="396">
        <f t="shared" si="48"/>
        <v>3677160</v>
      </c>
      <c r="O187" s="396">
        <f t="shared" si="48"/>
        <v>3361260</v>
      </c>
      <c r="P187" s="396">
        <f t="shared" si="48"/>
        <v>4037880</v>
      </c>
      <c r="Q187" s="396">
        <f t="shared" si="48"/>
        <v>45633300</v>
      </c>
      <c r="S187" s="383">
        <v>26</v>
      </c>
      <c r="T187" s="401">
        <f t="shared" si="47"/>
        <v>8.3568460940625117E-2</v>
      </c>
      <c r="U187" s="401">
        <f t="shared" si="46"/>
        <v>7.8235221943722524E-2</v>
      </c>
      <c r="V187" s="401">
        <f t="shared" si="46"/>
        <v>8.9338158267388362E-2</v>
      </c>
      <c r="W187" s="401">
        <f t="shared" si="46"/>
        <v>8.2245205124423251E-2</v>
      </c>
      <c r="X187" s="401">
        <f t="shared" si="46"/>
        <v>8.8435865229012423E-2</v>
      </c>
      <c r="Y187" s="401">
        <f t="shared" si="46"/>
        <v>6.9962626176840362E-2</v>
      </c>
      <c r="Z187" s="401">
        <f t="shared" si="46"/>
        <v>0.10379993616650619</v>
      </c>
      <c r="AA187" s="401">
        <f t="shared" si="46"/>
        <v>9.3391855503973137E-2</v>
      </c>
      <c r="AB187" s="401">
        <f t="shared" si="46"/>
        <v>9.5217088996947349E-2</v>
      </c>
      <c r="AC187" s="401">
        <f t="shared" si="46"/>
        <v>0.10492355394769179</v>
      </c>
      <c r="AD187" s="401">
        <f t="shared" si="46"/>
        <v>7.1279043035491485E-2</v>
      </c>
      <c r="AE187" s="401">
        <f t="shared" si="46"/>
        <v>9.5530890493125811E-2</v>
      </c>
      <c r="AF187" s="396"/>
    </row>
    <row r="188" spans="1:33">
      <c r="B188" s="391">
        <v>31</v>
      </c>
      <c r="C188" s="390">
        <f>C144+C152+C155+C164+C169</f>
        <v>5</v>
      </c>
      <c r="D188" s="391"/>
      <c r="E188" s="397">
        <f t="shared" ref="E188:Q188" si="49">E144+E152+E155+E164+E169</f>
        <v>9168000</v>
      </c>
      <c r="F188" s="397">
        <f t="shared" si="49"/>
        <v>11556000</v>
      </c>
      <c r="G188" s="397">
        <f t="shared" si="49"/>
        <v>7070400</v>
      </c>
      <c r="H188" s="397">
        <f t="shared" si="49"/>
        <v>8762400</v>
      </c>
      <c r="I188" s="397">
        <f t="shared" si="49"/>
        <v>9108000</v>
      </c>
      <c r="J188" s="397">
        <f t="shared" si="49"/>
        <v>5971200</v>
      </c>
      <c r="K188" s="397">
        <f t="shared" si="49"/>
        <v>13627200</v>
      </c>
      <c r="L188" s="397">
        <f t="shared" si="49"/>
        <v>10075200</v>
      </c>
      <c r="M188" s="397">
        <f t="shared" si="49"/>
        <v>8582400</v>
      </c>
      <c r="N188" s="397">
        <f t="shared" si="49"/>
        <v>13231200</v>
      </c>
      <c r="O188" s="397">
        <f t="shared" si="49"/>
        <v>7255200</v>
      </c>
      <c r="P188" s="397">
        <f t="shared" si="49"/>
        <v>9206400</v>
      </c>
      <c r="Q188" s="397">
        <f t="shared" si="49"/>
        <v>113613600</v>
      </c>
      <c r="S188" s="395">
        <v>31</v>
      </c>
      <c r="T188" s="401">
        <f t="shared" si="47"/>
        <v>0.20041216089974917</v>
      </c>
      <c r="U188" s="401">
        <f t="shared" si="46"/>
        <v>0.26305587797630903</v>
      </c>
      <c r="V188" s="401">
        <f t="shared" si="46"/>
        <v>0.15887372585761567</v>
      </c>
      <c r="W188" s="401">
        <f t="shared" si="46"/>
        <v>0.20592675358531676</v>
      </c>
      <c r="X188" s="401">
        <f t="shared" si="46"/>
        <v>0.21635220771180175</v>
      </c>
      <c r="Y188" s="401">
        <f t="shared" si="46"/>
        <v>0.16379919324947184</v>
      </c>
      <c r="Z188" s="401">
        <f t="shared" si="46"/>
        <v>0.27971952755825019</v>
      </c>
      <c r="AA188" s="401">
        <f t="shared" si="46"/>
        <v>0.21576083286868045</v>
      </c>
      <c r="AB188" s="401">
        <f t="shared" si="46"/>
        <v>0.19784506921926395</v>
      </c>
      <c r="AC188" s="401">
        <f t="shared" si="46"/>
        <v>0.37753715557460094</v>
      </c>
      <c r="AD188" s="401">
        <f t="shared" si="46"/>
        <v>0.15385412405797166</v>
      </c>
      <c r="AE188" s="401">
        <f t="shared" si="46"/>
        <v>0.21781122525580587</v>
      </c>
      <c r="AF188" s="398"/>
    </row>
    <row r="189" spans="1:33">
      <c r="B189" s="383" t="s">
        <v>21</v>
      </c>
      <c r="C189" s="382">
        <f>SUM(C185:C188)</f>
        <v>35</v>
      </c>
      <c r="E189" s="396">
        <f t="shared" ref="E189:Q189" si="50">SUM(E185:E188)</f>
        <v>13733599</v>
      </c>
      <c r="F189" s="396">
        <f t="shared" si="50"/>
        <v>15690600</v>
      </c>
      <c r="G189" s="396">
        <f t="shared" si="50"/>
        <v>11773630</v>
      </c>
      <c r="H189" s="396">
        <f t="shared" si="50"/>
        <v>12897705</v>
      </c>
      <c r="I189" s="396">
        <f t="shared" si="50"/>
        <v>13471130</v>
      </c>
      <c r="J189" s="396">
        <f t="shared" si="50"/>
        <v>9144565</v>
      </c>
      <c r="K189" s="396">
        <f t="shared" si="50"/>
        <v>19327243</v>
      </c>
      <c r="L189" s="396">
        <f t="shared" si="50"/>
        <v>15140261</v>
      </c>
      <c r="M189" s="396">
        <f t="shared" si="50"/>
        <v>13378821</v>
      </c>
      <c r="N189" s="396">
        <f t="shared" si="50"/>
        <v>17541296</v>
      </c>
      <c r="O189" s="396">
        <f t="shared" si="50"/>
        <v>11190020</v>
      </c>
      <c r="P189" s="396">
        <f t="shared" si="50"/>
        <v>13863181</v>
      </c>
      <c r="Q189" s="396">
        <f t="shared" si="50"/>
        <v>167152051</v>
      </c>
      <c r="R189" s="385"/>
      <c r="S189" s="390" t="s">
        <v>222</v>
      </c>
      <c r="T189" s="402">
        <f>E191/E$192</f>
        <v>0.69978400386991335</v>
      </c>
      <c r="U189" s="402">
        <f t="shared" ref="U189:AE189" si="51">F191/F$192</f>
        <v>0.64282584294089007</v>
      </c>
      <c r="V189" s="402">
        <f t="shared" si="51"/>
        <v>0.73544347349951922</v>
      </c>
      <c r="W189" s="402">
        <f t="shared" si="51"/>
        <v>0.69688869266969</v>
      </c>
      <c r="X189" s="402">
        <f t="shared" si="51"/>
        <v>0.68000563066834829</v>
      </c>
      <c r="Y189" s="402">
        <f t="shared" si="51"/>
        <v>0.7491505275962359</v>
      </c>
      <c r="Z189" s="402">
        <f t="shared" si="51"/>
        <v>0.6032782023479879</v>
      </c>
      <c r="AA189" s="402">
        <f t="shared" si="51"/>
        <v>0.67577067222395582</v>
      </c>
      <c r="AB189" s="402">
        <f t="shared" si="51"/>
        <v>0.69158583067473645</v>
      </c>
      <c r="AC189" s="402">
        <f t="shared" si="51"/>
        <v>0.499479185793267</v>
      </c>
      <c r="AD189" s="402">
        <f t="shared" si="51"/>
        <v>0.76270389165134189</v>
      </c>
      <c r="AE189" s="402">
        <f t="shared" si="51"/>
        <v>0.67201550665265375</v>
      </c>
      <c r="AF189" s="390"/>
    </row>
    <row r="190" spans="1:33">
      <c r="T190" s="399">
        <f>SUM(T185:T189)</f>
        <v>1</v>
      </c>
      <c r="U190" s="399">
        <f t="shared" ref="U190:AE190" si="52">SUM(U185:U189)</f>
        <v>1</v>
      </c>
      <c r="V190" s="399">
        <f t="shared" si="52"/>
        <v>1</v>
      </c>
      <c r="W190" s="399">
        <f t="shared" si="52"/>
        <v>1</v>
      </c>
      <c r="X190" s="399">
        <f t="shared" si="52"/>
        <v>1</v>
      </c>
      <c r="Y190" s="399">
        <f t="shared" si="52"/>
        <v>1</v>
      </c>
      <c r="Z190" s="399">
        <f t="shared" si="52"/>
        <v>1</v>
      </c>
      <c r="AA190" s="399">
        <f t="shared" si="52"/>
        <v>1</v>
      </c>
      <c r="AB190" s="399">
        <f t="shared" si="52"/>
        <v>1</v>
      </c>
      <c r="AC190" s="399">
        <f t="shared" si="52"/>
        <v>1</v>
      </c>
      <c r="AD190" s="399">
        <f t="shared" si="52"/>
        <v>1</v>
      </c>
      <c r="AE190" s="399">
        <f t="shared" si="52"/>
        <v>1</v>
      </c>
    </row>
    <row r="191" spans="1:33">
      <c r="B191" s="390" t="s">
        <v>222</v>
      </c>
      <c r="C191" s="390">
        <f>C176</f>
        <v>97</v>
      </c>
      <c r="D191" s="391"/>
      <c r="E191" s="392">
        <f>E176</f>
        <v>32012128</v>
      </c>
      <c r="F191" s="392">
        <f t="shared" ref="F191:Q191" si="53">F176</f>
        <v>28239230</v>
      </c>
      <c r="G191" s="392">
        <f t="shared" si="53"/>
        <v>32729638</v>
      </c>
      <c r="H191" s="392">
        <f t="shared" si="53"/>
        <v>29653347</v>
      </c>
      <c r="I191" s="392">
        <f t="shared" si="53"/>
        <v>28626892</v>
      </c>
      <c r="J191" s="392">
        <f t="shared" si="53"/>
        <v>27309827</v>
      </c>
      <c r="K191" s="392">
        <f t="shared" si="53"/>
        <v>29390128</v>
      </c>
      <c r="L191" s="392">
        <f t="shared" si="53"/>
        <v>31555888</v>
      </c>
      <c r="M191" s="392">
        <f t="shared" si="53"/>
        <v>30000577</v>
      </c>
      <c r="N191" s="392">
        <f t="shared" si="53"/>
        <v>17504791</v>
      </c>
      <c r="O191" s="392">
        <f t="shared" si="53"/>
        <v>35966337</v>
      </c>
      <c r="P191" s="392">
        <f t="shared" si="53"/>
        <v>28404613</v>
      </c>
      <c r="Q191" s="392">
        <f t="shared" si="53"/>
        <v>351393396</v>
      </c>
    </row>
    <row r="192" spans="1:33">
      <c r="B192" s="382" t="s">
        <v>229</v>
      </c>
      <c r="C192" s="382">
        <f>SUM(C189:C191)</f>
        <v>132</v>
      </c>
      <c r="E192" s="385">
        <f t="shared" ref="E192:Q192" si="54">SUM(E189:E191)</f>
        <v>45745727</v>
      </c>
      <c r="F192" s="385">
        <f t="shared" si="54"/>
        <v>43929830</v>
      </c>
      <c r="G192" s="385">
        <f t="shared" si="54"/>
        <v>44503268</v>
      </c>
      <c r="H192" s="385">
        <f t="shared" si="54"/>
        <v>42551052</v>
      </c>
      <c r="I192" s="385">
        <f t="shared" si="54"/>
        <v>42098022</v>
      </c>
      <c r="J192" s="385">
        <f t="shared" si="54"/>
        <v>36454392</v>
      </c>
      <c r="K192" s="385">
        <f t="shared" si="54"/>
        <v>48717371</v>
      </c>
      <c r="L192" s="385">
        <f t="shared" si="54"/>
        <v>46696149</v>
      </c>
      <c r="M192" s="385">
        <f t="shared" si="54"/>
        <v>43379398</v>
      </c>
      <c r="N192" s="385">
        <f t="shared" si="54"/>
        <v>35046087</v>
      </c>
      <c r="O192" s="385">
        <f t="shared" si="54"/>
        <v>47156357</v>
      </c>
      <c r="P192" s="385">
        <f t="shared" si="54"/>
        <v>42267794</v>
      </c>
      <c r="Q192" s="385">
        <f t="shared" si="54"/>
        <v>518545447</v>
      </c>
    </row>
    <row r="193" spans="2:17"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</row>
    <row r="194" spans="2:17"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</row>
    <row r="195" spans="2:17">
      <c r="B195" s="400" t="s">
        <v>230</v>
      </c>
      <c r="E195" s="385">
        <f t="shared" ref="E195:Q195" si="55">E188-E144</f>
        <v>6530400</v>
      </c>
      <c r="F195" s="385">
        <f t="shared" si="55"/>
        <v>9076800</v>
      </c>
      <c r="G195" s="385">
        <f t="shared" si="55"/>
        <v>4377600</v>
      </c>
      <c r="H195" s="385">
        <f t="shared" si="55"/>
        <v>6355200</v>
      </c>
      <c r="I195" s="385">
        <f t="shared" si="55"/>
        <v>6540000</v>
      </c>
      <c r="J195" s="385">
        <f t="shared" si="55"/>
        <v>3259200</v>
      </c>
      <c r="K195" s="385">
        <f t="shared" si="55"/>
        <v>11126400</v>
      </c>
      <c r="L195" s="385">
        <f t="shared" si="55"/>
        <v>7557600</v>
      </c>
      <c r="M195" s="385">
        <f t="shared" si="55"/>
        <v>5743200</v>
      </c>
      <c r="N195" s="385">
        <f t="shared" si="55"/>
        <v>10744800</v>
      </c>
      <c r="O195" s="385">
        <f t="shared" si="55"/>
        <v>4576800</v>
      </c>
      <c r="P195" s="385">
        <f t="shared" si="55"/>
        <v>6691200</v>
      </c>
      <c r="Q195" s="385">
        <f t="shared" si="55"/>
        <v>82579200</v>
      </c>
    </row>
    <row r="196" spans="2:17">
      <c r="E196" s="389">
        <f t="shared" ref="E196:Q196" si="56">E195/E188</f>
        <v>0.71230366492146602</v>
      </c>
      <c r="F196" s="389">
        <f t="shared" si="56"/>
        <v>0.78546209761163033</v>
      </c>
      <c r="G196" s="389">
        <f t="shared" si="56"/>
        <v>0.61914460285132378</v>
      </c>
      <c r="H196" s="389">
        <f t="shared" si="56"/>
        <v>0.72528074500136952</v>
      </c>
      <c r="I196" s="389">
        <f t="shared" si="56"/>
        <v>0.71805006587615283</v>
      </c>
      <c r="J196" s="389">
        <f t="shared" si="56"/>
        <v>0.54581993569131837</v>
      </c>
      <c r="K196" s="389">
        <f t="shared" si="56"/>
        <v>0.81648467770341671</v>
      </c>
      <c r="L196" s="389">
        <f t="shared" si="56"/>
        <v>0.75011910433539786</v>
      </c>
      <c r="M196" s="389">
        <f t="shared" si="56"/>
        <v>0.6691834451901566</v>
      </c>
      <c r="N196" s="389">
        <f t="shared" si="56"/>
        <v>0.81208053691275173</v>
      </c>
      <c r="O196" s="389">
        <f t="shared" si="56"/>
        <v>0.63083030102547144</v>
      </c>
      <c r="P196" s="389">
        <f t="shared" si="56"/>
        <v>0.72679874869655892</v>
      </c>
      <c r="Q196" s="389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workbookViewId="0">
      <selection activeCell="H20" sqref="H20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12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231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135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 t="array" ref="V11:V22">TRANSPOSE('Actual Total Usage'!B13:M13)/1000</f>
        <v>270052.26044799993</v>
      </c>
      <c r="W11" s="299">
        <f t="array" ref="W11:W22">TRANSPOSE('Normalized Total Usage'!B13:M13)/1000</f>
        <v>278679.17067591567</v>
      </c>
      <c r="X11" s="299">
        <f>W11-V11</f>
        <v>8626.9102279157378</v>
      </c>
      <c r="Y11" s="299"/>
      <c r="Z11" s="299">
        <f t="array" ref="Z11:Z22">TRANSPOSE('Actual Total Usage'!B17:M17)/1000</f>
        <v>268152.90463499998</v>
      </c>
      <c r="AA11" s="299">
        <f t="array" ref="AA11:AA22">TRANSPOSE('Normalized Total Usage'!B17:M17)/1000</f>
        <v>273697.30758958426</v>
      </c>
      <c r="AB11" s="299">
        <f>AA11-Z11</f>
        <v>5544.4029545842786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299">
        <f>C12/1000</f>
        <v>2215266.1669999999</v>
      </c>
      <c r="L12" s="299">
        <f>D12/1000</f>
        <v>2305584.0654216884</v>
      </c>
      <c r="M12" s="299">
        <f>E12/1000</f>
        <v>90317.898421688558</v>
      </c>
      <c r="N12" s="299">
        <f>F12/1000</f>
        <v>83905.327633748675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v>250610.40238099999</v>
      </c>
      <c r="W12" s="299">
        <v>245128.46869024093</v>
      </c>
      <c r="X12" s="299">
        <f t="shared" ref="X12:X22" si="4">W12-V12</f>
        <v>-5481.9336907590623</v>
      </c>
      <c r="Y12" s="299"/>
      <c r="Z12" s="299">
        <v>260714.836633</v>
      </c>
      <c r="AA12" s="299">
        <v>257118.99808754722</v>
      </c>
      <c r="AB12" s="299">
        <f t="shared" ref="AB12:AB22" si="5">AA12-Z12</f>
        <v>-3595.8385454527743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E13/1000</f>
        <v>-56906.769369796988</v>
      </c>
      <c r="N13" s="299">
        <f t="shared" ref="N13:N23" si="11">F13/1000</f>
        <v>-52866.388744541408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v>249794.73207899998</v>
      </c>
      <c r="W13" s="299">
        <v>250540.24114362241</v>
      </c>
      <c r="X13" s="299">
        <f t="shared" si="4"/>
        <v>745.5090646224271</v>
      </c>
      <c r="Y13" s="299"/>
      <c r="Z13" s="299">
        <v>261974.89123100002</v>
      </c>
      <c r="AA13" s="299">
        <v>262571.11880648811</v>
      </c>
      <c r="AB13" s="299">
        <f t="shared" si="5"/>
        <v>596.2275754880975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6119.256072230577</v>
      </c>
      <c r="N14" s="299">
        <f t="shared" si="11"/>
        <v>5684.7888911022073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v>222392.89107099999</v>
      </c>
      <c r="W14" s="299">
        <v>223205.8959595242</v>
      </c>
      <c r="X14" s="299">
        <f t="shared" si="4"/>
        <v>813.00488852421404</v>
      </c>
      <c r="Y14" s="299"/>
      <c r="Z14" s="299">
        <v>243307.75608700002</v>
      </c>
      <c r="AA14" s="299">
        <v>243653.6529643487</v>
      </c>
      <c r="AB14" s="299">
        <f t="shared" si="5"/>
        <v>345.89687734868494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11326.586600157023</v>
      </c>
      <c r="N15" s="299">
        <f t="shared" si="11"/>
        <v>10522.398951545874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v>203704.35266199999</v>
      </c>
      <c r="W15" s="299">
        <v>204567.2532799842</v>
      </c>
      <c r="X15" s="299">
        <f t="shared" si="4"/>
        <v>862.90061798421084</v>
      </c>
      <c r="Y15" s="299"/>
      <c r="Z15" s="299">
        <v>237955.92672299998</v>
      </c>
      <c r="AA15" s="299">
        <v>237803.75608385852</v>
      </c>
      <c r="AB15" s="299">
        <f t="shared" si="5"/>
        <v>-152.17063914146274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18458.568801974536</v>
      </c>
      <c r="N16" s="299">
        <f t="shared" si="11"/>
        <v>17148.010417034344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v>201826.31566099994</v>
      </c>
      <c r="W16" s="299">
        <v>201130.19995461099</v>
      </c>
      <c r="X16" s="299">
        <f t="shared" si="4"/>
        <v>-696.115706388955</v>
      </c>
      <c r="Y16" s="299"/>
      <c r="Z16" s="299">
        <v>232786.86050099999</v>
      </c>
      <c r="AA16" s="299">
        <v>232142.44762596779</v>
      </c>
      <c r="AB16" s="299">
        <f t="shared" si="5"/>
        <v>-644.41287503219792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-5998.6602284157279</v>
      </c>
      <c r="N17" s="299">
        <f t="shared" si="11"/>
        <v>-5572.7553521982118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v>209722.59827400002</v>
      </c>
      <c r="W17" s="299">
        <v>202142.69708347373</v>
      </c>
      <c r="X17" s="299">
        <f t="shared" si="4"/>
        <v>-7579.9011905262887</v>
      </c>
      <c r="Y17" s="299"/>
      <c r="Z17" s="299">
        <v>236616.96438699999</v>
      </c>
      <c r="AA17" s="299">
        <v>229633.41679634625</v>
      </c>
      <c r="AB17" s="299">
        <f t="shared" si="5"/>
        <v>-6983.5475906537322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-65266.639569284678</v>
      </c>
      <c r="N18" s="299">
        <f t="shared" si="11"/>
        <v>-60632.708159865469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v>226661.21228899999</v>
      </c>
      <c r="W18" s="299">
        <v>222688.79795923945</v>
      </c>
      <c r="X18" s="299">
        <f t="shared" si="4"/>
        <v>-3972.4143297605333</v>
      </c>
      <c r="Y18" s="299"/>
      <c r="Z18" s="299">
        <v>267578.76714700001</v>
      </c>
      <c r="AA18" s="299">
        <v>263922.94532825117</v>
      </c>
      <c r="AB18" s="299">
        <f t="shared" si="5"/>
        <v>-3655.8218187488383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-34200.454251272437</v>
      </c>
      <c r="N19" s="299">
        <f t="shared" si="11"/>
        <v>-31772.221999432099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v>214122.84150400001</v>
      </c>
      <c r="W19" s="299">
        <v>214380.33836304897</v>
      </c>
      <c r="X19" s="299">
        <f t="shared" si="4"/>
        <v>257.49685904895887</v>
      </c>
      <c r="Y19" s="299"/>
      <c r="Z19" s="299">
        <v>241721.71924600002</v>
      </c>
      <c r="AA19" s="299">
        <v>241958.44499028829</v>
      </c>
      <c r="AB19" s="299">
        <f t="shared" si="5"/>
        <v>236.7257442882692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2216.4863269166945</v>
      </c>
      <c r="N20" s="299">
        <f t="shared" si="11"/>
        <v>2059.1157977056096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v>199410.52197099998</v>
      </c>
      <c r="W20" s="299">
        <v>199926.52814046614</v>
      </c>
      <c r="X20" s="299">
        <f t="shared" si="4"/>
        <v>516.00616946615628</v>
      </c>
      <c r="Y20" s="299"/>
      <c r="Z20" s="299">
        <v>229756.25103300001</v>
      </c>
      <c r="AA20" s="299">
        <v>229956.31502289811</v>
      </c>
      <c r="AB20" s="299">
        <f t="shared" si="5"/>
        <v>200.06398989810259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7635.6233702583313</v>
      </c>
      <c r="N21" s="299">
        <f t="shared" si="11"/>
        <v>7093.4941109699903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v>210596.23024499998</v>
      </c>
      <c r="W21" s="299">
        <v>217499.09785160696</v>
      </c>
      <c r="X21" s="299">
        <f t="shared" si="4"/>
        <v>6902.8676066069747</v>
      </c>
      <c r="Y21" s="299"/>
      <c r="Z21" s="299">
        <v>236210.73050000001</v>
      </c>
      <c r="AA21" s="299">
        <v>240110.06260114079</v>
      </c>
      <c r="AB21" s="299">
        <f t="shared" si="5"/>
        <v>3899.3321011407825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82891.190865693337</v>
      </c>
      <c r="N22" s="300">
        <f t="shared" si="11"/>
        <v>77005.916314229107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301">
        <v>239275.20177900002</v>
      </c>
      <c r="W22" s="301">
        <v>247689.34552376915</v>
      </c>
      <c r="X22" s="301">
        <f t="shared" si="4"/>
        <v>8414.1437447691278</v>
      </c>
      <c r="Y22" s="299"/>
      <c r="Z22" s="301">
        <v>260618.35510500002</v>
      </c>
      <c r="AA22" s="301">
        <v>266203.048950219</v>
      </c>
      <c r="AB22" s="301">
        <f t="shared" si="5"/>
        <v>5584.6938452189788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88991.087316457269</v>
      </c>
      <c r="N23" s="301">
        <f t="shared" si="11"/>
        <v>82672.720116988814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83">
        <f>SUM(V11:V22)</f>
        <v>2698169.5603639991</v>
      </c>
      <c r="W23" s="83">
        <f t="shared" ref="W23" si="13">SUM(W11:W22)</f>
        <v>2707578.0346255028</v>
      </c>
      <c r="X23" s="83">
        <f t="shared" ref="X23" si="14">SUM(X11:X22)</f>
        <v>9408.4742615029681</v>
      </c>
      <c r="Y23" s="83"/>
      <c r="Z23" s="83">
        <f>SUM(Z11:Z22)</f>
        <v>2977395.9632280003</v>
      </c>
      <c r="AA23" s="83">
        <f t="shared" ref="AA23" si="15">SUM(AA11:AA22)</f>
        <v>2978771.5148469377</v>
      </c>
      <c r="AB23" s="83">
        <f t="shared" ref="AB23" si="16">SUM(AB11:AB22)</f>
        <v>1375.5516189381888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7">SUM(L12:L23)</f>
        <v>22379255.966356605</v>
      </c>
      <c r="M24" s="240">
        <f t="shared" si="17"/>
        <v>145584.1743566065</v>
      </c>
      <c r="N24" s="240">
        <f t="shared" si="17"/>
        <v>135247.69797728743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Adj.'!B22</f>
        <v>128083498.13659537</v>
      </c>
      <c r="F26" s="56">
        <f>+'Sales &amp; Revenue Adj.'!B8</f>
        <v>5034452</v>
      </c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Adj.'!B23</f>
        <v>9408474.2615028732</v>
      </c>
      <c r="F27" s="56">
        <f>+'Sales &amp; Revenue Adj.'!B9</f>
        <v>339628</v>
      </c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Adj.'!B24</f>
        <v>1375551.6189382095</v>
      </c>
      <c r="F28" s="56">
        <f>+'Sales &amp; Revenue Adj.'!B10</f>
        <v>48971</v>
      </c>
      <c r="G28" s="56"/>
      <c r="H28" s="70"/>
      <c r="I28" s="84"/>
      <c r="J28" s="61"/>
      <c r="P28" s="236">
        <f t="shared" ref="P28:P39" si="18">P11</f>
        <v>43101</v>
      </c>
      <c r="Q28" s="64"/>
      <c r="R28" s="299">
        <f t="array" ref="R28:R39">TRANSPOSE('Actual Total Usage'!B21:M21)/1000</f>
        <v>158122.61891200001</v>
      </c>
      <c r="S28" s="299">
        <f t="array" ref="S28:S39">TRANSPOSE('Normalized Total Usage'!B21:M21)/1000</f>
        <v>158729.9477640081</v>
      </c>
      <c r="T28" s="299">
        <f>S28-R28</f>
        <v>607.32885200809687</v>
      </c>
      <c r="U28" s="299"/>
      <c r="V28" s="299">
        <f t="array" ref="V28:V39">TRANSPOSE('Actual Total Usage'!B25:M25)/1000</f>
        <v>114391.46893399999</v>
      </c>
      <c r="W28" s="299">
        <f t="array" ref="W28:W39">TRANSPOSE('Normalized Total Usage'!B25:M25)/1000</f>
        <v>115006.37855700117</v>
      </c>
      <c r="X28" s="299">
        <f>W28-V28</f>
        <v>614.90962300117826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Adj.'!B25</f>
        <v>-4780347.3562464509</v>
      </c>
      <c r="F29" s="56">
        <f>+'Sales &amp; Revenue Adj.'!B11</f>
        <v>-166014</v>
      </c>
      <c r="G29" s="56"/>
      <c r="H29" s="70"/>
      <c r="I29" s="84"/>
      <c r="J29" s="61"/>
      <c r="P29" s="236">
        <f t="shared" si="18"/>
        <v>43132</v>
      </c>
      <c r="Q29" s="64"/>
      <c r="R29" s="299">
        <v>159054.356891</v>
      </c>
      <c r="S29" s="299">
        <v>158681.05323626366</v>
      </c>
      <c r="T29" s="299">
        <f t="shared" ref="T29:T39" si="19">S29-R29</f>
        <v>-373.30365473634447</v>
      </c>
      <c r="U29" s="299"/>
      <c r="V29" s="299">
        <v>115062.34970199999</v>
      </c>
      <c r="W29" s="299">
        <v>114683.2154947925</v>
      </c>
      <c r="X29" s="299">
        <f t="shared" ref="X29:X39" si="20">W29-V29</f>
        <v>-379.13420720749127</v>
      </c>
      <c r="Y29" s="299"/>
      <c r="Z29" s="299">
        <v>276.13670000000002</v>
      </c>
      <c r="AA29" s="299">
        <v>276.13670000000002</v>
      </c>
      <c r="AB29" s="299">
        <f t="shared" ref="AB29:AB39" si="21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Adj.'!B26</f>
        <v>-466216.36134378111</v>
      </c>
      <c r="F30" s="56">
        <f>+'Sales &amp; Revenue Adj.'!B12</f>
        <v>-16598</v>
      </c>
      <c r="G30" s="56"/>
      <c r="H30" s="70"/>
      <c r="I30" s="84"/>
      <c r="J30" s="61"/>
      <c r="P30" s="236">
        <f t="shared" si="18"/>
        <v>43160</v>
      </c>
      <c r="Q30" s="64"/>
      <c r="R30" s="299">
        <v>148013.02018899997</v>
      </c>
      <c r="S30" s="299">
        <v>147992.98635677525</v>
      </c>
      <c r="T30" s="299">
        <f t="shared" si="19"/>
        <v>-20.033832224726211</v>
      </c>
      <c r="U30" s="299"/>
      <c r="V30" s="299">
        <v>103806.900106</v>
      </c>
      <c r="W30" s="299">
        <v>103790.38380386609</v>
      </c>
      <c r="X30" s="299">
        <f t="shared" si="20"/>
        <v>-16.516302133910358</v>
      </c>
      <c r="Y30" s="299"/>
      <c r="Z30" s="299">
        <v>280.80811599999998</v>
      </c>
      <c r="AA30" s="299">
        <v>280.80811599999998</v>
      </c>
      <c r="AB30" s="299">
        <f t="shared" si="21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Adj.'!B27</f>
        <v>-439249.76056518452</v>
      </c>
      <c r="F31" s="56">
        <f>+'Sales &amp; Revenue Adj.'!B13</f>
        <v>-14844</v>
      </c>
      <c r="G31" s="56"/>
      <c r="H31" s="70"/>
      <c r="I31" s="84"/>
      <c r="J31" s="61"/>
      <c r="P31" s="236">
        <f t="shared" si="18"/>
        <v>43191</v>
      </c>
      <c r="Q31" s="64"/>
      <c r="R31" s="299">
        <v>144668.35019699999</v>
      </c>
      <c r="S31" s="299">
        <v>144735.26534864894</v>
      </c>
      <c r="T31" s="299">
        <f t="shared" si="19"/>
        <v>66.915151648950996</v>
      </c>
      <c r="U31" s="299"/>
      <c r="V31" s="299">
        <v>108701.480595</v>
      </c>
      <c r="W31" s="299">
        <v>108769.79369923289</v>
      </c>
      <c r="X31" s="299">
        <f t="shared" si="20"/>
        <v>68.3131042328896</v>
      </c>
      <c r="Y31" s="299"/>
      <c r="Z31" s="299">
        <v>266.694748</v>
      </c>
      <c r="AA31" s="299">
        <v>266.694748</v>
      </c>
      <c r="AB31" s="299">
        <f t="shared" si="21"/>
        <v>0</v>
      </c>
    </row>
    <row r="32" spans="1:28">
      <c r="A32" s="43">
        <f t="shared" si="0"/>
        <v>23</v>
      </c>
      <c r="B32" s="54"/>
      <c r="C32" s="54" t="s">
        <v>8</v>
      </c>
      <c r="D32" s="54"/>
      <c r="E32" s="298">
        <f>'Sales &amp; Revenue Adj.'!B28</f>
        <v>-823233.98581287614</v>
      </c>
      <c r="F32" s="56">
        <f>+'Sales &amp; Revenue Adj.'!B14</f>
        <v>-27061</v>
      </c>
      <c r="G32" s="56"/>
      <c r="H32" s="70"/>
      <c r="I32" s="84"/>
      <c r="J32" s="61"/>
      <c r="P32" s="236">
        <f t="shared" si="18"/>
        <v>43221</v>
      </c>
      <c r="Q32" s="64"/>
      <c r="R32" s="299">
        <v>150175.392609</v>
      </c>
      <c r="S32" s="299">
        <v>150063.19538620446</v>
      </c>
      <c r="T32" s="299">
        <f t="shared" si="19"/>
        <v>-112.19722279554117</v>
      </c>
      <c r="U32" s="299"/>
      <c r="V32" s="299">
        <v>105469.56447499999</v>
      </c>
      <c r="W32" s="299">
        <v>105517.51899043325</v>
      </c>
      <c r="X32" s="299">
        <f t="shared" si="20"/>
        <v>47.954515433259076</v>
      </c>
      <c r="Y32" s="299"/>
      <c r="Z32" s="299">
        <v>708.71026399999994</v>
      </c>
      <c r="AA32" s="299">
        <v>692.132653853904</v>
      </c>
      <c r="AB32" s="299">
        <f t="shared" si="21"/>
        <v>-16.577610146095935</v>
      </c>
    </row>
    <row r="33" spans="1:29">
      <c r="A33" s="43">
        <f t="shared" si="0"/>
        <v>24</v>
      </c>
      <c r="B33" s="54"/>
      <c r="C33" s="82" t="s">
        <v>24</v>
      </c>
      <c r="D33" s="54"/>
      <c r="E33" s="298">
        <f>SUM('Sales &amp; Revenue Adj.'!B29:B29)</f>
        <v>2803305.1896940321</v>
      </c>
      <c r="F33" s="56">
        <f>SUM('Sales &amp; Revenue Adj.'!B15:B15)</f>
        <v>75607</v>
      </c>
      <c r="G33" s="56"/>
      <c r="H33" s="70"/>
      <c r="I33" s="84"/>
      <c r="J33" s="61"/>
      <c r="P33" s="236">
        <f t="shared" si="18"/>
        <v>43252</v>
      </c>
      <c r="Q33" s="64"/>
      <c r="R33" s="299">
        <v>156368.30940299999</v>
      </c>
      <c r="S33" s="299">
        <v>155998.4724139582</v>
      </c>
      <c r="T33" s="299">
        <f t="shared" si="19"/>
        <v>-369.83698904179619</v>
      </c>
      <c r="U33" s="299"/>
      <c r="V33" s="299">
        <v>103412.23788</v>
      </c>
      <c r="W33" s="299">
        <v>103287.49613780937</v>
      </c>
      <c r="X33" s="299">
        <f t="shared" si="20"/>
        <v>-124.74174219062843</v>
      </c>
      <c r="Y33" s="299"/>
      <c r="Z33" s="299">
        <v>1878.608117</v>
      </c>
      <c r="AA33" s="299">
        <v>1853.3650875184496</v>
      </c>
      <c r="AB33" s="299">
        <f t="shared" si="21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Adj.'!B30</f>
        <v>85916.234525271488</v>
      </c>
      <c r="F34" s="348">
        <f>+'Sales &amp; Revenue Adj.'!B16</f>
        <v>3019</v>
      </c>
      <c r="G34" s="366"/>
      <c r="H34" s="70"/>
      <c r="I34" s="84"/>
      <c r="J34" s="61"/>
      <c r="P34" s="236">
        <f t="shared" si="18"/>
        <v>43282</v>
      </c>
      <c r="Q34" s="64"/>
      <c r="R34" s="299">
        <v>162872.29865000001</v>
      </c>
      <c r="S34" s="299">
        <v>158858.00433889453</v>
      </c>
      <c r="T34" s="299">
        <f t="shared" si="19"/>
        <v>-4014.2943111054774</v>
      </c>
      <c r="U34" s="299"/>
      <c r="V34" s="299">
        <v>109389.24895800001</v>
      </c>
      <c r="W34" s="299">
        <v>108032.11353169671</v>
      </c>
      <c r="X34" s="299">
        <f t="shared" si="20"/>
        <v>-1357.135426303299</v>
      </c>
      <c r="Y34" s="299"/>
      <c r="Z34" s="299">
        <v>3447.3845299999998</v>
      </c>
      <c r="AA34" s="299">
        <v>3163.6658384305756</v>
      </c>
      <c r="AB34" s="299">
        <f t="shared" si="21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135247697.97728741</v>
      </c>
      <c r="F35" s="60">
        <f>SUM(F26:F34)</f>
        <v>5277160</v>
      </c>
      <c r="G35" s="60"/>
      <c r="H35" s="70"/>
      <c r="I35" s="83"/>
      <c r="J35" s="61"/>
      <c r="P35" s="236">
        <f t="shared" si="18"/>
        <v>43313</v>
      </c>
      <c r="Q35" s="64"/>
      <c r="R35" s="299">
        <v>185803.802368</v>
      </c>
      <c r="S35" s="299">
        <v>183693.22960392115</v>
      </c>
      <c r="T35" s="299">
        <f t="shared" si="19"/>
        <v>-2110.5727640788537</v>
      </c>
      <c r="U35" s="299"/>
      <c r="V35" s="299">
        <v>114294.681037</v>
      </c>
      <c r="W35" s="299">
        <v>113585.73806281207</v>
      </c>
      <c r="X35" s="299">
        <f t="shared" si="20"/>
        <v>-708.94297418792848</v>
      </c>
      <c r="Y35" s="299"/>
      <c r="Z35" s="299">
        <v>4528.3572279999998</v>
      </c>
      <c r="AA35" s="299">
        <v>4378.1233659731715</v>
      </c>
      <c r="AB35" s="299">
        <f t="shared" si="21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P36" s="236">
        <f t="shared" si="18"/>
        <v>43344</v>
      </c>
      <c r="Q36" s="64"/>
      <c r="R36" s="299">
        <v>166948.099047</v>
      </c>
      <c r="S36" s="299">
        <v>167084.71787168639</v>
      </c>
      <c r="T36" s="299">
        <f t="shared" si="19"/>
        <v>136.61882468638942</v>
      </c>
      <c r="U36" s="299"/>
      <c r="V36" s="299">
        <v>111133.23430900001</v>
      </c>
      <c r="W36" s="299">
        <v>111179.03331969124</v>
      </c>
      <c r="X36" s="299">
        <f t="shared" si="20"/>
        <v>45.799010691232979</v>
      </c>
      <c r="Y36" s="299"/>
      <c r="Z36" s="299">
        <v>3435.8691839999997</v>
      </c>
      <c r="AA36" s="299">
        <v>3445.4260158801176</v>
      </c>
      <c r="AB36" s="299">
        <f t="shared" si="21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P37" s="236">
        <f t="shared" si="18"/>
        <v>43374</v>
      </c>
      <c r="Q37" s="64"/>
      <c r="R37" s="299">
        <v>155888.47705199997</v>
      </c>
      <c r="S37" s="299">
        <v>156009.32489563629</v>
      </c>
      <c r="T37" s="299">
        <f t="shared" si="19"/>
        <v>120.84784363632207</v>
      </c>
      <c r="U37" s="299"/>
      <c r="V37" s="299">
        <v>102939.77304099999</v>
      </c>
      <c r="W37" s="299">
        <v>103051.26389170239</v>
      </c>
      <c r="X37" s="299">
        <f t="shared" si="20"/>
        <v>111.4908507023938</v>
      </c>
      <c r="Y37" s="299"/>
      <c r="Z37" s="299">
        <v>1100.2293710000001</v>
      </c>
      <c r="AA37" s="299">
        <v>1100.2293710000001</v>
      </c>
      <c r="AB37" s="299">
        <f t="shared" si="21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P38" s="236">
        <f t="shared" si="18"/>
        <v>43405</v>
      </c>
      <c r="Q38" s="64"/>
      <c r="R38" s="299">
        <v>146612.391519</v>
      </c>
      <c r="S38" s="299">
        <v>147285.21813617839</v>
      </c>
      <c r="T38" s="299">
        <f t="shared" si="19"/>
        <v>672.82661717839073</v>
      </c>
      <c r="U38" s="299"/>
      <c r="V38" s="299">
        <v>97852.071420000007</v>
      </c>
      <c r="W38" s="299">
        <v>98508.171347521245</v>
      </c>
      <c r="X38" s="299">
        <f t="shared" si="20"/>
        <v>656.09992752123799</v>
      </c>
      <c r="Y38" s="299"/>
      <c r="Z38" s="299">
        <v>309.864799</v>
      </c>
      <c r="AA38" s="299">
        <v>309.864799</v>
      </c>
      <c r="AB38" s="299">
        <f t="shared" si="21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P39" s="239">
        <f t="shared" si="18"/>
        <v>43435</v>
      </c>
      <c r="Q39" s="175"/>
      <c r="R39" s="301">
        <v>160253.025692</v>
      </c>
      <c r="S39" s="301">
        <v>160868.37982057815</v>
      </c>
      <c r="T39" s="301">
        <f t="shared" si="19"/>
        <v>615.3541285781539</v>
      </c>
      <c r="U39" s="299"/>
      <c r="V39" s="301">
        <v>111404.95738000001</v>
      </c>
      <c r="W39" s="301">
        <v>112007.6112398759</v>
      </c>
      <c r="X39" s="301">
        <f t="shared" si="20"/>
        <v>602.65385987589252</v>
      </c>
      <c r="Y39" s="299"/>
      <c r="Z39" s="301">
        <v>224.08819800000001</v>
      </c>
      <c r="AA39" s="301">
        <v>224.08819800000001</v>
      </c>
      <c r="AB39" s="301">
        <f t="shared" si="21"/>
        <v>0</v>
      </c>
    </row>
    <row r="40" spans="1:29">
      <c r="A40" s="73"/>
      <c r="B40" s="74"/>
      <c r="C40" s="74"/>
      <c r="D40" s="74"/>
      <c r="E40" s="75"/>
      <c r="F40" s="71"/>
      <c r="G40" s="71"/>
      <c r="P40" s="236" t="s">
        <v>21</v>
      </c>
      <c r="Q40" s="64"/>
      <c r="R40" s="83">
        <f>SUM(R28:R39)</f>
        <v>1894780.1425289998</v>
      </c>
      <c r="S40" s="83">
        <f t="shared" ref="S40" si="22">SUM(S28:S39)</f>
        <v>1889999.7951727537</v>
      </c>
      <c r="T40" s="83">
        <f t="shared" ref="T40" si="23">SUM(T28:T39)</f>
        <v>-4780.3473562464351</v>
      </c>
      <c r="V40" s="83">
        <f>SUM(V28:V39)</f>
        <v>1297857.967837</v>
      </c>
      <c r="W40" s="83">
        <f t="shared" ref="W40" si="24">SUM(W28:W39)</f>
        <v>1297418.7180764347</v>
      </c>
      <c r="X40" s="83">
        <f t="shared" ref="X40" si="25">SUM(X28:X39)</f>
        <v>-439.24976056517335</v>
      </c>
      <c r="Y40" s="83"/>
      <c r="Z40" s="83">
        <f>SUM(Z28:Z39)</f>
        <v>16726.140044</v>
      </c>
      <c r="AA40" s="83">
        <f t="shared" ref="AA40" si="26">SUM(AA28:AA39)</f>
        <v>16259.923682656217</v>
      </c>
      <c r="AB40" s="83">
        <f t="shared" ref="AB40" si="27">SUM(AB28:AB39)</f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 Pre Migration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173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142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8">P28</f>
        <v>43101</v>
      </c>
      <c r="Q45" s="83"/>
      <c r="R45" s="299">
        <f t="array" ref="R45:R56">TRANSPOSE('Actual Total Usage'!B28:M28)/1000</f>
        <v>45745.730302000004</v>
      </c>
      <c r="S45" s="299">
        <f t="array" ref="S45:S56">TRANSPOSE('Normalized Total Usage'!B28:M28)/1000</f>
        <v>46069.022971372666</v>
      </c>
      <c r="T45" s="299">
        <f>S45-R45</f>
        <v>323.2926693726622</v>
      </c>
      <c r="U45" s="299"/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8"/>
        <v>43132</v>
      </c>
      <c r="Q46" s="83"/>
      <c r="R46" s="299">
        <v>43929.830578000001</v>
      </c>
      <c r="S46" s="299">
        <v>43733.919691333955</v>
      </c>
      <c r="T46" s="299">
        <f t="shared" ref="T46:T56" si="29">S46-R46</f>
        <v>-195.91088666604628</v>
      </c>
      <c r="U46" s="299"/>
      <c r="V46" s="299">
        <v>13348.269554999999</v>
      </c>
      <c r="W46" s="299">
        <v>12542.908577137294</v>
      </c>
      <c r="X46" s="299">
        <f t="shared" ref="X46:X56" si="30">W46-V46</f>
        <v>-805.36097786270511</v>
      </c>
      <c r="Y46" s="299"/>
      <c r="Z46" s="299">
        <v>897.14</v>
      </c>
      <c r="AA46" s="299">
        <v>877.42439898533053</v>
      </c>
      <c r="AB46" s="299">
        <f t="shared" ref="AB46:AB56" si="31">AA46-Z46</f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8"/>
        <v>43160</v>
      </c>
      <c r="Q47" s="83"/>
      <c r="R47" s="299">
        <v>44503.265692999994</v>
      </c>
      <c r="S47" s="299">
        <v>44486.104677806674</v>
      </c>
      <c r="T47" s="299">
        <f t="shared" si="29"/>
        <v>-17.161015193320054</v>
      </c>
      <c r="U47" s="299"/>
      <c r="V47" s="299">
        <v>14774.1</v>
      </c>
      <c r="W47" s="299">
        <v>14881.072003025</v>
      </c>
      <c r="X47" s="299">
        <f t="shared" si="30"/>
        <v>106.97200302499914</v>
      </c>
      <c r="Y47" s="299"/>
      <c r="Z47" s="299">
        <v>943.66</v>
      </c>
      <c r="AA47" s="299">
        <v>945.4108794533845</v>
      </c>
      <c r="AB47" s="299">
        <f t="shared" si="31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8"/>
        <v>43191</v>
      </c>
      <c r="Q48" s="83"/>
      <c r="R48" s="299">
        <v>42551.050405000002</v>
      </c>
      <c r="S48" s="299">
        <v>42585.838534201735</v>
      </c>
      <c r="T48" s="299">
        <f t="shared" si="29"/>
        <v>34.788129201733682</v>
      </c>
      <c r="U48" s="299"/>
      <c r="V48" s="299">
        <v>12167.918880000001</v>
      </c>
      <c r="W48" s="299">
        <v>12291.254040215736</v>
      </c>
      <c r="X48" s="299">
        <f t="shared" si="30"/>
        <v>123.3351602157345</v>
      </c>
      <c r="Y48" s="299"/>
      <c r="Z48" s="299">
        <v>776.62</v>
      </c>
      <c r="AA48" s="299">
        <v>781.38586538892207</v>
      </c>
      <c r="AB48" s="299">
        <f t="shared" si="31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8"/>
        <v>43221</v>
      </c>
      <c r="Q49" s="83"/>
      <c r="R49" s="299">
        <v>42098.019358999998</v>
      </c>
      <c r="S49" s="299">
        <v>42098.70113286272</v>
      </c>
      <c r="T49" s="299">
        <f t="shared" si="29"/>
        <v>0.68177386272145668</v>
      </c>
      <c r="U49" s="299"/>
      <c r="V49" s="299">
        <v>9528.3856850000011</v>
      </c>
      <c r="W49" s="299">
        <v>9723.226773721326</v>
      </c>
      <c r="X49" s="299">
        <f t="shared" si="30"/>
        <v>194.84108872132492</v>
      </c>
      <c r="Y49" s="299"/>
      <c r="Z49" s="299">
        <v>591.08000000000004</v>
      </c>
      <c r="AA49" s="299">
        <v>601.1173555526035</v>
      </c>
      <c r="AB49" s="299">
        <f t="shared" si="31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8"/>
        <v>43252</v>
      </c>
      <c r="Q50" s="83"/>
      <c r="R50" s="299">
        <v>36454.394177000002</v>
      </c>
      <c r="S50" s="299">
        <v>36355.963409268283</v>
      </c>
      <c r="T50" s="299">
        <f t="shared" si="29"/>
        <v>-98.430767731719243</v>
      </c>
      <c r="U50" s="299"/>
      <c r="V50" s="299">
        <v>8207.9652699999988</v>
      </c>
      <c r="W50" s="299">
        <v>8185.6526829803652</v>
      </c>
      <c r="X50" s="299">
        <f t="shared" si="30"/>
        <v>-22.312587019633611</v>
      </c>
      <c r="Y50" s="299"/>
      <c r="Z50" s="299">
        <v>387.72</v>
      </c>
      <c r="AA50" s="299">
        <v>387.26751144258054</v>
      </c>
      <c r="AB50" s="299">
        <f t="shared" si="31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8"/>
        <v>43282</v>
      </c>
      <c r="Q51" s="83"/>
      <c r="R51" s="299">
        <v>48717.375324000001</v>
      </c>
      <c r="S51" s="299">
        <v>47638.125478356735</v>
      </c>
      <c r="T51" s="299">
        <f t="shared" si="29"/>
        <v>-1079.2498456432659</v>
      </c>
      <c r="U51" s="299"/>
      <c r="V51" s="299">
        <v>6333.3257949999997</v>
      </c>
      <c r="W51" s="299">
        <v>6090.5746375682929</v>
      </c>
      <c r="X51" s="299">
        <f t="shared" si="30"/>
        <v>-242.75115743170682</v>
      </c>
      <c r="Y51" s="299"/>
      <c r="Z51" s="299">
        <v>316.26</v>
      </c>
      <c r="AA51" s="299">
        <v>311.33712301843309</v>
      </c>
      <c r="AB51" s="299">
        <f t="shared" si="31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8"/>
        <v>43313</v>
      </c>
      <c r="Q52" s="83"/>
      <c r="R52" s="299">
        <v>46696.152519000003</v>
      </c>
      <c r="S52" s="299">
        <v>46131.249610161714</v>
      </c>
      <c r="T52" s="299">
        <f t="shared" si="29"/>
        <v>-564.90290883828857</v>
      </c>
      <c r="U52" s="299"/>
      <c r="V52" s="299">
        <v>5565.0993349999999</v>
      </c>
      <c r="W52" s="299">
        <v>5438.8578345329915</v>
      </c>
      <c r="X52" s="299">
        <f t="shared" si="30"/>
        <v>-126.24150046700834</v>
      </c>
      <c r="Y52" s="299"/>
      <c r="Z52" s="299">
        <v>285.14</v>
      </c>
      <c r="AA52" s="299">
        <v>282.56325881447532</v>
      </c>
      <c r="AB52" s="299">
        <f t="shared" si="31"/>
        <v>-2.5767411855246678</v>
      </c>
      <c r="AC52" s="83"/>
    </row>
    <row r="53" spans="1:29">
      <c r="P53" s="236">
        <f t="shared" si="28"/>
        <v>43344</v>
      </c>
      <c r="Q53" s="83"/>
      <c r="R53" s="299">
        <v>43379.395791000003</v>
      </c>
      <c r="S53" s="299">
        <v>43415.962344298205</v>
      </c>
      <c r="T53" s="299">
        <f t="shared" si="29"/>
        <v>36.566553298202052</v>
      </c>
      <c r="U53" s="299"/>
      <c r="V53" s="299">
        <v>5746.4796399999996</v>
      </c>
      <c r="W53" s="299">
        <v>5754.6513390354412</v>
      </c>
      <c r="X53" s="299">
        <f t="shared" si="30"/>
        <v>8.1716990354416339</v>
      </c>
      <c r="Y53" s="299"/>
      <c r="Z53" s="299">
        <v>298.26</v>
      </c>
      <c r="AA53" s="299">
        <v>298.4267942267989</v>
      </c>
      <c r="AB53" s="299">
        <f t="shared" si="31"/>
        <v>0.16679422679891331</v>
      </c>
      <c r="AC53" s="83"/>
    </row>
    <row r="54" spans="1:29">
      <c r="P54" s="236">
        <f t="shared" si="28"/>
        <v>43374</v>
      </c>
      <c r="Q54" s="83"/>
      <c r="R54" s="299">
        <v>35046.087943999999</v>
      </c>
      <c r="S54" s="299">
        <v>35113.31472737169</v>
      </c>
      <c r="T54" s="299">
        <f t="shared" si="29"/>
        <v>67.226783371690544</v>
      </c>
      <c r="U54" s="299"/>
      <c r="V54" s="299">
        <v>7995.505725</v>
      </c>
      <c r="W54" s="299">
        <v>8072.6758809875437</v>
      </c>
      <c r="X54" s="299">
        <f t="shared" si="30"/>
        <v>77.170155987543694</v>
      </c>
      <c r="Y54" s="299"/>
      <c r="Z54" s="299">
        <v>353.44</v>
      </c>
      <c r="AA54" s="299">
        <v>356.60178508422302</v>
      </c>
      <c r="AB54" s="299">
        <f t="shared" si="31"/>
        <v>3.1617850842230268</v>
      </c>
      <c r="AC54" s="83"/>
    </row>
    <row r="55" spans="1:29">
      <c r="P55" s="236">
        <f t="shared" si="28"/>
        <v>43405</v>
      </c>
      <c r="Q55" s="83"/>
      <c r="R55" s="299">
        <v>47156.353951999998</v>
      </c>
      <c r="S55" s="299">
        <v>47515.206209027754</v>
      </c>
      <c r="T55" s="299">
        <f t="shared" si="29"/>
        <v>358.85225702775642</v>
      </c>
      <c r="U55" s="299"/>
      <c r="V55" s="299">
        <v>9194.1588350000002</v>
      </c>
      <c r="W55" s="299">
        <v>10198.784454522111</v>
      </c>
      <c r="X55" s="299">
        <f t="shared" si="30"/>
        <v>1004.6256195221104</v>
      </c>
      <c r="Y55" s="299"/>
      <c r="Z55" s="299">
        <v>515.476</v>
      </c>
      <c r="AA55" s="299">
        <v>546.84645175589424</v>
      </c>
      <c r="AB55" s="299">
        <f t="shared" si="31"/>
        <v>31.370451755894237</v>
      </c>
      <c r="AC55" s="83"/>
    </row>
    <row r="56" spans="1:29">
      <c r="P56" s="239">
        <f t="shared" si="28"/>
        <v>43435</v>
      </c>
      <c r="Q56" s="83"/>
      <c r="R56" s="301">
        <v>42267.793201</v>
      </c>
      <c r="S56" s="301">
        <v>42578.806473124998</v>
      </c>
      <c r="T56" s="301">
        <f t="shared" si="29"/>
        <v>311.01327212499746</v>
      </c>
      <c r="U56" s="299"/>
      <c r="V56" s="301">
        <v>12572.569045</v>
      </c>
      <c r="W56" s="301">
        <v>13778.477715450066</v>
      </c>
      <c r="X56" s="301">
        <f t="shared" si="30"/>
        <v>1205.908670450066</v>
      </c>
      <c r="Y56" s="299"/>
      <c r="Z56" s="301">
        <v>768.62400000000002</v>
      </c>
      <c r="AA56" s="301">
        <v>799.40423511705433</v>
      </c>
      <c r="AB56" s="301">
        <f t="shared" si="31"/>
        <v>30.780235117054303</v>
      </c>
      <c r="AC56" s="83"/>
    </row>
    <row r="57" spans="1:29">
      <c r="P57" s="236" t="s">
        <v>21</v>
      </c>
      <c r="Q57" s="83"/>
      <c r="R57" s="83">
        <f>SUM(R45:R56)</f>
        <v>518545.44924500003</v>
      </c>
      <c r="S57" s="83">
        <f t="shared" ref="S57" si="32">SUM(S45:S56)</f>
        <v>517722.21525918704</v>
      </c>
      <c r="T57" s="83">
        <f t="shared" ref="T57" si="33">SUM(T45:T56)</f>
        <v>-823.2339858128762</v>
      </c>
      <c r="V57" s="83">
        <f>SUM(V45:V56)</f>
        <v>120139.33994999999</v>
      </c>
      <c r="W57" s="83">
        <f t="shared" ref="W57" si="34">SUM(W45:W56)</f>
        <v>122942.64513969402</v>
      </c>
      <c r="X57" s="83">
        <f t="shared" ref="X57" si="35">SUM(X45:X56)</f>
        <v>2803.3051896940306</v>
      </c>
      <c r="Y57" s="83"/>
      <c r="Z57" s="83">
        <f>SUM(Z45:Z56)</f>
        <v>7130.88</v>
      </c>
      <c r="AA57" s="83">
        <f t="shared" ref="AA57" si="36">SUM(AA45:AA56)</f>
        <v>7216.7962345252708</v>
      </c>
      <c r="AB57" s="83">
        <f t="shared" ref="AB57" si="37">SUM(AB45:AB56)</f>
        <v>85.91623452527142</v>
      </c>
      <c r="AC57" s="83"/>
    </row>
    <row r="59" spans="1:29">
      <c r="R59" s="243"/>
      <c r="S59" s="244"/>
      <c r="T59" s="244"/>
    </row>
    <row r="60" spans="1:29">
      <c r="R60" s="246" t="s">
        <v>21</v>
      </c>
      <c r="S60" s="247"/>
      <c r="T60" s="247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38">P45</f>
        <v>43101</v>
      </c>
      <c r="R62" s="299">
        <f>R11+V11+Z11+R28+V28+Z28+R45+V45+Z45</f>
        <v>2118037.8913230002</v>
      </c>
      <c r="S62" s="299">
        <f t="shared" ref="S62:T73" si="39">S11+W11+AA11+S28+W28+AA28+S45+W45+AA45</f>
        <v>2201943.218956749</v>
      </c>
      <c r="T62" s="299">
        <f t="shared" si="39"/>
        <v>83905.327633748908</v>
      </c>
    </row>
    <row r="63" spans="1:29">
      <c r="P63" s="236">
        <f t="shared" si="38"/>
        <v>43132</v>
      </c>
      <c r="R63" s="299">
        <f t="shared" ref="R63:R73" si="40">R12+V12+Z12+R29+V29+Z29+R46+V46+Z46</f>
        <v>1967096.1527199997</v>
      </c>
      <c r="S63" s="299">
        <f t="shared" si="39"/>
        <v>1914229.7639754585</v>
      </c>
      <c r="T63" s="299">
        <f t="shared" si="39"/>
        <v>-52866.388744541327</v>
      </c>
    </row>
    <row r="64" spans="1:29">
      <c r="P64" s="236">
        <f t="shared" si="38"/>
        <v>43160</v>
      </c>
      <c r="R64" s="299">
        <f t="shared" si="40"/>
        <v>1943915.0043829998</v>
      </c>
      <c r="S64" s="299">
        <f t="shared" si="39"/>
        <v>1949599.793274102</v>
      </c>
      <c r="T64" s="299">
        <f t="shared" si="39"/>
        <v>5684.7888911021673</v>
      </c>
    </row>
    <row r="65" spans="16:20">
      <c r="P65" s="236">
        <f t="shared" si="38"/>
        <v>43191</v>
      </c>
      <c r="R65" s="299">
        <f t="shared" si="40"/>
        <v>1699430.7868760002</v>
      </c>
      <c r="S65" s="299">
        <f t="shared" si="39"/>
        <v>1709953.1858275456</v>
      </c>
      <c r="T65" s="299">
        <f t="shared" si="39"/>
        <v>10522.398951545802</v>
      </c>
    </row>
    <row r="66" spans="16:20">
      <c r="P66" s="236">
        <f t="shared" si="38"/>
        <v>43221</v>
      </c>
      <c r="R66" s="299">
        <f t="shared" si="40"/>
        <v>1491600.9348240001</v>
      </c>
      <c r="S66" s="299">
        <f t="shared" si="39"/>
        <v>1508748.9452410345</v>
      </c>
      <c r="T66" s="299">
        <f t="shared" si="39"/>
        <v>17148.010417034406</v>
      </c>
    </row>
    <row r="67" spans="16:20">
      <c r="P67" s="236">
        <f t="shared" si="38"/>
        <v>43252</v>
      </c>
      <c r="R67" s="299">
        <f t="shared" si="40"/>
        <v>1404675.5963879998</v>
      </c>
      <c r="S67" s="299">
        <f t="shared" si="39"/>
        <v>1399102.8410358017</v>
      </c>
      <c r="T67" s="299">
        <f t="shared" si="39"/>
        <v>-5572.7553521981699</v>
      </c>
    </row>
    <row r="68" spans="16:20">
      <c r="P68" s="236">
        <f t="shared" si="38"/>
        <v>43282</v>
      </c>
      <c r="R68" s="299">
        <f t="shared" si="40"/>
        <v>1447752.4792699998</v>
      </c>
      <c r="S68" s="299">
        <f t="shared" si="39"/>
        <v>1387119.7711101347</v>
      </c>
      <c r="T68" s="299">
        <f t="shared" si="39"/>
        <v>-60632.708159865506</v>
      </c>
    </row>
    <row r="69" spans="16:20">
      <c r="P69" s="236">
        <f t="shared" si="38"/>
        <v>43313</v>
      </c>
      <c r="R69" s="299">
        <f t="shared" si="40"/>
        <v>1586741.9074739995</v>
      </c>
      <c r="S69" s="299">
        <f t="shared" si="39"/>
        <v>1554969.6854745676</v>
      </c>
      <c r="T69" s="299">
        <f t="shared" si="39"/>
        <v>-31772.221999432062</v>
      </c>
    </row>
    <row r="70" spans="16:20">
      <c r="P70" s="236">
        <f t="shared" si="38"/>
        <v>43344</v>
      </c>
      <c r="R70" s="299">
        <f t="shared" si="40"/>
        <v>1467149.394512</v>
      </c>
      <c r="S70" s="299">
        <f t="shared" si="39"/>
        <v>1469208.5103097057</v>
      </c>
      <c r="T70" s="299">
        <f t="shared" si="39"/>
        <v>2059.1157977056714</v>
      </c>
    </row>
    <row r="71" spans="16:20">
      <c r="P71" s="236">
        <f t="shared" si="38"/>
        <v>43374</v>
      </c>
      <c r="R71" s="299">
        <f t="shared" si="40"/>
        <v>1420211.0200189999</v>
      </c>
      <c r="S71" s="299">
        <f t="shared" si="39"/>
        <v>1427304.51412997</v>
      </c>
      <c r="T71" s="299">
        <f t="shared" si="39"/>
        <v>7093.4941109700012</v>
      </c>
    </row>
    <row r="72" spans="16:20">
      <c r="P72" s="236">
        <f t="shared" si="38"/>
        <v>43405</v>
      </c>
      <c r="R72" s="299">
        <f t="shared" si="40"/>
        <v>1590668.348403</v>
      </c>
      <c r="S72" s="299">
        <f t="shared" si="39"/>
        <v>1667674.2647172289</v>
      </c>
      <c r="T72" s="299">
        <f t="shared" si="39"/>
        <v>77005.916314229151</v>
      </c>
    </row>
    <row r="73" spans="16:20">
      <c r="P73" s="239">
        <f t="shared" si="38"/>
        <v>43435</v>
      </c>
      <c r="R73" s="301">
        <f t="shared" si="40"/>
        <v>1913129.2260700003</v>
      </c>
      <c r="S73" s="301">
        <f t="shared" si="39"/>
        <v>1995801.9461869893</v>
      </c>
      <c r="T73" s="301">
        <f t="shared" si="39"/>
        <v>82672.720116988959</v>
      </c>
    </row>
    <row r="74" spans="16:20">
      <c r="P74" s="236" t="s">
        <v>21</v>
      </c>
      <c r="R74" s="83">
        <f>SUM(R62:R73)</f>
        <v>20050408.742262002</v>
      </c>
      <c r="S74" s="83">
        <f t="shared" ref="S74" si="41">SUM(S62:S73)</f>
        <v>20185656.440239288</v>
      </c>
      <c r="T74" s="83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topLeftCell="A4" workbookViewId="0">
      <selection activeCell="C18" sqref="C1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 Pre Migration'!B12</f>
        <v>43101</v>
      </c>
      <c r="D5" s="27">
        <f>'Summary Sheet_ Pre Migration'!B13</f>
        <v>43132</v>
      </c>
      <c r="E5" s="27">
        <f>'Summary Sheet_ Pre Migration'!B14</f>
        <v>43160</v>
      </c>
      <c r="F5" s="27">
        <f>'Summary Sheet_ Pre Migration'!B15</f>
        <v>43191</v>
      </c>
      <c r="G5" s="27">
        <f>'Summary Sheet_ Pre Migration'!B16</f>
        <v>43221</v>
      </c>
      <c r="H5" s="27">
        <f>'Summary Sheet_ Pre Migration'!B17</f>
        <v>43252</v>
      </c>
      <c r="I5" s="27">
        <f>'Summary Sheet_ Pre Migration'!B18</f>
        <v>43282</v>
      </c>
      <c r="J5" s="27">
        <f>'Summary Sheet_ Pre Migration'!B19</f>
        <v>43313</v>
      </c>
      <c r="K5" s="27">
        <f>'Summary Sheet_ Pre Migration'!B20</f>
        <v>43344</v>
      </c>
      <c r="L5" s="27">
        <f>'Summary Sheet_ Pre Migration'!B21</f>
        <v>43374</v>
      </c>
      <c r="M5" s="27">
        <f>'Summary Sheet_ Pre Migration'!B22</f>
        <v>43405</v>
      </c>
      <c r="N5" s="27">
        <f>'Summary Sheet_ Pre Migration'!B23</f>
        <v>43435</v>
      </c>
    </row>
    <row r="6" spans="1:14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</row>
    <row r="7" spans="1:14">
      <c r="A7" s="9" t="s">
        <v>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>
      <c r="A8" s="12" t="s">
        <v>1</v>
      </c>
      <c r="B8" s="13">
        <f>SUM(C8:N8)</f>
        <v>5034452</v>
      </c>
      <c r="C8" s="13">
        <f t="shared" ref="C8:N8" si="0">ROUND(+C22*C37,0)</f>
        <v>2628706</v>
      </c>
      <c r="D8" s="13">
        <f t="shared" si="0"/>
        <v>-1651449</v>
      </c>
      <c r="E8" s="13">
        <f t="shared" si="0"/>
        <v>168546</v>
      </c>
      <c r="F8" s="13">
        <f t="shared" si="0"/>
        <v>356324</v>
      </c>
      <c r="G8" s="13">
        <f t="shared" si="0"/>
        <v>641181</v>
      </c>
      <c r="H8" s="13">
        <f t="shared" si="0"/>
        <v>-141156</v>
      </c>
      <c r="I8" s="13">
        <f t="shared" si="0"/>
        <v>-1536361</v>
      </c>
      <c r="J8" s="13">
        <f t="shared" si="0"/>
        <v>-805007</v>
      </c>
      <c r="K8" s="13">
        <f t="shared" si="0"/>
        <v>52199</v>
      </c>
      <c r="L8" s="13">
        <f t="shared" si="0"/>
        <v>235739</v>
      </c>
      <c r="M8" s="13">
        <f t="shared" si="0"/>
        <v>2495143</v>
      </c>
      <c r="N8" s="14">
        <f t="shared" si="0"/>
        <v>2590587</v>
      </c>
    </row>
    <row r="9" spans="1:14">
      <c r="A9" s="364" t="s">
        <v>174</v>
      </c>
      <c r="B9" s="13">
        <f t="shared" ref="B9:B16" si="1">SUM(C9:N9)</f>
        <v>339628</v>
      </c>
      <c r="C9" s="13">
        <f t="shared" ref="C9:N9" si="2">ROUND(+C23*C38,0)</f>
        <v>311414</v>
      </c>
      <c r="D9" s="13">
        <f t="shared" si="2"/>
        <v>-197887</v>
      </c>
      <c r="E9" s="13">
        <f t="shared" si="2"/>
        <v>26911</v>
      </c>
      <c r="F9" s="13">
        <f t="shared" si="2"/>
        <v>29348</v>
      </c>
      <c r="G9" s="13">
        <f t="shared" si="2"/>
        <v>31149</v>
      </c>
      <c r="H9" s="13">
        <f t="shared" si="2"/>
        <v>-25128</v>
      </c>
      <c r="I9" s="13">
        <f t="shared" si="2"/>
        <v>-273619</v>
      </c>
      <c r="J9" s="13">
        <f t="shared" si="2"/>
        <v>-143396</v>
      </c>
      <c r="K9" s="13">
        <f t="shared" si="2"/>
        <v>9295</v>
      </c>
      <c r="L9" s="13">
        <f t="shared" si="2"/>
        <v>18627</v>
      </c>
      <c r="M9" s="13">
        <f t="shared" si="2"/>
        <v>249180</v>
      </c>
      <c r="N9" s="14">
        <f t="shared" si="2"/>
        <v>303734</v>
      </c>
    </row>
    <row r="10" spans="1:14">
      <c r="A10" s="364" t="s">
        <v>177</v>
      </c>
      <c r="B10" s="13">
        <f t="shared" si="1"/>
        <v>48971</v>
      </c>
      <c r="C10" s="13">
        <f t="shared" ref="C10:N10" si="3">ROUND(+C24*C39,0)</f>
        <v>197386</v>
      </c>
      <c r="D10" s="13">
        <f t="shared" si="3"/>
        <v>-128015</v>
      </c>
      <c r="E10" s="13">
        <f t="shared" si="3"/>
        <v>21226</v>
      </c>
      <c r="F10" s="13">
        <f t="shared" si="3"/>
        <v>12314</v>
      </c>
      <c r="G10" s="13">
        <f t="shared" si="3"/>
        <v>-5417</v>
      </c>
      <c r="H10" s="13">
        <f t="shared" si="3"/>
        <v>-22942</v>
      </c>
      <c r="I10" s="13">
        <f t="shared" si="3"/>
        <v>-248621</v>
      </c>
      <c r="J10" s="13">
        <f t="shared" si="3"/>
        <v>-130151</v>
      </c>
      <c r="K10" s="13">
        <f t="shared" si="3"/>
        <v>8428</v>
      </c>
      <c r="L10" s="13">
        <f t="shared" si="3"/>
        <v>7122</v>
      </c>
      <c r="M10" s="13">
        <f t="shared" si="3"/>
        <v>138820</v>
      </c>
      <c r="N10" s="14">
        <f t="shared" si="3"/>
        <v>198821</v>
      </c>
    </row>
    <row r="11" spans="1:14">
      <c r="A11" s="364" t="s">
        <v>175</v>
      </c>
      <c r="B11" s="13">
        <f t="shared" si="1"/>
        <v>-166014</v>
      </c>
      <c r="C11" s="13">
        <f t="shared" ref="C11:N11" si="4">ROUND(+C25*C40,0)</f>
        <v>21092</v>
      </c>
      <c r="D11" s="13">
        <f t="shared" si="4"/>
        <v>-12964</v>
      </c>
      <c r="E11" s="13">
        <f t="shared" si="4"/>
        <v>-696</v>
      </c>
      <c r="F11" s="13">
        <f t="shared" si="4"/>
        <v>2324</v>
      </c>
      <c r="G11" s="13">
        <f t="shared" si="4"/>
        <v>-3896</v>
      </c>
      <c r="H11" s="13">
        <f t="shared" si="4"/>
        <v>-12844</v>
      </c>
      <c r="I11" s="13">
        <f t="shared" si="4"/>
        <v>-139412</v>
      </c>
      <c r="J11" s="13">
        <f t="shared" si="4"/>
        <v>-73298</v>
      </c>
      <c r="K11" s="13">
        <f t="shared" si="4"/>
        <v>4745</v>
      </c>
      <c r="L11" s="13">
        <f t="shared" si="4"/>
        <v>4197</v>
      </c>
      <c r="M11" s="13">
        <f t="shared" si="4"/>
        <v>23367</v>
      </c>
      <c r="N11" s="14">
        <f t="shared" si="4"/>
        <v>21371</v>
      </c>
    </row>
    <row r="12" spans="1:14">
      <c r="A12" s="12" t="s">
        <v>5</v>
      </c>
      <c r="B12" s="13">
        <f t="shared" si="1"/>
        <v>-16598</v>
      </c>
      <c r="C12" s="13">
        <f t="shared" ref="C12:N12" si="5">ROUND(+C26*C41,0)</f>
        <v>0</v>
      </c>
      <c r="D12" s="13">
        <f t="shared" si="5"/>
        <v>0</v>
      </c>
      <c r="E12" s="13">
        <f t="shared" si="5"/>
        <v>0</v>
      </c>
      <c r="F12" s="13">
        <f t="shared" si="5"/>
        <v>0</v>
      </c>
      <c r="G12" s="13">
        <f t="shared" si="5"/>
        <v>-590</v>
      </c>
      <c r="H12" s="13">
        <f t="shared" si="5"/>
        <v>-899</v>
      </c>
      <c r="I12" s="13">
        <f t="shared" si="5"/>
        <v>-10101</v>
      </c>
      <c r="J12" s="13">
        <f t="shared" si="5"/>
        <v>-5348</v>
      </c>
      <c r="K12" s="13">
        <f t="shared" si="5"/>
        <v>340</v>
      </c>
      <c r="L12" s="13">
        <f t="shared" si="5"/>
        <v>0</v>
      </c>
      <c r="M12" s="13">
        <f t="shared" si="5"/>
        <v>0</v>
      </c>
      <c r="N12" s="14">
        <f t="shared" si="5"/>
        <v>0</v>
      </c>
    </row>
    <row r="13" spans="1:14">
      <c r="A13" s="364" t="s">
        <v>176</v>
      </c>
      <c r="B13" s="13">
        <f t="shared" si="1"/>
        <v>-14844</v>
      </c>
      <c r="C13" s="13">
        <f t="shared" ref="C13:N13" si="6">ROUND(+C27*C42,0)</f>
        <v>20781</v>
      </c>
      <c r="D13" s="13">
        <f t="shared" si="6"/>
        <v>-12813</v>
      </c>
      <c r="E13" s="13">
        <f t="shared" si="6"/>
        <v>-558</v>
      </c>
      <c r="F13" s="13">
        <f t="shared" si="6"/>
        <v>2309</v>
      </c>
      <c r="G13" s="13">
        <f t="shared" si="6"/>
        <v>1621</v>
      </c>
      <c r="H13" s="13">
        <f t="shared" si="6"/>
        <v>-4216</v>
      </c>
      <c r="I13" s="13">
        <f t="shared" si="6"/>
        <v>-45866</v>
      </c>
      <c r="J13" s="13">
        <f t="shared" si="6"/>
        <v>-23959</v>
      </c>
      <c r="K13" s="13">
        <f t="shared" si="6"/>
        <v>1548</v>
      </c>
      <c r="L13" s="13">
        <f t="shared" si="6"/>
        <v>3768</v>
      </c>
      <c r="M13" s="13">
        <f t="shared" si="6"/>
        <v>22174</v>
      </c>
      <c r="N13" s="14">
        <f t="shared" si="6"/>
        <v>20367</v>
      </c>
    </row>
    <row r="14" spans="1:14">
      <c r="A14" s="15" t="s">
        <v>24</v>
      </c>
      <c r="B14" s="13">
        <f t="shared" si="1"/>
        <v>-27061</v>
      </c>
      <c r="C14" s="13">
        <f t="shared" ref="C14:N14" si="7">ROUND(+C28*C43,0)</f>
        <v>10627</v>
      </c>
      <c r="D14" s="13">
        <f t="shared" si="7"/>
        <v>-6440</v>
      </c>
      <c r="E14" s="13">
        <f t="shared" si="7"/>
        <v>-564</v>
      </c>
      <c r="F14" s="13">
        <f t="shared" si="7"/>
        <v>1144</v>
      </c>
      <c r="G14" s="13">
        <f t="shared" si="7"/>
        <v>22</v>
      </c>
      <c r="H14" s="13">
        <f t="shared" si="7"/>
        <v>-3236</v>
      </c>
      <c r="I14" s="13">
        <f t="shared" si="7"/>
        <v>-35477</v>
      </c>
      <c r="J14" s="13">
        <f t="shared" si="7"/>
        <v>-18569</v>
      </c>
      <c r="K14" s="13">
        <f t="shared" si="7"/>
        <v>1202</v>
      </c>
      <c r="L14" s="13">
        <f t="shared" si="7"/>
        <v>2210</v>
      </c>
      <c r="M14" s="13">
        <f t="shared" si="7"/>
        <v>11796</v>
      </c>
      <c r="N14" s="14">
        <f t="shared" si="7"/>
        <v>10224</v>
      </c>
    </row>
    <row r="15" spans="1:14">
      <c r="A15" s="12" t="s">
        <v>8</v>
      </c>
      <c r="B15" s="13">
        <f t="shared" si="1"/>
        <v>75607</v>
      </c>
      <c r="C15" s="13">
        <f t="shared" ref="C15:N15" si="8">ROUND(+C29*C44,0)</f>
        <v>34494</v>
      </c>
      <c r="D15" s="13">
        <f t="shared" si="8"/>
        <v>-21721</v>
      </c>
      <c r="E15" s="13">
        <f t="shared" si="8"/>
        <v>2885</v>
      </c>
      <c r="F15" s="13">
        <f t="shared" si="8"/>
        <v>3326</v>
      </c>
      <c r="G15" s="13">
        <f t="shared" si="8"/>
        <v>5255</v>
      </c>
      <c r="H15" s="13">
        <f t="shared" si="8"/>
        <v>-602</v>
      </c>
      <c r="I15" s="13">
        <f t="shared" si="8"/>
        <v>-6547</v>
      </c>
      <c r="J15" s="13">
        <f t="shared" si="8"/>
        <v>-3405</v>
      </c>
      <c r="K15" s="13">
        <f t="shared" si="8"/>
        <v>220</v>
      </c>
      <c r="L15" s="13">
        <f t="shared" si="8"/>
        <v>2081</v>
      </c>
      <c r="M15" s="13">
        <f t="shared" si="8"/>
        <v>27096</v>
      </c>
      <c r="N15" s="14">
        <f t="shared" si="8"/>
        <v>32525</v>
      </c>
    </row>
    <row r="16" spans="1:14">
      <c r="A16" s="15" t="s">
        <v>9</v>
      </c>
      <c r="B16" s="13">
        <f t="shared" si="1"/>
        <v>3019</v>
      </c>
      <c r="C16" s="13">
        <f t="shared" ref="C16:N16" si="9">ROUND(+C30*C45,0)</f>
        <v>1109</v>
      </c>
      <c r="D16" s="13">
        <f t="shared" si="9"/>
        <v>-693</v>
      </c>
      <c r="E16" s="13">
        <f t="shared" si="9"/>
        <v>62</v>
      </c>
      <c r="F16" s="13">
        <f t="shared" si="9"/>
        <v>167</v>
      </c>
      <c r="G16" s="13">
        <f t="shared" si="9"/>
        <v>353</v>
      </c>
      <c r="H16" s="13">
        <f t="shared" si="9"/>
        <v>-16</v>
      </c>
      <c r="I16" s="13">
        <f t="shared" si="9"/>
        <v>-173</v>
      </c>
      <c r="J16" s="13">
        <f t="shared" si="9"/>
        <v>-91</v>
      </c>
      <c r="K16" s="13">
        <f t="shared" si="9"/>
        <v>6</v>
      </c>
      <c r="L16" s="13">
        <f t="shared" si="9"/>
        <v>111</v>
      </c>
      <c r="M16" s="13">
        <f t="shared" si="9"/>
        <v>1102</v>
      </c>
      <c r="N16" s="14">
        <f t="shared" si="9"/>
        <v>1082</v>
      </c>
    </row>
    <row r="17" spans="1:14">
      <c r="A17" s="9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4"/>
    </row>
    <row r="18" spans="1:14">
      <c r="A18" s="9" t="s">
        <v>10</v>
      </c>
      <c r="B18" s="13">
        <f t="shared" ref="B18:N18" si="10">SUM(B8:B17)</f>
        <v>5277160</v>
      </c>
      <c r="C18" s="13">
        <f t="shared" si="10"/>
        <v>3225609</v>
      </c>
      <c r="D18" s="13">
        <f t="shared" si="10"/>
        <v>-2031982</v>
      </c>
      <c r="E18" s="13">
        <f t="shared" si="10"/>
        <v>217812</v>
      </c>
      <c r="F18" s="13">
        <f t="shared" si="10"/>
        <v>407256</v>
      </c>
      <c r="G18" s="13">
        <f t="shared" si="10"/>
        <v>669678</v>
      </c>
      <c r="H18" s="13">
        <f t="shared" si="10"/>
        <v>-211039</v>
      </c>
      <c r="I18" s="13">
        <f t="shared" si="10"/>
        <v>-2296177</v>
      </c>
      <c r="J18" s="13">
        <f t="shared" si="10"/>
        <v>-1203224</v>
      </c>
      <c r="K18" s="13">
        <f t="shared" si="10"/>
        <v>77983</v>
      </c>
      <c r="L18" s="13">
        <f t="shared" si="10"/>
        <v>273855</v>
      </c>
      <c r="M18" s="13">
        <f t="shared" si="10"/>
        <v>2968678</v>
      </c>
      <c r="N18" s="14">
        <f t="shared" si="10"/>
        <v>3178711</v>
      </c>
    </row>
    <row r="19" spans="1:14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8"/>
    </row>
    <row r="20" spans="1:14" s="5" customFormat="1">
      <c r="A20" s="19"/>
      <c r="B20" s="20"/>
      <c r="C20" s="304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</row>
    <row r="21" spans="1:14">
      <c r="A21" s="26" t="s">
        <v>11</v>
      </c>
      <c r="B21" s="10"/>
      <c r="C21" s="305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/>
    </row>
    <row r="22" spans="1:14">
      <c r="A22" s="12" t="s">
        <v>1</v>
      </c>
      <c r="B22" s="23">
        <f>SUM(C22:N22)</f>
        <v>128083498.13659537</v>
      </c>
      <c r="C22" s="306">
        <f>+'Temp Adj. by Schedule'!B45</f>
        <v>66877985.715663314</v>
      </c>
      <c r="D22" s="28">
        <f>+'Temp Adj. by Schedule'!C45</f>
        <v>-42015191.180842318</v>
      </c>
      <c r="E22" s="28">
        <f>+'Temp Adj. by Schedule'!D45</f>
        <v>4288040.5180652607</v>
      </c>
      <c r="F22" s="28">
        <f>+'Temp Adj. by Schedule'!E45</f>
        <v>9065379.7749847509</v>
      </c>
      <c r="G22" s="28">
        <f>+'Temp Adj. by Schedule'!F45</f>
        <v>16312540.537563369</v>
      </c>
      <c r="H22" s="28">
        <f>+'Temp Adj. by Schedule'!G45</f>
        <v>-3591209.1667542555</v>
      </c>
      <c r="I22" s="28">
        <f>+'Temp Adj. by Schedule'!H45</f>
        <v>-39087187.069650702</v>
      </c>
      <c r="J22" s="28">
        <f>+'Temp Adj. by Schedule'!I45</f>
        <v>-20480515.100138307</v>
      </c>
      <c r="K22" s="28">
        <f>+'Temp Adj. by Schedule'!J45</f>
        <v>1328013.4805501606</v>
      </c>
      <c r="L22" s="28">
        <f>+'Temp Adj. by Schedule'!K45</f>
        <v>5997526.5328236045</v>
      </c>
      <c r="M22" s="28">
        <f>+'Temp Adj. by Schedule'!L45</f>
        <v>63479941.733475931</v>
      </c>
      <c r="N22" s="105">
        <f>+'Temp Adj. by Schedule'!M45</f>
        <v>65908172.360854551</v>
      </c>
    </row>
    <row r="23" spans="1:14">
      <c r="A23" s="364" t="s">
        <v>174</v>
      </c>
      <c r="B23" s="23">
        <f t="shared" ref="B23:B30" si="11">SUM(C23:N23)</f>
        <v>9408474.2615028732</v>
      </c>
      <c r="C23" s="306">
        <f>'Temp Adj. by Schedule'!B46+'Temp Adj. by Schedule'!B47</f>
        <v>8626910.2279156782</v>
      </c>
      <c r="D23" s="28">
        <f>'Temp Adj. by Schedule'!C46+'Temp Adj. by Schedule'!C47</f>
        <v>-5481933.6907590721</v>
      </c>
      <c r="E23" s="28">
        <f>'Temp Adj. by Schedule'!D46+'Temp Adj. by Schedule'!D47</f>
        <v>745509.06462240987</v>
      </c>
      <c r="F23" s="28">
        <f>'Temp Adj. by Schedule'!E46+'Temp Adj. by Schedule'!E47</f>
        <v>813004.88852421788</v>
      </c>
      <c r="G23" s="28">
        <f>'Temp Adj. by Schedule'!F46+'Temp Adj. by Schedule'!F47</f>
        <v>862900.61798422865</v>
      </c>
      <c r="H23" s="28">
        <f>'Temp Adj. by Schedule'!G46+'Temp Adj. by Schedule'!G47</f>
        <v>-696115.70638900099</v>
      </c>
      <c r="I23" s="28">
        <f>'Temp Adj. by Schedule'!H46+'Temp Adj. by Schedule'!H47</f>
        <v>-7579901.190526274</v>
      </c>
      <c r="J23" s="28">
        <f>'Temp Adj. by Schedule'!I46+'Temp Adj. by Schedule'!I47</f>
        <v>-3972414.3297605389</v>
      </c>
      <c r="K23" s="28">
        <f>'Temp Adj. by Schedule'!J46+'Temp Adj. by Schedule'!J47</f>
        <v>257496.85904894973</v>
      </c>
      <c r="L23" s="28">
        <f>'Temp Adj. by Schedule'!K46+'Temp Adj. by Schedule'!K47</f>
        <v>516006.16946613655</v>
      </c>
      <c r="M23" s="28">
        <f>'Temp Adj. by Schedule'!L46+'Temp Adj. by Schedule'!L47</f>
        <v>6902867.6066070031</v>
      </c>
      <c r="N23" s="105">
        <f>'Temp Adj. by Schedule'!M46+'Temp Adj. by Schedule'!M47</f>
        <v>8414143.7447691355</v>
      </c>
    </row>
    <row r="24" spans="1:14">
      <c r="A24" s="364" t="s">
        <v>177</v>
      </c>
      <c r="B24" s="23">
        <f t="shared" si="11"/>
        <v>1375551.6189382095</v>
      </c>
      <c r="C24" s="306">
        <f>'Temp Adj. by Schedule'!B48+'Temp Adj. by Schedule'!B49</f>
        <v>5544402.9545843191</v>
      </c>
      <c r="D24" s="28">
        <f>'Temp Adj. by Schedule'!C48+'Temp Adj. by Schedule'!C49</f>
        <v>-3595838.5454527787</v>
      </c>
      <c r="E24" s="28">
        <f>'Temp Adj. by Schedule'!D48+'Temp Adj. by Schedule'!D49</f>
        <v>596227.57548812602</v>
      </c>
      <c r="F24" s="28">
        <f>'Temp Adj. by Schedule'!E48+'Temp Adj. by Schedule'!E49</f>
        <v>345896.87734870042</v>
      </c>
      <c r="G24" s="28">
        <f>'Temp Adj. by Schedule'!F48+'Temp Adj. by Schedule'!F49</f>
        <v>-152170.63914148929</v>
      </c>
      <c r="H24" s="28">
        <f>'Temp Adj. by Schedule'!G48+'Temp Adj. by Schedule'!G49</f>
        <v>-644412.87503219338</v>
      </c>
      <c r="I24" s="28">
        <f>'Temp Adj. by Schedule'!H48+'Temp Adj. by Schedule'!H49</f>
        <v>-6983547.5906537538</v>
      </c>
      <c r="J24" s="28">
        <f>'Temp Adj. by Schedule'!I48+'Temp Adj. by Schedule'!I49</f>
        <v>-3655821.8187488504</v>
      </c>
      <c r="K24" s="28">
        <f>'Temp Adj. by Schedule'!J48+'Temp Adj. by Schedule'!J49</f>
        <v>236725.74428828486</v>
      </c>
      <c r="L24" s="28">
        <f>'Temp Adj. by Schedule'!K48+'Temp Adj. by Schedule'!K49</f>
        <v>200063.98989809462</v>
      </c>
      <c r="M24" s="28">
        <f>'Temp Adj. by Schedule'!L48+'Temp Adj. by Schedule'!L49</f>
        <v>3899332.101140799</v>
      </c>
      <c r="N24" s="105">
        <f>'Temp Adj. by Schedule'!M48+'Temp Adj. by Schedule'!M49</f>
        <v>5584693.84521895</v>
      </c>
    </row>
    <row r="25" spans="1:14">
      <c r="A25" s="364" t="s">
        <v>175</v>
      </c>
      <c r="B25" s="23">
        <f t="shared" si="11"/>
        <v>-4780347.3562464509</v>
      </c>
      <c r="C25" s="306">
        <f>'Temp Adj. by Schedule'!B50+'Temp Adj. by Schedule'!B51</f>
        <v>607328.85200809536</v>
      </c>
      <c r="D25" s="28">
        <f>'Temp Adj. by Schedule'!C50+'Temp Adj. by Schedule'!C51</f>
        <v>-373303.65473632747</v>
      </c>
      <c r="E25" s="28">
        <f>'Temp Adj. by Schedule'!D50+'Temp Adj. by Schedule'!D51</f>
        <v>-20033.832224730424</v>
      </c>
      <c r="F25" s="28">
        <f>'Temp Adj. by Schedule'!E50+'Temp Adj. by Schedule'!E51</f>
        <v>66915.15164892326</v>
      </c>
      <c r="G25" s="28">
        <f>'Temp Adj. by Schedule'!F50+'Temp Adj. by Schedule'!F51</f>
        <v>-112197.22279556497</v>
      </c>
      <c r="H25" s="28">
        <f>'Temp Adj. by Schedule'!G50+'Temp Adj. by Schedule'!G51</f>
        <v>-369836.98904181394</v>
      </c>
      <c r="I25" s="28">
        <f>'Temp Adj. by Schedule'!H50+'Temp Adj. by Schedule'!H51</f>
        <v>-4014294.3111054613</v>
      </c>
      <c r="J25" s="28">
        <f>'Temp Adj. by Schedule'!I50+'Temp Adj. by Schedule'!I51</f>
        <v>-2110572.764078829</v>
      </c>
      <c r="K25" s="28">
        <f>'Temp Adj. by Schedule'!J50+'Temp Adj. by Schedule'!J51</f>
        <v>136618.82468641031</v>
      </c>
      <c r="L25" s="28">
        <f>'Temp Adj. by Schedule'!K50+'Temp Adj. by Schedule'!K51</f>
        <v>120847.84363630219</v>
      </c>
      <c r="M25" s="28">
        <f>'Temp Adj. by Schedule'!L50+'Temp Adj. by Schedule'!L51</f>
        <v>672826.61717837467</v>
      </c>
      <c r="N25" s="105">
        <f>'Temp Adj. by Schedule'!M50+'Temp Adj. by Schedule'!M51</f>
        <v>615354.12857817113</v>
      </c>
    </row>
    <row r="26" spans="1:14">
      <c r="A26" s="12" t="s">
        <v>5</v>
      </c>
      <c r="B26" s="23">
        <f t="shared" si="11"/>
        <v>-466216.36134378111</v>
      </c>
      <c r="C26" s="306">
        <f>+'Temp Adj. by Schedule'!B54</f>
        <v>0</v>
      </c>
      <c r="D26" s="28">
        <f>+'Temp Adj. by Schedule'!C54</f>
        <v>0</v>
      </c>
      <c r="E26" s="28">
        <f>+'Temp Adj. by Schedule'!D54</f>
        <v>0</v>
      </c>
      <c r="F26" s="28">
        <f>+'Temp Adj. by Schedule'!E54</f>
        <v>0</v>
      </c>
      <c r="G26" s="28">
        <f>+'Temp Adj. by Schedule'!F54</f>
        <v>-16577.61014609602</v>
      </c>
      <c r="H26" s="28">
        <f>+'Temp Adj. by Schedule'!G54</f>
        <v>-25243.029481550468</v>
      </c>
      <c r="I26" s="28">
        <f>+'Temp Adj. by Schedule'!H54</f>
        <v>-283718.69156942435</v>
      </c>
      <c r="J26" s="28">
        <f>+'Temp Adj. by Schedule'!I54</f>
        <v>-150233.86202682799</v>
      </c>
      <c r="K26" s="28">
        <f>+'Temp Adj. by Schedule'!J54</f>
        <v>9556.831880117712</v>
      </c>
      <c r="L26" s="28">
        <f>+'Temp Adj. by Schedule'!K54</f>
        <v>0</v>
      </c>
      <c r="M26" s="28">
        <f>+'Temp Adj. by Schedule'!L54</f>
        <v>0</v>
      </c>
      <c r="N26" s="105">
        <f>+'Temp Adj. by Schedule'!M54</f>
        <v>0</v>
      </c>
    </row>
    <row r="27" spans="1:14">
      <c r="A27" s="364" t="s">
        <v>176</v>
      </c>
      <c r="B27" s="23">
        <f t="shared" si="11"/>
        <v>-439249.76056518452</v>
      </c>
      <c r="C27" s="306">
        <f>'Temp Adj. by Schedule'!B52+'Temp Adj. by Schedule'!B53</f>
        <v>614909.62300118676</v>
      </c>
      <c r="D27" s="28">
        <f>'Temp Adj. by Schedule'!C52+'Temp Adj. by Schedule'!C53</f>
        <v>-379134.20720748906</v>
      </c>
      <c r="E27" s="28">
        <f>'Temp Adj. by Schedule'!D52+'Temp Adj. by Schedule'!D53</f>
        <v>-16516.302133924415</v>
      </c>
      <c r="F27" s="28">
        <f>'Temp Adj. by Schedule'!E52+'Temp Adj. by Schedule'!E53</f>
        <v>68313.104232891754</v>
      </c>
      <c r="G27" s="28">
        <f>'Temp Adj. by Schedule'!F52+'Temp Adj. by Schedule'!F53</f>
        <v>47954.515433252251</v>
      </c>
      <c r="H27" s="28">
        <f>'Temp Adj. by Schedule'!G52+'Temp Adj. by Schedule'!G53</f>
        <v>-124741.74219062363</v>
      </c>
      <c r="I27" s="28">
        <f>'Temp Adj. by Schedule'!H52+'Temp Adj. by Schedule'!H53</f>
        <v>-1357135.4263033059</v>
      </c>
      <c r="J27" s="28">
        <f>'Temp Adj. by Schedule'!I52+'Temp Adj. by Schedule'!I53</f>
        <v>-708942.97418792138</v>
      </c>
      <c r="K27" s="28">
        <f>'Temp Adj. by Schedule'!J52+'Temp Adj. by Schedule'!J53</f>
        <v>45799.010691244323</v>
      </c>
      <c r="L27" s="28">
        <f>'Temp Adj. by Schedule'!K52+'Temp Adj. by Schedule'!K53</f>
        <v>111490.85070239236</v>
      </c>
      <c r="M27" s="28">
        <f>'Temp Adj. by Schedule'!L52+'Temp Adj. by Schedule'!L53</f>
        <v>656099.92752123554</v>
      </c>
      <c r="N27" s="105">
        <f>'Temp Adj. by Schedule'!M52+'Temp Adj. by Schedule'!M53</f>
        <v>602653.85987587692</v>
      </c>
    </row>
    <row r="28" spans="1:14">
      <c r="A28" s="15" t="s">
        <v>24</v>
      </c>
      <c r="B28" s="23">
        <f t="shared" si="11"/>
        <v>-823233.98581287614</v>
      </c>
      <c r="C28" s="306">
        <f>+'Temp Adj. by Schedule'!B55</f>
        <v>323292.66937266284</v>
      </c>
      <c r="D28" s="28">
        <f>+'Temp Adj. by Schedule'!C55</f>
        <v>-195910.88666604593</v>
      </c>
      <c r="E28" s="28">
        <f>+'Temp Adj. by Schedule'!D55</f>
        <v>-17161.015193317213</v>
      </c>
      <c r="F28" s="28">
        <f>+'Temp Adj. by Schedule'!E55</f>
        <v>34788.129201732998</v>
      </c>
      <c r="G28" s="28">
        <f>+'Temp Adj. by Schedule'!F55</f>
        <v>681.77386271700243</v>
      </c>
      <c r="H28" s="28">
        <f>+'Temp Adj. by Schedule'!G55</f>
        <v>-98430.767731719243</v>
      </c>
      <c r="I28" s="28">
        <f>+'Temp Adj. by Schedule'!H55</f>
        <v>-1079249.845643267</v>
      </c>
      <c r="J28" s="28">
        <f>+'Temp Adj. by Schedule'!I55</f>
        <v>-564902.90883828513</v>
      </c>
      <c r="K28" s="28">
        <f>+'Temp Adj. by Schedule'!J55</f>
        <v>36566.553298201485</v>
      </c>
      <c r="L28" s="28">
        <f>+'Temp Adj. by Schedule'!K55</f>
        <v>67226.783371692174</v>
      </c>
      <c r="M28" s="28">
        <f>+'Temp Adj. by Schedule'!L55</f>
        <v>358852.25702775602</v>
      </c>
      <c r="N28" s="105">
        <f>+'Temp Adj. by Schedule'!M55</f>
        <v>311013.27212499623</v>
      </c>
    </row>
    <row r="29" spans="1:14">
      <c r="A29" s="12" t="s">
        <v>8</v>
      </c>
      <c r="B29" s="23">
        <f>SUM(C29:N29)</f>
        <v>2803305.1896940321</v>
      </c>
      <c r="C29" s="306">
        <f>+'Temp Adj. by Schedule'!B56</f>
        <v>1278947.0155178648</v>
      </c>
      <c r="D29" s="28">
        <f>+'Temp Adj. by Schedule'!C56</f>
        <v>-805360.97786270583</v>
      </c>
      <c r="E29" s="28">
        <f>+'Temp Adj. by Schedule'!D56</f>
        <v>106972.00302499841</v>
      </c>
      <c r="F29" s="28">
        <f>+'Temp Adj. by Schedule'!E56</f>
        <v>123335.16021573462</v>
      </c>
      <c r="G29" s="28">
        <f>+'Temp Adj. by Schedule'!F56</f>
        <v>194841.08872132614</v>
      </c>
      <c r="H29" s="28">
        <f>+'Temp Adj. by Schedule'!G56</f>
        <v>-22312.587019634633</v>
      </c>
      <c r="I29" s="28">
        <f>+'Temp Adj. by Schedule'!H56</f>
        <v>-242751.15743170684</v>
      </c>
      <c r="J29" s="28">
        <f>+'Temp Adj. by Schedule'!I56</f>
        <v>-126241.50046700795</v>
      </c>
      <c r="K29" s="28">
        <f>+'Temp Adj. by Schedule'!J56</f>
        <v>8171.6990354412555</v>
      </c>
      <c r="L29" s="28">
        <f>+'Temp Adj. by Schedule'!K56</f>
        <v>77170.155987543854</v>
      </c>
      <c r="M29" s="28">
        <f>+'Temp Adj. by Schedule'!L56</f>
        <v>1004625.6195221099</v>
      </c>
      <c r="N29" s="105">
        <f>+'Temp Adj. by Schedule'!M56</f>
        <v>1205908.6704500681</v>
      </c>
    </row>
    <row r="30" spans="1:14">
      <c r="A30" s="15" t="s">
        <v>9</v>
      </c>
      <c r="B30" s="23">
        <f t="shared" si="11"/>
        <v>85916.234525271488</v>
      </c>
      <c r="C30" s="306">
        <f>+'Temp Adj. by Schedule'!B57</f>
        <v>31550.575685571574</v>
      </c>
      <c r="D30" s="28">
        <f>+'Temp Adj. by Schedule'!C57</f>
        <v>-19715.601014669577</v>
      </c>
      <c r="E30" s="28">
        <f>+'Temp Adj. by Schedule'!D57</f>
        <v>1750.8794533845605</v>
      </c>
      <c r="F30" s="28">
        <f>+'Temp Adj. by Schedule'!E57</f>
        <v>4765.8653889220859</v>
      </c>
      <c r="G30" s="28">
        <f>+'Temp Adj. by Schedule'!F57</f>
        <v>10037.355552603472</v>
      </c>
      <c r="H30" s="28">
        <f>+'Temp Adj. by Schedule'!G57</f>
        <v>-452.48855741942174</v>
      </c>
      <c r="I30" s="28">
        <f>+'Temp Adj. by Schedule'!H57</f>
        <v>-4922.8769815669093</v>
      </c>
      <c r="J30" s="28">
        <f>+'Temp Adj. by Schedule'!I57</f>
        <v>-2576.7411855247019</v>
      </c>
      <c r="K30" s="28">
        <f>+'Temp Adj. by Schedule'!J57</f>
        <v>166.79422679895072</v>
      </c>
      <c r="L30" s="28">
        <f>+'Temp Adj. by Schedule'!K57</f>
        <v>3161.7850842230041</v>
      </c>
      <c r="M30" s="28">
        <f>+'Temp Adj. by Schedule'!L57</f>
        <v>31370.451755894184</v>
      </c>
      <c r="N30" s="105">
        <f>+'Temp Adj. by Schedule'!M57</f>
        <v>30780.235117054261</v>
      </c>
    </row>
    <row r="31" spans="1:14">
      <c r="A31" s="9"/>
      <c r="B31" s="24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5"/>
    </row>
    <row r="32" spans="1:14">
      <c r="A32" s="9" t="s">
        <v>10</v>
      </c>
      <c r="B32" s="10">
        <f t="shared" ref="B32:N32" si="12">SUM(B22:B31)</f>
        <v>135247697.97728741</v>
      </c>
      <c r="C32" s="305">
        <f t="shared" si="12"/>
        <v>83905327.63374868</v>
      </c>
      <c r="D32" s="10">
        <f t="shared" si="12"/>
        <v>-52866388.744541399</v>
      </c>
      <c r="E32" s="10">
        <f t="shared" si="12"/>
        <v>5684788.8911022069</v>
      </c>
      <c r="F32" s="10">
        <f t="shared" si="12"/>
        <v>10522398.951545876</v>
      </c>
      <c r="G32" s="10">
        <f t="shared" si="12"/>
        <v>17148010.417034343</v>
      </c>
      <c r="H32" s="10">
        <f t="shared" si="12"/>
        <v>-5572755.3521982115</v>
      </c>
      <c r="I32" s="10">
        <f t="shared" si="12"/>
        <v>-60632708.159865461</v>
      </c>
      <c r="J32" s="10">
        <f t="shared" si="12"/>
        <v>-31772221.999432091</v>
      </c>
      <c r="K32" s="10">
        <f t="shared" si="12"/>
        <v>2059115.7977056094</v>
      </c>
      <c r="L32" s="10">
        <f t="shared" si="12"/>
        <v>7093494.1109699905</v>
      </c>
      <c r="M32" s="10">
        <f t="shared" si="12"/>
        <v>77005916.314229101</v>
      </c>
      <c r="N32" s="11">
        <f t="shared" si="12"/>
        <v>82672720.116988793</v>
      </c>
    </row>
    <row r="33" spans="1:15">
      <c r="A33" s="9"/>
      <c r="B33" s="24"/>
      <c r="C33" s="16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8"/>
    </row>
    <row r="34" spans="1:15" s="5" customFormat="1">
      <c r="A34" s="19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2"/>
    </row>
    <row r="35" spans="1:15" s="99" customFormat="1" ht="13.5" thickBot="1">
      <c r="A35" s="464" t="s">
        <v>151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6"/>
    </row>
    <row r="36" spans="1:15" s="287" customFormat="1" ht="45.75" customHeight="1" thickBot="1">
      <c r="A36" s="296" t="s">
        <v>103</v>
      </c>
      <c r="B36" s="295"/>
      <c r="C36" s="467" t="s">
        <v>183</v>
      </c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9"/>
    </row>
    <row r="37" spans="1:15" s="99" customFormat="1">
      <c r="A37" s="12" t="s">
        <v>1</v>
      </c>
      <c r="B37" s="23"/>
      <c r="C37" s="340">
        <v>3.9306000000000001E-2</v>
      </c>
      <c r="D37" s="341">
        <v>3.9306000000000001E-2</v>
      </c>
      <c r="E37" s="341">
        <v>3.9306000000000001E-2</v>
      </c>
      <c r="F37" s="341">
        <v>3.9306000000000001E-2</v>
      </c>
      <c r="G37" s="341">
        <v>3.9306000000000001E-2</v>
      </c>
      <c r="H37" s="341">
        <v>3.9306000000000001E-2</v>
      </c>
      <c r="I37" s="341">
        <v>3.9306000000000001E-2</v>
      </c>
      <c r="J37" s="341">
        <v>3.9306000000000001E-2</v>
      </c>
      <c r="K37" s="341">
        <v>3.9306000000000001E-2</v>
      </c>
      <c r="L37" s="341">
        <v>3.9306000000000001E-2</v>
      </c>
      <c r="M37" s="341">
        <v>3.9306000000000001E-2</v>
      </c>
      <c r="N37" s="378">
        <v>3.9306000000000001E-2</v>
      </c>
    </row>
    <row r="38" spans="1:15" s="99" customFormat="1">
      <c r="A38" s="364" t="s">
        <v>174</v>
      </c>
      <c r="B38" s="23"/>
      <c r="C38" s="342">
        <v>3.6097999999999998E-2</v>
      </c>
      <c r="D38" s="343">
        <v>3.6097999999999998E-2</v>
      </c>
      <c r="E38" s="343">
        <v>3.6097999999999998E-2</v>
      </c>
      <c r="F38" s="343">
        <v>3.6097999999999998E-2</v>
      </c>
      <c r="G38" s="343">
        <v>3.6097999999999998E-2</v>
      </c>
      <c r="H38" s="343">
        <v>3.6097999999999998E-2</v>
      </c>
      <c r="I38" s="343">
        <v>3.6097999999999998E-2</v>
      </c>
      <c r="J38" s="343">
        <v>3.6097999999999998E-2</v>
      </c>
      <c r="K38" s="343">
        <v>3.6097999999999998E-2</v>
      </c>
      <c r="L38" s="343">
        <v>3.6097999999999998E-2</v>
      </c>
      <c r="M38" s="343">
        <v>3.6097999999999998E-2</v>
      </c>
      <c r="N38" s="379">
        <v>3.6097999999999998E-2</v>
      </c>
    </row>
    <row r="39" spans="1:15" s="99" customFormat="1">
      <c r="A39" s="364" t="s">
        <v>177</v>
      </c>
      <c r="B39" s="23"/>
      <c r="C39" s="342">
        <v>3.5601000000000001E-2</v>
      </c>
      <c r="D39" s="343">
        <v>3.5601000000000001E-2</v>
      </c>
      <c r="E39" s="343">
        <v>3.5601000000000001E-2</v>
      </c>
      <c r="F39" s="343">
        <v>3.5601000000000001E-2</v>
      </c>
      <c r="G39" s="343">
        <v>3.5601000000000001E-2</v>
      </c>
      <c r="H39" s="343">
        <v>3.5601000000000001E-2</v>
      </c>
      <c r="I39" s="343">
        <v>3.5601000000000001E-2</v>
      </c>
      <c r="J39" s="343">
        <v>3.5601000000000001E-2</v>
      </c>
      <c r="K39" s="343">
        <v>3.5601000000000001E-2</v>
      </c>
      <c r="L39" s="343">
        <v>3.5601000000000001E-2</v>
      </c>
      <c r="M39" s="343">
        <v>3.5601000000000001E-2</v>
      </c>
      <c r="N39" s="379">
        <v>3.5601000000000001E-2</v>
      </c>
    </row>
    <row r="40" spans="1:15" s="99" customFormat="1">
      <c r="A40" s="364" t="s">
        <v>175</v>
      </c>
      <c r="B40" s="23"/>
      <c r="C40" s="342">
        <v>3.4729000000000003E-2</v>
      </c>
      <c r="D40" s="343">
        <v>3.4729000000000003E-2</v>
      </c>
      <c r="E40" s="343">
        <v>3.4729000000000003E-2</v>
      </c>
      <c r="F40" s="343">
        <v>3.4729000000000003E-2</v>
      </c>
      <c r="G40" s="343">
        <v>3.4729000000000003E-2</v>
      </c>
      <c r="H40" s="343">
        <v>3.4729000000000003E-2</v>
      </c>
      <c r="I40" s="343">
        <v>3.4729000000000003E-2</v>
      </c>
      <c r="J40" s="343">
        <v>3.4729000000000003E-2</v>
      </c>
      <c r="K40" s="343">
        <v>3.4729000000000003E-2</v>
      </c>
      <c r="L40" s="343">
        <v>3.4729000000000003E-2</v>
      </c>
      <c r="M40" s="343">
        <v>3.4729000000000003E-2</v>
      </c>
      <c r="N40" s="379">
        <v>3.4729000000000003E-2</v>
      </c>
    </row>
    <row r="41" spans="1:15" s="99" customFormat="1">
      <c r="A41" s="12" t="s">
        <v>5</v>
      </c>
      <c r="B41" s="23"/>
      <c r="C41" s="342">
        <v>3.5601000000000001E-2</v>
      </c>
      <c r="D41" s="343">
        <v>3.5601000000000001E-2</v>
      </c>
      <c r="E41" s="343">
        <v>3.5601000000000001E-2</v>
      </c>
      <c r="F41" s="343">
        <v>3.5601000000000001E-2</v>
      </c>
      <c r="G41" s="343">
        <v>3.5601000000000001E-2</v>
      </c>
      <c r="H41" s="343">
        <v>3.5601000000000001E-2</v>
      </c>
      <c r="I41" s="343">
        <v>3.5601000000000001E-2</v>
      </c>
      <c r="J41" s="343">
        <v>3.5601000000000001E-2</v>
      </c>
      <c r="K41" s="343">
        <v>3.5601000000000001E-2</v>
      </c>
      <c r="L41" s="343">
        <v>3.5601000000000001E-2</v>
      </c>
      <c r="M41" s="343">
        <v>3.5601000000000001E-2</v>
      </c>
      <c r="N41" s="379">
        <v>3.5601000000000001E-2</v>
      </c>
    </row>
    <row r="42" spans="1:15" s="99" customFormat="1">
      <c r="A42" s="364" t="s">
        <v>176</v>
      </c>
      <c r="B42" s="23"/>
      <c r="C42" s="342">
        <v>3.3796E-2</v>
      </c>
      <c r="D42" s="343">
        <v>3.3796E-2</v>
      </c>
      <c r="E42" s="343">
        <v>3.3796E-2</v>
      </c>
      <c r="F42" s="343">
        <v>3.3796E-2</v>
      </c>
      <c r="G42" s="343">
        <v>3.3796E-2</v>
      </c>
      <c r="H42" s="343">
        <v>3.3796E-2</v>
      </c>
      <c r="I42" s="343">
        <v>3.3796E-2</v>
      </c>
      <c r="J42" s="343">
        <v>3.3796E-2</v>
      </c>
      <c r="K42" s="343">
        <v>3.3796E-2</v>
      </c>
      <c r="L42" s="343">
        <v>3.3796E-2</v>
      </c>
      <c r="M42" s="343">
        <v>3.3796E-2</v>
      </c>
      <c r="N42" s="379">
        <v>3.3796E-2</v>
      </c>
    </row>
    <row r="43" spans="1:15" s="99" customFormat="1">
      <c r="A43" s="15" t="s">
        <v>24</v>
      </c>
      <c r="B43" s="23"/>
      <c r="C43" s="342">
        <v>3.2871999999999998E-2</v>
      </c>
      <c r="D43" s="343">
        <v>3.2871999999999998E-2</v>
      </c>
      <c r="E43" s="343">
        <v>3.2871999999999998E-2</v>
      </c>
      <c r="F43" s="343">
        <v>3.2871999999999998E-2</v>
      </c>
      <c r="G43" s="343">
        <v>3.2871999999999998E-2</v>
      </c>
      <c r="H43" s="343">
        <v>3.2871999999999998E-2</v>
      </c>
      <c r="I43" s="343">
        <v>3.2871999999999998E-2</v>
      </c>
      <c r="J43" s="343">
        <v>3.2871999999999998E-2</v>
      </c>
      <c r="K43" s="343">
        <v>3.2871999999999998E-2</v>
      </c>
      <c r="L43" s="343">
        <v>3.2871999999999998E-2</v>
      </c>
      <c r="M43" s="343">
        <v>3.2871999999999998E-2</v>
      </c>
      <c r="N43" s="379">
        <v>3.2871999999999998E-2</v>
      </c>
    </row>
    <row r="44" spans="1:15" s="99" customFormat="1">
      <c r="A44" s="12" t="s">
        <v>8</v>
      </c>
      <c r="B44" s="23"/>
      <c r="C44" s="342">
        <v>2.6970999999999998E-2</v>
      </c>
      <c r="D44" s="343">
        <v>2.6970999999999998E-2</v>
      </c>
      <c r="E44" s="343">
        <v>2.6970999999999998E-2</v>
      </c>
      <c r="F44" s="343">
        <v>2.6970999999999998E-2</v>
      </c>
      <c r="G44" s="343">
        <v>2.6970999999999998E-2</v>
      </c>
      <c r="H44" s="343">
        <v>2.6970999999999998E-2</v>
      </c>
      <c r="I44" s="343">
        <v>2.6970999999999998E-2</v>
      </c>
      <c r="J44" s="343">
        <v>2.6970999999999998E-2</v>
      </c>
      <c r="K44" s="343">
        <v>2.6970999999999998E-2</v>
      </c>
      <c r="L44" s="343">
        <v>2.6970999999999998E-2</v>
      </c>
      <c r="M44" s="343">
        <v>2.6970999999999998E-2</v>
      </c>
      <c r="N44" s="379">
        <v>2.6970999999999998E-2</v>
      </c>
    </row>
    <row r="45" spans="1:15" s="99" customFormat="1">
      <c r="A45" s="15" t="s">
        <v>9</v>
      </c>
      <c r="B45" s="23"/>
      <c r="C45" s="342">
        <v>3.5139999999999998E-2</v>
      </c>
      <c r="D45" s="343">
        <v>3.5139999999999998E-2</v>
      </c>
      <c r="E45" s="343">
        <v>3.5139999999999998E-2</v>
      </c>
      <c r="F45" s="343">
        <v>3.5139999999999998E-2</v>
      </c>
      <c r="G45" s="343">
        <v>3.5139999999999998E-2</v>
      </c>
      <c r="H45" s="343">
        <v>3.5139999999999998E-2</v>
      </c>
      <c r="I45" s="343">
        <v>3.5139999999999998E-2</v>
      </c>
      <c r="J45" s="343">
        <v>3.5139999999999998E-2</v>
      </c>
      <c r="K45" s="343">
        <v>3.5139999999999998E-2</v>
      </c>
      <c r="L45" s="343">
        <v>3.5139999999999998E-2</v>
      </c>
      <c r="M45" s="343">
        <v>3.5139999999999998E-2</v>
      </c>
      <c r="N45" s="379">
        <v>3.5139999999999998E-2</v>
      </c>
    </row>
    <row r="46" spans="1:15" ht="13.5" thickBot="1">
      <c r="A46" s="289"/>
      <c r="B46" s="291"/>
      <c r="C46" s="289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0"/>
    </row>
    <row r="47" spans="1:15">
      <c r="C47" s="166"/>
    </row>
    <row r="48" spans="1:15">
      <c r="A48" s="288"/>
      <c r="B48" s="3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36"/>
    </row>
    <row r="49" spans="1:15">
      <c r="A49" s="288"/>
      <c r="B49" s="3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</row>
    <row r="50" spans="1:15">
      <c r="A50" s="372"/>
      <c r="B50" s="370"/>
      <c r="C50" s="371"/>
      <c r="D50" s="371"/>
      <c r="E50" s="167"/>
      <c r="F50" s="167"/>
      <c r="G50" s="167"/>
      <c r="H50" s="167"/>
      <c r="I50" s="167"/>
      <c r="J50" s="167"/>
      <c r="K50" s="167"/>
      <c r="L50" s="167"/>
      <c r="M50" s="167"/>
      <c r="N50" s="167"/>
    </row>
    <row r="51" spans="1:15">
      <c r="A51" s="372"/>
      <c r="B51" s="23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</row>
    <row r="52" spans="1:15">
      <c r="A52" s="285"/>
      <c r="B52" s="23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</row>
    <row r="53" spans="1:15">
      <c r="A53" s="285"/>
      <c r="B53" s="2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</row>
    <row r="54" spans="1:15">
      <c r="A54" s="284"/>
      <c r="B54" s="23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</row>
    <row r="55" spans="1:15">
      <c r="A55" s="285"/>
      <c r="B55" s="23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</row>
    <row r="56" spans="1:15">
      <c r="A56" s="285"/>
      <c r="B56" s="23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</row>
    <row r="57" spans="1:15">
      <c r="A57" s="284"/>
      <c r="B57" s="23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</row>
    <row r="58" spans="1:15">
      <c r="A58" s="284"/>
      <c r="B58" s="23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</row>
    <row r="59" spans="1:15">
      <c r="A59" s="284"/>
      <c r="B59" s="23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</row>
    <row r="60" spans="1:15">
      <c r="A60" s="285"/>
      <c r="B60" s="23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1:1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</row>
    <row r="62" spans="1:15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5"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workbookViewId="0">
      <selection activeCell="B28" sqref="B28"/>
    </sheetView>
  </sheetViews>
  <sheetFormatPr defaultRowHeight="12.75"/>
  <cols>
    <col min="1" max="1" width="28" customWidth="1"/>
    <col min="2" max="14" width="16" customWidth="1"/>
    <col min="15" max="15" width="12.28515625" style="103" customWidth="1"/>
    <col min="16" max="16" width="12.28515625" customWidth="1"/>
    <col min="17" max="20" width="12.7109375" customWidth="1"/>
  </cols>
  <sheetData>
    <row r="1" spans="1:28">
      <c r="A1" s="67" t="s">
        <v>53</v>
      </c>
    </row>
    <row r="2" spans="1:28">
      <c r="A2" s="67" t="s">
        <v>186</v>
      </c>
    </row>
    <row r="3" spans="1:28">
      <c r="A3" s="110"/>
    </row>
    <row r="4" spans="1:28">
      <c r="A4" s="67" t="s">
        <v>43</v>
      </c>
    </row>
    <row r="5" spans="1:28">
      <c r="A5" s="67" t="s">
        <v>42</v>
      </c>
    </row>
    <row r="6" spans="1:28">
      <c r="A6" s="87" t="s">
        <v>25</v>
      </c>
      <c r="O6" s="104" t="s">
        <v>50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  <c r="O7" s="104" t="s">
        <v>51</v>
      </c>
    </row>
    <row r="8" spans="1:28">
      <c r="A8" s="97" t="s">
        <v>156</v>
      </c>
      <c r="B8" s="122">
        <f>($B65*I$68+$C65*I$72+$D65*I$76)*B92</f>
        <v>74793782.059039772</v>
      </c>
      <c r="C8" s="122">
        <f t="shared" ref="C8:D8" si="0">($B65*J$68+$C65*J$72+$D65*J$76)*C92</f>
        <v>-44869101.567900084</v>
      </c>
      <c r="D8" s="122">
        <f t="shared" si="0"/>
        <v>4394677.0337621355</v>
      </c>
      <c r="E8" s="122">
        <f>($B65*L$68+$C65*L$72+$D65*L$76)*E92</f>
        <v>16344914.743105689</v>
      </c>
      <c r="F8" s="4">
        <f>($B65*M$68+$C65*M$72+$D65*M$76+E$65*M$80+F$65*M$84)*F92</f>
        <v>49052692.87684124</v>
      </c>
      <c r="G8" s="350">
        <f>($E65*N$80+$F65*N$84)*G92</f>
        <v>-5826662.2558389846</v>
      </c>
      <c r="H8" s="4">
        <f>($E65*O$80+$F65*O$84)*H92</f>
        <v>-50428483.718085885</v>
      </c>
      <c r="I8" s="4">
        <f>($E65*P$80+$F65*P$84)*I92</f>
        <v>-26511573.558548819</v>
      </c>
      <c r="J8" s="350">
        <f>($E65*Q$80+$F65*Q$84)*J92</f>
        <v>4058904.9878357491</v>
      </c>
      <c r="K8" s="4">
        <f>($B65*R$68+$C65*R$72+$D65*R$76)*K92</f>
        <v>10084461.026951266</v>
      </c>
      <c r="L8" s="122">
        <f t="shared" ref="L8:M8" si="1">($B65*S$68+$C65*S$72+$D65*S$76)*L92</f>
        <v>57210928.578655943</v>
      </c>
      <c r="M8" s="122">
        <f t="shared" si="1"/>
        <v>74831432.778536066</v>
      </c>
      <c r="N8" s="224">
        <f t="shared" ref="N8:N9" si="2">SUM(B8:M8)</f>
        <v>163135972.98435408</v>
      </c>
    </row>
    <row r="9" spans="1:28">
      <c r="A9" s="90" t="s">
        <v>30</v>
      </c>
      <c r="B9" s="116">
        <f t="shared" ref="B9:G9" si="3">SUM(B8:B8)</f>
        <v>74793782.059039772</v>
      </c>
      <c r="C9" s="116">
        <f t="shared" si="3"/>
        <v>-44869101.567900084</v>
      </c>
      <c r="D9" s="116">
        <f t="shared" si="3"/>
        <v>4394677.0337621355</v>
      </c>
      <c r="E9" s="116">
        <f t="shared" si="3"/>
        <v>16344914.743105689</v>
      </c>
      <c r="F9" s="116">
        <f t="shared" ref="F9" si="4">SUM(F8:F8)</f>
        <v>49052692.87684124</v>
      </c>
      <c r="G9" s="116">
        <f t="shared" si="3"/>
        <v>-5826662.2558389846</v>
      </c>
      <c r="H9" s="116">
        <f t="shared" ref="H9:L9" si="5">SUM(H8:H8)</f>
        <v>-50428483.718085885</v>
      </c>
      <c r="I9" s="116">
        <f t="shared" si="5"/>
        <v>-26511573.558548819</v>
      </c>
      <c r="J9" s="116">
        <f t="shared" si="5"/>
        <v>4058904.9878357491</v>
      </c>
      <c r="K9" s="116">
        <f t="shared" si="5"/>
        <v>10084461.026951266</v>
      </c>
      <c r="L9" s="116">
        <f t="shared" si="5"/>
        <v>57210928.578655943</v>
      </c>
      <c r="M9" s="116">
        <f t="shared" ref="M9" si="6">SUM(M8:M8)</f>
        <v>74831432.778536066</v>
      </c>
      <c r="N9" s="225">
        <f t="shared" si="2"/>
        <v>163135972.98435408</v>
      </c>
      <c r="O9" s="126">
        <f>N9/N32</f>
        <v>0.97783337020636663</v>
      </c>
    </row>
    <row r="10" spans="1:28">
      <c r="A10" s="91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226"/>
      <c r="O10" s="101"/>
    </row>
    <row r="11" spans="1:28">
      <c r="A11" s="97" t="s">
        <v>36</v>
      </c>
      <c r="B11" s="122">
        <f>($B66*I$68+$C66*I$72+$D66*I$76)*B93</f>
        <v>1188359.1219696389</v>
      </c>
      <c r="C11" s="355">
        <f t="shared" ref="C11:E11" si="7">($B66*J$68+$C66*J$72+$D66*J$76)*C93</f>
        <v>-715119.34814999613</v>
      </c>
      <c r="D11" s="355">
        <f t="shared" si="7"/>
        <v>80467.044781668403</v>
      </c>
      <c r="E11" s="355">
        <f t="shared" si="7"/>
        <v>224250.7633208856</v>
      </c>
      <c r="F11" s="92">
        <f>($B66*M$68+$C66*M$72+$D66*M$76+E$66*M$80+F$66*M$84)*F93</f>
        <v>655354.97494244564</v>
      </c>
      <c r="G11" s="92">
        <f t="shared" ref="G11:J12" si="8">($E66*N$80+$F66*N$84)*G93</f>
        <v>-50046.506999522273</v>
      </c>
      <c r="H11" s="92">
        <f t="shared" si="8"/>
        <v>-433449.61560780962</v>
      </c>
      <c r="I11" s="92">
        <f t="shared" si="8"/>
        <v>-227856.82079217702</v>
      </c>
      <c r="J11" s="92">
        <f t="shared" si="8"/>
        <v>34818.647819511389</v>
      </c>
      <c r="K11" s="92">
        <f t="shared" ref="K11:K12" si="9">($B66*R$68+$C66*R$72+$D66*R$76)*K93</f>
        <v>135947.96782000127</v>
      </c>
      <c r="L11" s="355">
        <f t="shared" ref="L11:M11" si="10">($B66*S$68+$C66*S$72+$D66*S$76)*L93</f>
        <v>841587.3114651012</v>
      </c>
      <c r="M11" s="355">
        <f t="shared" si="10"/>
        <v>1177236.5029937795</v>
      </c>
      <c r="N11" s="224">
        <f>SUM(B11:M11)</f>
        <v>2911550.0435635271</v>
      </c>
      <c r="O11" s="121"/>
    </row>
    <row r="12" spans="1:28" s="88" customFormat="1">
      <c r="A12" s="97" t="s">
        <v>153</v>
      </c>
      <c r="B12" s="122">
        <f>($B67*I$68+$C67*I$72+$D67*I$76)*B94</f>
        <v>8459647.4159800634</v>
      </c>
      <c r="C12" s="122">
        <f t="shared" ref="C12" si="11">($B67*J$68+$C67*J$72+$D67*J$76)*C94</f>
        <v>-5139178.4104977604</v>
      </c>
      <c r="D12" s="122">
        <f t="shared" ref="D12" si="12">($B67*K$68+$C67*K$72+$D67*K$76)*D94</f>
        <v>683581.60423525644</v>
      </c>
      <c r="E12" s="122">
        <f t="shared" ref="E12" si="13">($B67*L$68+$C67*L$72+$D67*L$76)*E94</f>
        <v>1241600.1903617291</v>
      </c>
      <c r="F12" s="92">
        <f>($B67*M$68+$C67*M$72+$D67*M$76+E$67*M$80+F$67*M$84)*F94</f>
        <v>1939433.9176735063</v>
      </c>
      <c r="G12" s="122">
        <f t="shared" si="8"/>
        <v>-1079386.7629036442</v>
      </c>
      <c r="H12" s="122">
        <f t="shared" si="8"/>
        <v>-9345788.8619532175</v>
      </c>
      <c r="I12" s="122">
        <f t="shared" si="8"/>
        <v>-4914345.6186263869</v>
      </c>
      <c r="J12" s="122">
        <f t="shared" si="8"/>
        <v>752187.88551239483</v>
      </c>
      <c r="K12" s="122">
        <f t="shared" si="9"/>
        <v>731683.72620733897</v>
      </c>
      <c r="L12" s="122">
        <f t="shared" ref="L12" si="14">($B67*S$68+$C67*S$72+$D67*S$76)*L94</f>
        <v>5379582.0035226522</v>
      </c>
      <c r="M12" s="122">
        <f t="shared" ref="M12" si="15">($B67*T$68+$C67*T$72+$D67*T$76)*M94</f>
        <v>8376092.1582573503</v>
      </c>
      <c r="N12" s="224">
        <f>SUM(B12:M12)</f>
        <v>7085109.2477692841</v>
      </c>
      <c r="O12" s="121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6">
        <f t="shared" ref="B13:G13" si="16">SUM(B11:B12)</f>
        <v>9648006.5379497018</v>
      </c>
      <c r="C13" s="116">
        <f t="shared" si="16"/>
        <v>-5854297.7586477567</v>
      </c>
      <c r="D13" s="116">
        <f t="shared" si="16"/>
        <v>764048.6490169249</v>
      </c>
      <c r="E13" s="116">
        <f t="shared" si="16"/>
        <v>1465850.9536826147</v>
      </c>
      <c r="F13" s="116">
        <f t="shared" ref="F13" si="17">SUM(F11:F12)</f>
        <v>2594788.8926159521</v>
      </c>
      <c r="G13" s="116">
        <f t="shared" si="16"/>
        <v>-1129433.2699031665</v>
      </c>
      <c r="H13" s="116">
        <f t="shared" ref="H13:L13" si="18">SUM(H11:H12)</f>
        <v>-9779238.4775610268</v>
      </c>
      <c r="I13" s="116">
        <f t="shared" si="18"/>
        <v>-5142202.4394185636</v>
      </c>
      <c r="J13" s="116">
        <f t="shared" si="18"/>
        <v>787006.53333190619</v>
      </c>
      <c r="K13" s="116">
        <f t="shared" si="18"/>
        <v>867631.69402734027</v>
      </c>
      <c r="L13" s="116">
        <f t="shared" si="18"/>
        <v>6221169.3149877535</v>
      </c>
      <c r="M13" s="116">
        <f t="shared" ref="M13" si="19">SUM(M11:M12)</f>
        <v>9553328.6612511296</v>
      </c>
      <c r="N13" s="225">
        <f>SUM(B13:M13)</f>
        <v>9996659.2913328111</v>
      </c>
      <c r="O13" s="126">
        <f>N13/N32</f>
        <v>5.9919752013164199E-2</v>
      </c>
    </row>
    <row r="14" spans="1:28">
      <c r="A14" s="9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224"/>
      <c r="O14" s="121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122">
        <f>($B68*I$68+$C68*I$72+$D68*I$76)*B95</f>
        <v>554770.92922148865</v>
      </c>
      <c r="C15" s="122">
        <f t="shared" ref="C15:E15" si="20">($B68*J$68+$C68*J$72+$D68*J$76)*C95</f>
        <v>-336698.07186827582</v>
      </c>
      <c r="D15" s="122">
        <f t="shared" si="20"/>
        <v>42140.82523346581</v>
      </c>
      <c r="E15" s="122">
        <f t="shared" si="20"/>
        <v>88600.247313815489</v>
      </c>
      <c r="F15" s="122">
        <f>($B68*M$68+$C68*M$72+$D68*M$76+E68*M80+F68*M84)*F95</f>
        <v>189413.71774468102</v>
      </c>
      <c r="G15" s="122">
        <f t="shared" ref="G15:J16" si="21">($E68*N$80+$F68*N$84)*G95</f>
        <v>-49463.651770555611</v>
      </c>
      <c r="H15" s="122">
        <f t="shared" si="21"/>
        <v>-429320.36908599851</v>
      </c>
      <c r="I15" s="122">
        <f t="shared" si="21"/>
        <v>-225468.79686799928</v>
      </c>
      <c r="J15" s="122">
        <f t="shared" si="21"/>
        <v>34234.232156444712</v>
      </c>
      <c r="K15" s="122">
        <f t="shared" ref="K15:K16" si="22">($B68*R$68+$C68*R$72+$D68*R$76)*K95</f>
        <v>52129.312370486543</v>
      </c>
      <c r="L15" s="122">
        <f t="shared" ref="L15:M15" si="23">($B68*S$68+$C68*S$72+$D68*S$76)*L95</f>
        <v>358995.10558723228</v>
      </c>
      <c r="M15" s="122">
        <f t="shared" si="23"/>
        <v>537952.59987089189</v>
      </c>
      <c r="N15" s="224">
        <f>SUM(B15:M15)</f>
        <v>817286.07990567735</v>
      </c>
      <c r="O15" s="121"/>
    </row>
    <row r="16" spans="1:28" s="88" customFormat="1">
      <c r="A16" s="97" t="s">
        <v>154</v>
      </c>
      <c r="B16" s="122">
        <f>($B69*I$68+$C69*I$72+$D69*I$76)*B96</f>
        <v>5645877.3378442619</v>
      </c>
      <c r="C16" s="122">
        <f t="shared" ref="C16:E16" si="24">($B69*J$68+$C69*J$72+$D69*J$76)*C96</f>
        <v>-3503390.2481691209</v>
      </c>
      <c r="D16" s="122">
        <f t="shared" si="24"/>
        <v>568913.94951842469</v>
      </c>
      <c r="E16" s="122">
        <f t="shared" si="24"/>
        <v>535053.15833520528</v>
      </c>
      <c r="F16" s="122">
        <f>($B69*M$68+$C69*M$72+$D69*M$76+E69*M80+F69*M84)*F96</f>
        <v>-646999.07114145346</v>
      </c>
      <c r="G16" s="122">
        <f t="shared" si="21"/>
        <v>-996082.84852431342</v>
      </c>
      <c r="H16" s="122">
        <f t="shared" si="21"/>
        <v>-8580530.2334200945</v>
      </c>
      <c r="I16" s="122">
        <f t="shared" si="21"/>
        <v>-4506911.6433121096</v>
      </c>
      <c r="J16" s="122">
        <f t="shared" si="21"/>
        <v>689288.01992400538</v>
      </c>
      <c r="K16" s="122">
        <f t="shared" si="22"/>
        <v>284265.61610244529</v>
      </c>
      <c r="L16" s="122">
        <f t="shared" ref="L16:M16" si="25">($B69*S$68+$C69*S$72+$D69*S$76)*L96</f>
        <v>3155255.2899071267</v>
      </c>
      <c r="M16" s="122">
        <f t="shared" si="25"/>
        <v>5802848.9592908286</v>
      </c>
      <c r="N16" s="224">
        <f>SUM(B16:M16)</f>
        <v>-1552411.7136447942</v>
      </c>
      <c r="O16" s="121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6">
        <f t="shared" ref="B17:G17" si="26">SUM(B15:B16)</f>
        <v>6200648.2670657504</v>
      </c>
      <c r="C17" s="116">
        <f t="shared" si="26"/>
        <v>-3840088.3200373966</v>
      </c>
      <c r="D17" s="116">
        <f t="shared" si="26"/>
        <v>611054.77475189045</v>
      </c>
      <c r="E17" s="116">
        <f t="shared" si="26"/>
        <v>623653.4056490208</v>
      </c>
      <c r="F17" s="116">
        <f t="shared" ref="F17" si="27">SUM(F15:F16)</f>
        <v>-457585.35339677241</v>
      </c>
      <c r="G17" s="116">
        <f t="shared" si="26"/>
        <v>-1045546.5002948691</v>
      </c>
      <c r="H17" s="116">
        <f t="shared" ref="H17:L17" si="28">SUM(H15:H16)</f>
        <v>-9009850.6025060937</v>
      </c>
      <c r="I17" s="116">
        <f t="shared" si="28"/>
        <v>-4732380.4401801089</v>
      </c>
      <c r="J17" s="116">
        <f t="shared" si="28"/>
        <v>723522.25208045007</v>
      </c>
      <c r="K17" s="116">
        <f t="shared" si="28"/>
        <v>336394.92847293185</v>
      </c>
      <c r="L17" s="116">
        <f t="shared" si="28"/>
        <v>3514250.3954943591</v>
      </c>
      <c r="M17" s="116">
        <f t="shared" ref="M17" si="29">SUM(M15:M16)</f>
        <v>6340801.5591617208</v>
      </c>
      <c r="N17" s="225">
        <f>SUM(B17:M17)</f>
        <v>-735125.63373911753</v>
      </c>
      <c r="O17" s="126">
        <f>N17/N32</f>
        <v>-4.4063265925606328E-3</v>
      </c>
    </row>
    <row r="18" spans="1:28">
      <c r="A18" s="91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224"/>
      <c r="O18" s="121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356">
        <f>($B70*I$68+$C70*I$72+$D70*I$76)*B97</f>
        <v>109080.74449783332</v>
      </c>
      <c r="C19" s="356">
        <f t="shared" ref="C19:E19" si="30">($B70*J$68+$C70*J$72+$D70*J$76)*C97</f>
        <v>-65714.965506666311</v>
      </c>
      <c r="D19" s="356">
        <f t="shared" si="30"/>
        <v>7492.443029500153</v>
      </c>
      <c r="E19" s="356">
        <f t="shared" si="30"/>
        <v>20196.219131110818</v>
      </c>
      <c r="F19" s="356">
        <f>($B70*M$68+$C70*M$72+$D70*M$76+E70*M80+F70*M84)*F97</f>
        <v>54334.711006694553</v>
      </c>
      <c r="G19" s="122">
        <f t="shared" ref="G19:J20" si="31">($E70*N$80+$F70*N$84)*G97</f>
        <v>-7581.7913161250081</v>
      </c>
      <c r="H19" s="122">
        <f t="shared" si="31"/>
        <v>-65591.197134124784</v>
      </c>
      <c r="I19" s="122">
        <f t="shared" si="31"/>
        <v>-37096.692846499878</v>
      </c>
      <c r="J19" s="122">
        <f t="shared" si="31"/>
        <v>5669.662159000045</v>
      </c>
      <c r="K19" s="122">
        <f t="shared" ref="K19:K20" si="32">($B70*R$68+$C70*R$72+$D70*R$76)*K97</f>
        <v>13110.566143889007</v>
      </c>
      <c r="L19" s="356">
        <f t="shared" ref="L19:M19" si="33">($B70*S$68+$C70*S$72+$D70*S$76)*L97</f>
        <v>82035.66284647194</v>
      </c>
      <c r="M19" s="356">
        <f t="shared" si="33"/>
        <v>115697.64954533348</v>
      </c>
      <c r="N19" s="224">
        <f>SUM(B19:M19)</f>
        <v>231633.01155641733</v>
      </c>
      <c r="O19" s="121"/>
    </row>
    <row r="20" spans="1:28" s="88" customFormat="1">
      <c r="A20" s="97" t="s">
        <v>155</v>
      </c>
      <c r="B20" s="356">
        <f>($B71*I$68+$C71*I$72+$D71*I$76)*B98</f>
        <v>570132.6215922517</v>
      </c>
      <c r="C20" s="122">
        <f t="shared" ref="C20:E20" si="34">($B71*J$68+$C71*J$72+$D71*J$76)*C98</f>
        <v>-332945.5934311208</v>
      </c>
      <c r="D20" s="122">
        <f t="shared" si="34"/>
        <v>-28024.483714598609</v>
      </c>
      <c r="E20" s="122">
        <f t="shared" si="34"/>
        <v>100452.05770574996</v>
      </c>
      <c r="F20" s="122">
        <f>($B71*M$68+$C71*M$72+$D71*M$76+E71*M80+F71*M84)*F98</f>
        <v>-391717.83650772448</v>
      </c>
      <c r="G20" s="122">
        <f t="shared" si="31"/>
        <v>-592471.03902644501</v>
      </c>
      <c r="H20" s="122">
        <f t="shared" si="31"/>
        <v>-5113465.9436742319</v>
      </c>
      <c r="I20" s="122">
        <f t="shared" si="31"/>
        <v>-2694993.0427855742</v>
      </c>
      <c r="J20" s="122">
        <f t="shared" si="31"/>
        <v>411888.4704001699</v>
      </c>
      <c r="K20" s="122">
        <f t="shared" si="32"/>
        <v>190087.42934169984</v>
      </c>
      <c r="L20" s="122">
        <f t="shared" ref="L20:M20" si="35">($B71*S$68+$C71*S$72+$D71*S$76)*L98</f>
        <v>524345.41580709442</v>
      </c>
      <c r="M20" s="122">
        <f t="shared" si="35"/>
        <v>582968.83532660431</v>
      </c>
      <c r="N20" s="224">
        <f>SUM(B20:M20)</f>
        <v>-6773743.1089661252</v>
      </c>
      <c r="O20" s="121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6">
        <f t="shared" ref="B21:G21" si="36">SUM(B19:B20)</f>
        <v>679213.36609008501</v>
      </c>
      <c r="C21" s="116">
        <f t="shared" si="36"/>
        <v>-398660.55893778708</v>
      </c>
      <c r="D21" s="116">
        <f t="shared" si="36"/>
        <v>-20532.040685098458</v>
      </c>
      <c r="E21" s="116">
        <f t="shared" si="36"/>
        <v>120648.27683686078</v>
      </c>
      <c r="F21" s="116">
        <f t="shared" ref="F21" si="37">SUM(F19:F20)</f>
        <v>-337383.12550102995</v>
      </c>
      <c r="G21" s="116">
        <f t="shared" si="36"/>
        <v>-600052.83034256997</v>
      </c>
      <c r="H21" s="116">
        <f t="shared" ref="H21:L21" si="38">SUM(H19:H20)</f>
        <v>-5179057.1408083569</v>
      </c>
      <c r="I21" s="116">
        <f t="shared" si="38"/>
        <v>-2732089.7356320741</v>
      </c>
      <c r="J21" s="116">
        <f t="shared" si="38"/>
        <v>417558.13255916996</v>
      </c>
      <c r="K21" s="116">
        <f t="shared" si="38"/>
        <v>203197.99548558885</v>
      </c>
      <c r="L21" s="116">
        <f t="shared" si="38"/>
        <v>606381.07865356631</v>
      </c>
      <c r="M21" s="116">
        <f t="shared" ref="M21" si="39">SUM(M19:M20)</f>
        <v>698666.48487193778</v>
      </c>
      <c r="N21" s="225">
        <f>SUM(B21:M21)</f>
        <v>-6542110.0974097066</v>
      </c>
      <c r="O21" s="126">
        <f>N21/N32</f>
        <v>-3.921326147620894E-2</v>
      </c>
    </row>
    <row r="22" spans="1:28">
      <c r="A22" s="91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224"/>
      <c r="O22" s="121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122">
        <f>($B72*I$68+$C72*I$72+$D72*I$76)*B99</f>
        <v>145170.8904656111</v>
      </c>
      <c r="C23" s="122">
        <f>($B72*J$68+$C72*J$72+$D72*J$76)*C99</f>
        <v>-87408.142161527299</v>
      </c>
      <c r="D23" s="122">
        <f t="shared" ref="D23:E23" si="40">($B72*K$68+$C72*K$72+$D72*K$76)*D99</f>
        <v>9818.756082236323</v>
      </c>
      <c r="E23" s="122">
        <f t="shared" si="40"/>
        <v>27377.917784388486</v>
      </c>
      <c r="F23" s="122">
        <f>($B72*M$68+$C72*M$72+$D72*M$76+E72*M80+F72*M84)*F99</f>
        <v>70571.446410472374</v>
      </c>
      <c r="G23" s="122">
        <f t="shared" ref="G23:J24" si="41">($E72*N$80+$F72*N$84)*G99</f>
        <v>-13402.210314277792</v>
      </c>
      <c r="H23" s="122">
        <f t="shared" si="41"/>
        <v>-115944.50204494403</v>
      </c>
      <c r="I23" s="122">
        <f t="shared" si="41"/>
        <v>-60891.28134122202</v>
      </c>
      <c r="J23" s="122">
        <f t="shared" si="41"/>
        <v>9306.3011051111844</v>
      </c>
      <c r="K23" s="122">
        <f t="shared" ref="K23:K24" si="42">($B72*R$68+$C72*R$72+$D72*R$76)*K99</f>
        <v>16536.301193750151</v>
      </c>
      <c r="L23" s="122">
        <f t="shared" ref="L23:M23" si="43">($B72*S$68+$C72*S$72+$D72*S$76)*L99</f>
        <v>102260.14291611768</v>
      </c>
      <c r="M23" s="122">
        <f t="shared" si="43"/>
        <v>143026.08663813907</v>
      </c>
      <c r="N23" s="224">
        <f>SUM(B23:M23)</f>
        <v>246421.70673385522</v>
      </c>
      <c r="O23" s="121"/>
    </row>
    <row r="24" spans="1:28" s="88" customFormat="1">
      <c r="A24" s="97" t="s">
        <v>6</v>
      </c>
      <c r="B24" s="122">
        <f>($B73*I$68+$C73*I$72+$D73*I$76)*B100</f>
        <v>542520.52004266833</v>
      </c>
      <c r="C24" s="122">
        <f>($B73*J$68+$C73*J$72+$D73*J$76)*C100</f>
        <v>-317479.01348266267</v>
      </c>
      <c r="D24" s="122">
        <f t="shared" ref="D24" si="44">($B73*K$68+$C73*K$72+$D73*K$76)*D100</f>
        <v>-26745.791487998671</v>
      </c>
      <c r="E24" s="122">
        <f t="shared" ref="E24" si="45">($B73*L$68+$C73*L$72+$D73*L$76)*E100</f>
        <v>95790.872959999979</v>
      </c>
      <c r="F24" s="356">
        <f>($B73*M$68+$C73*M$72+$D73*M$76+E73*M80+F73*M84)*F100</f>
        <v>73630.378693861305</v>
      </c>
      <c r="G24" s="122">
        <f t="shared" si="41"/>
        <v>-188988.67453819467</v>
      </c>
      <c r="H24" s="122">
        <f t="shared" si="41"/>
        <v>-1634968.9527048555</v>
      </c>
      <c r="I24" s="122">
        <f t="shared" si="41"/>
        <v>-856819.70967152494</v>
      </c>
      <c r="J24" s="122">
        <f t="shared" si="41"/>
        <v>130672.57385000105</v>
      </c>
      <c r="K24" s="122">
        <f t="shared" si="42"/>
        <v>170928.50327466652</v>
      </c>
      <c r="L24" s="122">
        <f t="shared" ref="L24:M24" si="46">($B73*S$68+$C73*S$72+$D73*S$76)*L100</f>
        <v>489046.10388978035</v>
      </c>
      <c r="M24" s="122">
        <f t="shared" si="46"/>
        <v>541220.64921600395</v>
      </c>
      <c r="N24" s="224">
        <f>SUM(B24:M24)</f>
        <v>-981192.53995825443</v>
      </c>
      <c r="O24" s="121"/>
    </row>
    <row r="25" spans="1:28">
      <c r="A25" s="90" t="s">
        <v>34</v>
      </c>
      <c r="B25" s="116">
        <f t="shared" ref="B25:G25" si="47">SUM(B23:B24)</f>
        <v>687691.41050827946</v>
      </c>
      <c r="C25" s="116">
        <f t="shared" si="47"/>
        <v>-404887.15564418997</v>
      </c>
      <c r="D25" s="116">
        <f t="shared" si="47"/>
        <v>-16927.035405762348</v>
      </c>
      <c r="E25" s="116">
        <f t="shared" si="47"/>
        <v>123168.79074438846</v>
      </c>
      <c r="F25" s="116">
        <f t="shared" ref="F25" si="48">SUM(F23:F24)</f>
        <v>144201.82510433369</v>
      </c>
      <c r="G25" s="116">
        <f t="shared" si="47"/>
        <v>-202390.88485247246</v>
      </c>
      <c r="H25" s="116">
        <f t="shared" ref="H25:L25" si="49">SUM(H23:H24)</f>
        <v>-1750913.4547497996</v>
      </c>
      <c r="I25" s="116">
        <f t="shared" si="49"/>
        <v>-917710.99101274693</v>
      </c>
      <c r="J25" s="116">
        <f t="shared" si="49"/>
        <v>139978.87495511223</v>
      </c>
      <c r="K25" s="116">
        <f t="shared" si="49"/>
        <v>187464.80446841667</v>
      </c>
      <c r="L25" s="116">
        <f t="shared" si="49"/>
        <v>591306.24680589803</v>
      </c>
      <c r="M25" s="116">
        <f t="shared" ref="M25" si="50">SUM(M23:M24)</f>
        <v>684246.73585414304</v>
      </c>
      <c r="N25" s="225">
        <f t="shared" ref="N25" si="51">SUM(N23:N24)</f>
        <v>-734770.83322439925</v>
      </c>
      <c r="O25" s="126">
        <f>N25/N32</f>
        <v>-4.404199926217758E-3</v>
      </c>
    </row>
    <row r="26" spans="1:28">
      <c r="A26" s="91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224"/>
      <c r="O26" s="121"/>
    </row>
    <row r="27" spans="1:28">
      <c r="A27" s="97" t="s">
        <v>5</v>
      </c>
      <c r="B27" s="122">
        <f t="shared" ref="B27:E30" si="52">($B74*I$68+$C74*I$72+$D74*I$76)*B101</f>
        <v>0</v>
      </c>
      <c r="C27" s="122">
        <f t="shared" si="52"/>
        <v>0</v>
      </c>
      <c r="D27" s="122">
        <f t="shared" si="52"/>
        <v>0</v>
      </c>
      <c r="E27" s="122">
        <f t="shared" si="52"/>
        <v>0</v>
      </c>
      <c r="F27" s="122">
        <f>($B74*M$68+$C74*M$72+$D74*M$76+E74*M80+F74*M84)*F101</f>
        <v>-49849.771545758304</v>
      </c>
      <c r="G27" s="122">
        <f t="shared" ref="G27:J30" si="53">($E74*N$80+$F74*N$84)*G101</f>
        <v>-40956.290840645881</v>
      </c>
      <c r="H27" s="122">
        <f t="shared" si="53"/>
        <v>-366040.75378538627</v>
      </c>
      <c r="I27" s="122">
        <f t="shared" si="53"/>
        <v>-194474.40968329101</v>
      </c>
      <c r="J27" s="122">
        <f t="shared" si="53"/>
        <v>29209.246106483566</v>
      </c>
      <c r="K27" s="122">
        <f t="shared" ref="K27:M30" si="54">($B74*R$68+$C74*R$72+$D74*R$76)*K101</f>
        <v>0</v>
      </c>
      <c r="L27" s="122">
        <f t="shared" si="54"/>
        <v>0</v>
      </c>
      <c r="M27" s="122">
        <f t="shared" si="54"/>
        <v>0</v>
      </c>
      <c r="N27" s="224">
        <f t="shared" ref="N27:N30" si="55">SUM(B27:M27)</f>
        <v>-622111.97974859783</v>
      </c>
      <c r="O27" s="121">
        <f>N27/$N$32</f>
        <v>-3.728925280395813E-3</v>
      </c>
    </row>
    <row r="28" spans="1:28">
      <c r="A28" s="97" t="s">
        <v>24</v>
      </c>
      <c r="B28" s="122">
        <f t="shared" si="52"/>
        <v>361558.15991750103</v>
      </c>
      <c r="C28" s="122">
        <f t="shared" si="52"/>
        <v>-209218.26665599737</v>
      </c>
      <c r="D28" s="122">
        <f t="shared" si="52"/>
        <v>-17587.781418665792</v>
      </c>
      <c r="E28" s="122">
        <f t="shared" si="52"/>
        <v>62723.131295999978</v>
      </c>
      <c r="F28" s="122">
        <f>($B75*M$68+$C75*M$72+$D75*M$76+E75*M80+F75*M84)*F102</f>
        <v>2050.1309297779226</v>
      </c>
      <c r="G28" s="122">
        <f t="shared" si="53"/>
        <v>-159701.87547555572</v>
      </c>
      <c r="H28" s="122">
        <f t="shared" si="53"/>
        <v>-1392398.3112877035</v>
      </c>
      <c r="I28" s="122">
        <f t="shared" si="53"/>
        <v>-731254.31405791431</v>
      </c>
      <c r="J28" s="122">
        <f t="shared" si="53"/>
        <v>111761.03838083422</v>
      </c>
      <c r="K28" s="122">
        <f t="shared" si="54"/>
        <v>113037.5786032499</v>
      </c>
      <c r="L28" s="122">
        <f t="shared" si="54"/>
        <v>323413.51120487665</v>
      </c>
      <c r="M28" s="122">
        <f t="shared" si="54"/>
        <v>353121.13706975261</v>
      </c>
      <c r="N28" s="224">
        <f t="shared" si="55"/>
        <v>-1182495.8614938441</v>
      </c>
      <c r="O28" s="121">
        <f>N28/$N$32</f>
        <v>-7.0878537231668847E-3</v>
      </c>
    </row>
    <row r="29" spans="1:28" s="99" customFormat="1">
      <c r="A29" s="98" t="s">
        <v>8</v>
      </c>
      <c r="B29" s="123">
        <f t="shared" si="52"/>
        <v>1430325.4399795551</v>
      </c>
      <c r="C29" s="123">
        <f t="shared" si="52"/>
        <v>-860065.66908166162</v>
      </c>
      <c r="D29" s="123">
        <f t="shared" si="52"/>
        <v>109632.22081716802</v>
      </c>
      <c r="E29" s="123">
        <f t="shared" si="52"/>
        <v>222373.77016638598</v>
      </c>
      <c r="F29" s="123">
        <f>($B76*M$68+$C76*M$72+$D76*M$76+E76*M80+F76*M84)*F103</f>
        <v>585897.70629708446</v>
      </c>
      <c r="G29" s="123">
        <f t="shared" si="53"/>
        <v>-36201.708834166704</v>
      </c>
      <c r="H29" s="123">
        <f t="shared" si="53"/>
        <v>-313186.33311416558</v>
      </c>
      <c r="I29" s="123">
        <f t="shared" si="53"/>
        <v>-163416.82860066614</v>
      </c>
      <c r="J29" s="123">
        <f t="shared" si="53"/>
        <v>24975.763017333527</v>
      </c>
      <c r="K29" s="123">
        <f t="shared" si="54"/>
        <v>129756.72991875105</v>
      </c>
      <c r="L29" s="123">
        <f t="shared" si="54"/>
        <v>905413.00129230996</v>
      </c>
      <c r="M29" s="123">
        <f t="shared" si="54"/>
        <v>1369175.7846927503</v>
      </c>
      <c r="N29" s="227">
        <f t="shared" si="55"/>
        <v>3404679.8765506782</v>
      </c>
      <c r="O29" s="121">
        <f>N29/$N$32</f>
        <v>2.0407574964968891E-2</v>
      </c>
    </row>
    <row r="30" spans="1:28">
      <c r="A30" s="228" t="s">
        <v>59</v>
      </c>
      <c r="B30" s="122">
        <f t="shared" si="52"/>
        <v>35284.957470111127</v>
      </c>
      <c r="C30" s="122">
        <f t="shared" si="52"/>
        <v>-21054.796599444351</v>
      </c>
      <c r="D30" s="122">
        <f t="shared" si="52"/>
        <v>1794.4209459445283</v>
      </c>
      <c r="E30" s="122">
        <f t="shared" si="52"/>
        <v>8592.8737011109679</v>
      </c>
      <c r="F30" s="122">
        <f>($B77*M$68+$C77*M$72+$D77*M$76+E77*M80+F77*M84)*F104</f>
        <v>30182.871765666721</v>
      </c>
      <c r="G30" s="122">
        <f t="shared" si="53"/>
        <v>-734.15328272222303</v>
      </c>
      <c r="H30" s="122">
        <f t="shared" si="53"/>
        <v>-6351.2685440555333</v>
      </c>
      <c r="I30" s="122">
        <f t="shared" si="53"/>
        <v>-3335.5344407777666</v>
      </c>
      <c r="J30" s="122">
        <f t="shared" si="53"/>
        <v>509.78542688889291</v>
      </c>
      <c r="K30" s="122">
        <f t="shared" si="54"/>
        <v>5316.3413755556103</v>
      </c>
      <c r="L30" s="122">
        <f t="shared" si="54"/>
        <v>28272.437338110976</v>
      </c>
      <c r="M30" s="122">
        <f t="shared" si="54"/>
        <v>34947.549181888993</v>
      </c>
      <c r="N30" s="224">
        <f t="shared" si="55"/>
        <v>113425.48433827792</v>
      </c>
      <c r="O30" s="121">
        <f>N30/$N$32</f>
        <v>6.7986981405030106E-4</v>
      </c>
    </row>
    <row r="31" spans="1:28">
      <c r="A31" s="91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226"/>
      <c r="O31" s="121"/>
    </row>
    <row r="32" spans="1:28" s="91" customFormat="1">
      <c r="A32" s="96" t="s">
        <v>21</v>
      </c>
      <c r="B32" s="162">
        <f t="shared" ref="B32:O32" si="56">SUM(B9,B13,B17,B21,B25,B27:B30)</f>
        <v>93836510.198020741</v>
      </c>
      <c r="C32" s="162">
        <f t="shared" si="56"/>
        <v>-56457374.093504317</v>
      </c>
      <c r="D32" s="162">
        <f t="shared" si="56"/>
        <v>5826160.2417845363</v>
      </c>
      <c r="E32" s="162">
        <f t="shared" si="56"/>
        <v>18971925.94518207</v>
      </c>
      <c r="F32" s="162">
        <f t="shared" si="56"/>
        <v>51564996.053110488</v>
      </c>
      <c r="G32" s="162">
        <f t="shared" si="56"/>
        <v>-9041679.7696651537</v>
      </c>
      <c r="H32" s="162">
        <f t="shared" si="56"/>
        <v>-78225520.060442477</v>
      </c>
      <c r="I32" s="162">
        <f t="shared" si="56"/>
        <v>-41128438.251574971</v>
      </c>
      <c r="J32" s="162">
        <f t="shared" si="56"/>
        <v>6293426.6136939274</v>
      </c>
      <c r="K32" s="162">
        <f t="shared" si="56"/>
        <v>11927261.099303102</v>
      </c>
      <c r="L32" s="162">
        <f t="shared" si="56"/>
        <v>69401134.564432815</v>
      </c>
      <c r="M32" s="162">
        <f t="shared" si="56"/>
        <v>93865720.690619394</v>
      </c>
      <c r="N32" s="229">
        <f t="shared" si="56"/>
        <v>166834123.23096019</v>
      </c>
      <c r="O32" s="164">
        <f t="shared" si="56"/>
        <v>1</v>
      </c>
    </row>
    <row r="33" spans="1:15" s="91" customFormat="1">
      <c r="A33" s="96" t="s">
        <v>84</v>
      </c>
      <c r="B33" s="163">
        <f>IF('Actual Total Usage'!B32=0,0,B32/'Actual Total Usage'!B32)</f>
        <v>4.4303508724958265E-2</v>
      </c>
      <c r="C33" s="163">
        <f>IF('Actual Total Usage'!C32=0,0,C32/'Actual Total Usage'!C32)</f>
        <v>-2.8700871594628429E-2</v>
      </c>
      <c r="D33" s="163">
        <f>IF('Actual Total Usage'!D32=0,0,D32/'Actual Total Usage'!D32)</f>
        <v>2.9971270496128325E-3</v>
      </c>
      <c r="E33" s="163">
        <f>IF('Actual Total Usage'!E32=0,0,E32/'Actual Total Usage'!E32)</f>
        <v>1.1163694392083746E-2</v>
      </c>
      <c r="F33" s="163">
        <f>IF('Actual Total Usage'!F32=0,0,F32/'Actual Total Usage'!F32)</f>
        <v>3.4570235811225779E-2</v>
      </c>
      <c r="G33" s="163">
        <f>IF('Actual Total Usage'!G32=0,0,G32/'Actual Total Usage'!G32)</f>
        <v>-6.4368454844058228E-3</v>
      </c>
      <c r="H33" s="163">
        <f>IF('Actual Total Usage'!H32=0,0,H32/'Actual Total Usage'!H32)</f>
        <v>-5.4032385494436258E-2</v>
      </c>
      <c r="I33" s="163">
        <f>IF('Actual Total Usage'!I32=0,0,I32/'Actual Total Usage'!I32)</f>
        <v>-2.5920055465761933E-2</v>
      </c>
      <c r="J33" s="163">
        <f>IF('Actual Total Usage'!J32=0,0,J32/'Actual Total Usage'!J32)</f>
        <v>4.2895608567437215E-3</v>
      </c>
      <c r="K33" s="163">
        <f>IF('Actual Total Usage'!K32=0,0,K32/'Actual Total Usage'!K32)</f>
        <v>8.3982316227510598E-3</v>
      </c>
      <c r="L33" s="163">
        <f>IF('Actual Total Usage'!L32=0,0,L32/'Actual Total Usage'!L32)</f>
        <v>4.3630172583813714E-2</v>
      </c>
      <c r="M33" s="163">
        <f>IF('Actual Total Usage'!M32=0,0,M32/'Actual Total Usage'!M32)</f>
        <v>4.9063972998541663E-2</v>
      </c>
      <c r="N33" s="163">
        <f>N32/'Actual Total Usage'!N32</f>
        <v>8.3207342740753889E-3</v>
      </c>
      <c r="O33" s="165"/>
    </row>
    <row r="34" spans="1:15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30"/>
      <c r="O34" s="121"/>
    </row>
    <row r="35" spans="1:15">
      <c r="A35" s="67" t="s">
        <v>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30"/>
      <c r="O35" s="121"/>
    </row>
    <row r="36" spans="1:15">
      <c r="A36" t="s">
        <v>44</v>
      </c>
      <c r="B36" s="122">
        <f t="array" ref="B36:M36">TRANSPOSE('Summary Sheet_ Pre Migration'!F12:F23)</f>
        <v>83905327.63374868</v>
      </c>
      <c r="C36" s="122">
        <v>-52866388.744541407</v>
      </c>
      <c r="D36" s="122">
        <v>5684788.8911022069</v>
      </c>
      <c r="E36" s="122">
        <v>10522398.951545874</v>
      </c>
      <c r="F36" s="122">
        <v>17148010.417034343</v>
      </c>
      <c r="G36" s="122">
        <v>-5572755.3521982115</v>
      </c>
      <c r="H36" s="122">
        <v>-60632708.159865469</v>
      </c>
      <c r="I36" s="122">
        <v>-31772221.999432098</v>
      </c>
      <c r="J36" s="122">
        <v>2059115.7977056094</v>
      </c>
      <c r="K36" s="122">
        <v>7093494.1109699905</v>
      </c>
      <c r="L36" s="122">
        <v>77005916.314229101</v>
      </c>
      <c r="M36" s="122">
        <v>82672720.116988808</v>
      </c>
      <c r="N36" s="226">
        <f>SUM(B36:M36)</f>
        <v>135247697.97728741</v>
      </c>
      <c r="O36" s="121"/>
    </row>
    <row r="37" spans="1:15">
      <c r="A37" t="s">
        <v>84</v>
      </c>
      <c r="B37" s="161">
        <f>IF('Actual Total Usage'!B32=0,0,B36/'Actual Total Usage'!B32)</f>
        <v>3.9614649000135921E-2</v>
      </c>
      <c r="C37" s="161">
        <f>IF('Actual Total Usage'!C32=0,0,C36/'Actual Total Usage'!C32)</f>
        <v>-2.6875345504306165E-2</v>
      </c>
      <c r="D37" s="161">
        <f>IF('Actual Total Usage'!D32=0,0,D36/'Actual Total Usage'!D32)</f>
        <v>2.9244019817145062E-3</v>
      </c>
      <c r="E37" s="161">
        <f>IF('Actual Total Usage'!E32=0,0,E36/'Actual Total Usage'!E32)</f>
        <v>6.1917196233032858E-3</v>
      </c>
      <c r="F37" s="161">
        <f>IF('Actual Total Usage'!F32=0,0,F36/'Actual Total Usage'!F32)</f>
        <v>1.1496379505190982E-2</v>
      </c>
      <c r="G37" s="161">
        <f>IF('Actual Total Usage'!G32=0,0,G36/'Actual Total Usage'!G32)</f>
        <v>-3.9672899326563815E-3</v>
      </c>
      <c r="H37" s="161">
        <f>IF('Actual Total Usage'!H32=0,0,H36/'Actual Total Usage'!H32)</f>
        <v>-4.1880576291907501E-2</v>
      </c>
      <c r="I37" s="161">
        <f>IF('Actual Total Usage'!I32=0,0,I36/'Actual Total Usage'!I32)</f>
        <v>-2.002356013273237E-2</v>
      </c>
      <c r="J37" s="161">
        <f>IF('Actual Total Usage'!J32=0,0,J36/'Actual Total Usage'!J32)</f>
        <v>1.4034806580760699E-3</v>
      </c>
      <c r="K37" s="161">
        <f>IF('Actual Total Usage'!K32=0,0,K36/'Actual Total Usage'!K32)</f>
        <v>4.9946761509251578E-3</v>
      </c>
      <c r="L37" s="161">
        <f>IF('Actual Total Usage'!L32=0,0,L36/'Actual Total Usage'!L32)</f>
        <v>4.8411044572265194E-2</v>
      </c>
      <c r="M37" s="161">
        <f>IF('Actual Total Usage'!M32=0,0,M36/'Actual Total Usage'!M32)</f>
        <v>4.3213348575943958E-2</v>
      </c>
      <c r="N37" s="161">
        <f>N36/'Actual Total Usage'!N32</f>
        <v>6.7453835837378243E-3</v>
      </c>
      <c r="O37" s="121"/>
    </row>
    <row r="38" spans="1:15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30"/>
      <c r="O38" s="121"/>
    </row>
    <row r="39" spans="1:15">
      <c r="A39" s="67" t="s">
        <v>52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30"/>
      <c r="O39" s="121"/>
    </row>
    <row r="40" spans="1:15">
      <c r="A40" t="s">
        <v>48</v>
      </c>
      <c r="B40" s="125">
        <f>B36-B32</f>
        <v>-9931182.564272061</v>
      </c>
      <c r="C40" s="125">
        <f t="shared" ref="C40:M40" si="57">C36-C32</f>
        <v>3590985.3489629105</v>
      </c>
      <c r="D40" s="125">
        <f t="shared" si="57"/>
        <v>-141371.35068232939</v>
      </c>
      <c r="E40" s="125">
        <f t="shared" si="57"/>
        <v>-8449526.9936361965</v>
      </c>
      <c r="F40" s="125">
        <f t="shared" si="57"/>
        <v>-34416985.636076145</v>
      </c>
      <c r="G40" s="125">
        <f t="shared" si="57"/>
        <v>3468924.4174669422</v>
      </c>
      <c r="H40" s="125">
        <f t="shared" si="57"/>
        <v>17592811.900577009</v>
      </c>
      <c r="I40" s="125">
        <f t="shared" si="57"/>
        <v>9356216.2521428727</v>
      </c>
      <c r="J40" s="125">
        <f t="shared" si="57"/>
        <v>-4234310.8159883181</v>
      </c>
      <c r="K40" s="125">
        <f t="shared" si="57"/>
        <v>-4833766.9883331116</v>
      </c>
      <c r="L40" s="125">
        <f t="shared" si="57"/>
        <v>7604781.7497962862</v>
      </c>
      <c r="M40" s="125">
        <f t="shared" si="57"/>
        <v>-11193000.573630586</v>
      </c>
      <c r="N40" s="230">
        <f>N36-N32</f>
        <v>-31586425.253672779</v>
      </c>
      <c r="O40" s="121"/>
    </row>
    <row r="41" spans="1:15">
      <c r="N41" s="30"/>
    </row>
    <row r="43" spans="1:15">
      <c r="A43" s="67" t="s">
        <v>47</v>
      </c>
      <c r="O43" s="104" t="s">
        <v>50</v>
      </c>
    </row>
    <row r="44" spans="1:15">
      <c r="A44" s="67" t="s">
        <v>26</v>
      </c>
      <c r="B44" s="63">
        <f t="shared" ref="B44:M44" si="58">B7</f>
        <v>43101</v>
      </c>
      <c r="C44" s="63">
        <f t="shared" si="58"/>
        <v>43132</v>
      </c>
      <c r="D44" s="63">
        <f t="shared" si="58"/>
        <v>43160</v>
      </c>
      <c r="E44" s="63">
        <f t="shared" si="58"/>
        <v>43191</v>
      </c>
      <c r="F44" s="63">
        <f t="shared" si="58"/>
        <v>43221</v>
      </c>
      <c r="G44" s="63">
        <f t="shared" si="58"/>
        <v>43252</v>
      </c>
      <c r="H44" s="63">
        <f t="shared" si="58"/>
        <v>43282</v>
      </c>
      <c r="I44" s="63">
        <f t="shared" si="58"/>
        <v>43313</v>
      </c>
      <c r="J44" s="63">
        <f t="shared" si="58"/>
        <v>43344</v>
      </c>
      <c r="K44" s="63">
        <f t="shared" si="58"/>
        <v>43374</v>
      </c>
      <c r="L44" s="63">
        <f t="shared" si="58"/>
        <v>43405</v>
      </c>
      <c r="M44" s="63">
        <f t="shared" si="58"/>
        <v>43435</v>
      </c>
      <c r="N44" s="86" t="s">
        <v>20</v>
      </c>
      <c r="O44" s="104" t="s">
        <v>51</v>
      </c>
    </row>
    <row r="45" spans="1:15">
      <c r="A45" s="90" t="s">
        <v>54</v>
      </c>
      <c r="B45" s="4">
        <f t="shared" ref="B45:M45" si="59">IF(B$32=0,0,B9+B$40*(B9/B$32))</f>
        <v>66877985.715663314</v>
      </c>
      <c r="C45" s="4">
        <f t="shared" si="59"/>
        <v>-42015191.180842318</v>
      </c>
      <c r="D45" s="4">
        <f t="shared" si="59"/>
        <v>4288040.5180652607</v>
      </c>
      <c r="E45" s="4">
        <f t="shared" si="59"/>
        <v>9065379.7749847509</v>
      </c>
      <c r="F45" s="4">
        <f t="shared" si="59"/>
        <v>16312540.537563369</v>
      </c>
      <c r="G45" s="4">
        <f t="shared" si="59"/>
        <v>-3591209.1667542555</v>
      </c>
      <c r="H45" s="4">
        <f t="shared" si="59"/>
        <v>-39087187.069650702</v>
      </c>
      <c r="I45" s="4">
        <f t="shared" si="59"/>
        <v>-20480515.100138307</v>
      </c>
      <c r="J45" s="4">
        <f t="shared" si="59"/>
        <v>1328013.4805501606</v>
      </c>
      <c r="K45" s="4">
        <f t="shared" si="59"/>
        <v>5997526.5328236045</v>
      </c>
      <c r="L45" s="4">
        <f t="shared" si="59"/>
        <v>63479941.733475931</v>
      </c>
      <c r="M45" s="4">
        <f t="shared" si="59"/>
        <v>65908172.360854551</v>
      </c>
      <c r="N45" s="4">
        <f>SUM(B45:M45)</f>
        <v>128083498.13659537</v>
      </c>
      <c r="O45" s="198">
        <f t="shared" ref="O45:O57" si="60">N45/N$59</f>
        <v>0.94702904413282374</v>
      </c>
    </row>
    <row r="46" spans="1:15">
      <c r="A46" s="90" t="s">
        <v>36</v>
      </c>
      <c r="B46" s="4">
        <f t="shared" ref="B46:M46" si="61">IF(B$32=0,0,B11+B$40*(B11/B$32))</f>
        <v>1062589.1911901003</v>
      </c>
      <c r="C46" s="4">
        <f t="shared" si="61"/>
        <v>-669634.00379598024</v>
      </c>
      <c r="D46" s="4">
        <f t="shared" si="61"/>
        <v>78514.517845554539</v>
      </c>
      <c r="E46" s="4">
        <f t="shared" si="61"/>
        <v>124376.19689582882</v>
      </c>
      <c r="F46" s="4">
        <f t="shared" si="61"/>
        <v>217939.19901774998</v>
      </c>
      <c r="G46" s="4">
        <f t="shared" si="61"/>
        <v>-30845.699786461424</v>
      </c>
      <c r="H46" s="4">
        <f t="shared" si="61"/>
        <v>-335967.39305596804</v>
      </c>
      <c r="I46" s="4">
        <f t="shared" si="61"/>
        <v>-176022.18324000266</v>
      </c>
      <c r="J46" s="4">
        <f t="shared" si="61"/>
        <v>11392.144880803196</v>
      </c>
      <c r="K46" s="4">
        <f t="shared" si="61"/>
        <v>80852.267850987395</v>
      </c>
      <c r="L46" s="4">
        <f t="shared" si="61"/>
        <v>933806.08954787173</v>
      </c>
      <c r="M46" s="4">
        <f t="shared" si="61"/>
        <v>1036857.1530419596</v>
      </c>
      <c r="N46" s="4">
        <f>SUM(B46:M46)</f>
        <v>2333857.480392443</v>
      </c>
      <c r="O46" s="198">
        <f t="shared" si="60"/>
        <v>1.7256171567403496E-2</v>
      </c>
    </row>
    <row r="47" spans="1:15">
      <c r="A47" s="90" t="s">
        <v>161</v>
      </c>
      <c r="B47" s="4">
        <f t="shared" ref="B47:M47" si="62">IF(B$32=0,0,B12+B$40*(B12/B$32))</f>
        <v>7564321.0367255788</v>
      </c>
      <c r="C47" s="4">
        <f t="shared" si="62"/>
        <v>-4812299.6869630916</v>
      </c>
      <c r="D47" s="4">
        <f t="shared" si="62"/>
        <v>666994.54677685536</v>
      </c>
      <c r="E47" s="4">
        <f t="shared" si="62"/>
        <v>688628.69162838906</v>
      </c>
      <c r="F47" s="4">
        <f t="shared" si="62"/>
        <v>644961.41896647867</v>
      </c>
      <c r="G47" s="4">
        <f t="shared" si="62"/>
        <v>-665270.00660253956</v>
      </c>
      <c r="H47" s="4">
        <f t="shared" si="62"/>
        <v>-7243933.797470306</v>
      </c>
      <c r="I47" s="4">
        <f t="shared" si="62"/>
        <v>-3796392.1465205364</v>
      </c>
      <c r="J47" s="4">
        <f t="shared" si="62"/>
        <v>246104.71416814654</v>
      </c>
      <c r="K47" s="4">
        <f t="shared" si="62"/>
        <v>435153.90161514917</v>
      </c>
      <c r="L47" s="4">
        <f t="shared" si="62"/>
        <v>5969061.5170591315</v>
      </c>
      <c r="M47" s="4">
        <f t="shared" si="62"/>
        <v>7377286.5917271767</v>
      </c>
      <c r="N47" s="4">
        <f t="shared" ref="N47:N57" si="63">SUM(B47:M47)</f>
        <v>7074616.781110432</v>
      </c>
      <c r="O47" s="198">
        <f t="shared" si="60"/>
        <v>5.2308592951419361E-2</v>
      </c>
    </row>
    <row r="48" spans="1:15">
      <c r="A48" s="90" t="s">
        <v>37</v>
      </c>
      <c r="B48" s="4">
        <f t="shared" ref="B48:M48" si="64">IF(B$32=0,0,B15+B$40*(B15/B$32))</f>
        <v>496056.77448765596</v>
      </c>
      <c r="C48" s="4">
        <f t="shared" si="64"/>
        <v>-315282.30709854752</v>
      </c>
      <c r="D48" s="4">
        <f t="shared" si="64"/>
        <v>41118.281201910257</v>
      </c>
      <c r="E48" s="4">
        <f t="shared" si="64"/>
        <v>49140.353601177325</v>
      </c>
      <c r="F48" s="4">
        <f t="shared" si="64"/>
        <v>62989.792565281576</v>
      </c>
      <c r="G48" s="4">
        <f t="shared" si="64"/>
        <v>-30486.462379306384</v>
      </c>
      <c r="H48" s="4">
        <f t="shared" si="64"/>
        <v>-332766.80839914933</v>
      </c>
      <c r="I48" s="4">
        <f t="shared" si="64"/>
        <v>-174177.40552695579</v>
      </c>
      <c r="J48" s="4">
        <f t="shared" si="64"/>
        <v>11200.932748190295</v>
      </c>
      <c r="K48" s="4">
        <f t="shared" si="64"/>
        <v>31002.840235514519</v>
      </c>
      <c r="L48" s="4">
        <f t="shared" si="64"/>
        <v>398332.78276456054</v>
      </c>
      <c r="M48" s="4">
        <f t="shared" si="64"/>
        <v>473804.54119048052</v>
      </c>
      <c r="N48" s="4">
        <f t="shared" si="63"/>
        <v>710933.315390812</v>
      </c>
      <c r="O48" s="198">
        <f t="shared" si="60"/>
        <v>5.2565280298537964E-3</v>
      </c>
    </row>
    <row r="49" spans="1:16">
      <c r="A49" s="90" t="s">
        <v>154</v>
      </c>
      <c r="B49" s="4">
        <f t="shared" ref="B49:M49" si="65">IF(B$32=0,0,B16+B$40*(B16/B$32))</f>
        <v>5048346.1800966635</v>
      </c>
      <c r="C49" s="4">
        <f t="shared" si="65"/>
        <v>-3280556.2383542312</v>
      </c>
      <c r="D49" s="4">
        <f t="shared" si="65"/>
        <v>555109.29428621579</v>
      </c>
      <c r="E49" s="4">
        <f t="shared" si="65"/>
        <v>296756.52374752308</v>
      </c>
      <c r="F49" s="4">
        <f t="shared" si="65"/>
        <v>-215160.43170677085</v>
      </c>
      <c r="G49" s="4">
        <f t="shared" si="65"/>
        <v>-613926.41265288694</v>
      </c>
      <c r="H49" s="4">
        <f t="shared" si="65"/>
        <v>-6650780.7822546046</v>
      </c>
      <c r="I49" s="4">
        <f t="shared" si="65"/>
        <v>-3481644.4132218948</v>
      </c>
      <c r="J49" s="4">
        <f t="shared" si="65"/>
        <v>225524.81154009455</v>
      </c>
      <c r="K49" s="4">
        <f t="shared" si="65"/>
        <v>169061.14966258011</v>
      </c>
      <c r="L49" s="4">
        <f t="shared" si="65"/>
        <v>3500999.3183762385</v>
      </c>
      <c r="M49" s="4">
        <f t="shared" si="65"/>
        <v>5110889.3040284691</v>
      </c>
      <c r="N49" s="4">
        <f t="shared" si="63"/>
        <v>664618.30354739632</v>
      </c>
      <c r="O49" s="198">
        <f t="shared" si="60"/>
        <v>4.9140821876244257E-3</v>
      </c>
    </row>
    <row r="50" spans="1:16">
      <c r="A50" s="90" t="s">
        <v>38</v>
      </c>
      <c r="B50" s="4">
        <f t="shared" ref="B50:M50" si="66">IF(B$32=0,0,B19+B$40*(B19/B$32))</f>
        <v>97536.1891262766</v>
      </c>
      <c r="C50" s="4">
        <f t="shared" si="66"/>
        <v>-61535.148748784326</v>
      </c>
      <c r="D50" s="4">
        <f t="shared" si="66"/>
        <v>7310.6394492631625</v>
      </c>
      <c r="E50" s="4">
        <f t="shared" si="66"/>
        <v>11201.428659611593</v>
      </c>
      <c r="F50" s="4">
        <f t="shared" si="66"/>
        <v>18069.082937380444</v>
      </c>
      <c r="G50" s="4">
        <f t="shared" si="66"/>
        <v>-4672.9666624490819</v>
      </c>
      <c r="H50" s="4">
        <f t="shared" si="66"/>
        <v>-50839.827087332975</v>
      </c>
      <c r="I50" s="4">
        <f t="shared" si="66"/>
        <v>-28657.64932172215</v>
      </c>
      <c r="J50" s="4">
        <f t="shared" si="66"/>
        <v>1855.0293243823721</v>
      </c>
      <c r="K50" s="4">
        <f t="shared" si="66"/>
        <v>7797.2405365212544</v>
      </c>
      <c r="L50" s="4">
        <f t="shared" si="66"/>
        <v>91024.900782749319</v>
      </c>
      <c r="M50" s="4">
        <f t="shared" si="66"/>
        <v>101901.30463687697</v>
      </c>
      <c r="N50" s="4">
        <f t="shared" si="63"/>
        <v>190990.22363277321</v>
      </c>
      <c r="O50" s="198">
        <f t="shared" si="60"/>
        <v>1.4121513821613938E-3</v>
      </c>
    </row>
    <row r="51" spans="1:16">
      <c r="A51" s="90" t="s">
        <v>155</v>
      </c>
      <c r="B51" s="4">
        <f t="shared" ref="B51:M51" si="67">IF(B$32=0,0,B20+B$40*(B20/B$32))</f>
        <v>509792.66288181877</v>
      </c>
      <c r="C51" s="4">
        <f t="shared" si="67"/>
        <v>-311768.50598754315</v>
      </c>
      <c r="D51" s="4">
        <f t="shared" si="67"/>
        <v>-27344.471673993587</v>
      </c>
      <c r="E51" s="4">
        <f t="shared" si="67"/>
        <v>55713.722989311675</v>
      </c>
      <c r="F51" s="4">
        <f t="shared" si="67"/>
        <v>-130266.30573294542</v>
      </c>
      <c r="G51" s="4">
        <f t="shared" si="67"/>
        <v>-365164.02237936488</v>
      </c>
      <c r="H51" s="4">
        <f t="shared" si="67"/>
        <v>-3963454.4840181284</v>
      </c>
      <c r="I51" s="4">
        <f t="shared" si="67"/>
        <v>-2081915.1147571066</v>
      </c>
      <c r="J51" s="4">
        <f t="shared" si="67"/>
        <v>134763.79536202794</v>
      </c>
      <c r="K51" s="4">
        <f t="shared" si="67"/>
        <v>113050.60309978094</v>
      </c>
      <c r="L51" s="4">
        <f t="shared" si="67"/>
        <v>581801.71639562538</v>
      </c>
      <c r="M51" s="4">
        <f t="shared" si="67"/>
        <v>513452.82394129422</v>
      </c>
      <c r="N51" s="4">
        <f t="shared" si="63"/>
        <v>-4971337.5798792224</v>
      </c>
      <c r="O51" s="198">
        <f t="shared" si="60"/>
        <v>-3.675728056172959E-2</v>
      </c>
    </row>
    <row r="52" spans="1:16">
      <c r="A52" s="90" t="s">
        <v>39</v>
      </c>
      <c r="B52" s="4">
        <f t="shared" ref="B52:M52" si="68">IF(B$32=0,0,B23+B$40*(B23/B$32))</f>
        <v>129806.73622341364</v>
      </c>
      <c r="C52" s="4">
        <f t="shared" si="68"/>
        <v>-81848.525496355025</v>
      </c>
      <c r="D52" s="4">
        <f t="shared" si="68"/>
        <v>9580.5046865038712</v>
      </c>
      <c r="E52" s="4">
        <f t="shared" si="68"/>
        <v>15184.614056703977</v>
      </c>
      <c r="F52" s="4">
        <f t="shared" si="68"/>
        <v>23468.631645884947</v>
      </c>
      <c r="G52" s="4">
        <f t="shared" si="68"/>
        <v>-8260.3278553121745</v>
      </c>
      <c r="H52" s="4">
        <f t="shared" si="68"/>
        <v>-89868.742960099553</v>
      </c>
      <c r="I52" s="4">
        <f t="shared" si="68"/>
        <v>-47039.260201646437</v>
      </c>
      <c r="J52" s="4">
        <f t="shared" si="68"/>
        <v>3044.8836222294531</v>
      </c>
      <c r="K52" s="4">
        <f t="shared" si="68"/>
        <v>9834.626253125829</v>
      </c>
      <c r="L52" s="4">
        <f t="shared" si="68"/>
        <v>113465.52267627214</v>
      </c>
      <c r="M52" s="4">
        <f t="shared" si="68"/>
        <v>125970.96728246554</v>
      </c>
      <c r="N52" s="4">
        <f t="shared" si="63"/>
        <v>203339.62993318622</v>
      </c>
      <c r="O52" s="198">
        <f t="shared" si="60"/>
        <v>1.5034609311230841E-3</v>
      </c>
    </row>
    <row r="53" spans="1:16">
      <c r="A53" s="90" t="s">
        <v>6</v>
      </c>
      <c r="B53" s="4">
        <f t="shared" ref="B53:M53" si="69">IF(B$32=0,0,B24+B$40*(B24/B$32))</f>
        <v>485102.88677777309</v>
      </c>
      <c r="C53" s="4">
        <f t="shared" si="69"/>
        <v>-297285.68171113404</v>
      </c>
      <c r="D53" s="4">
        <f t="shared" si="69"/>
        <v>-26096.806820428286</v>
      </c>
      <c r="E53" s="4">
        <f t="shared" si="69"/>
        <v>53128.490176187785</v>
      </c>
      <c r="F53" s="4">
        <f t="shared" si="69"/>
        <v>24485.883787367304</v>
      </c>
      <c r="G53" s="4">
        <f t="shared" si="69"/>
        <v>-116481.41433531145</v>
      </c>
      <c r="H53" s="4">
        <f t="shared" si="69"/>
        <v>-1267266.6833432063</v>
      </c>
      <c r="I53" s="4">
        <f t="shared" si="69"/>
        <v>-661903.7139862749</v>
      </c>
      <c r="J53" s="4">
        <f t="shared" si="69"/>
        <v>42754.127069014867</v>
      </c>
      <c r="K53" s="4">
        <f t="shared" si="69"/>
        <v>101656.22444926653</v>
      </c>
      <c r="L53" s="4">
        <f t="shared" si="69"/>
        <v>542634.40484496334</v>
      </c>
      <c r="M53" s="4">
        <f t="shared" si="69"/>
        <v>476682.89259341132</v>
      </c>
      <c r="N53" s="4">
        <f t="shared" si="63"/>
        <v>-642589.39049837086</v>
      </c>
      <c r="O53" s="198">
        <f t="shared" si="60"/>
        <v>-4.7512039029772093E-3</v>
      </c>
    </row>
    <row r="54" spans="1:16">
      <c r="A54" s="96" t="s">
        <v>5</v>
      </c>
      <c r="B54" s="4">
        <f t="shared" ref="B54:M54" si="70">IF(B$32=0,0,B27+B$40*(B27/B$32))</f>
        <v>0</v>
      </c>
      <c r="C54" s="4">
        <f t="shared" si="70"/>
        <v>0</v>
      </c>
      <c r="D54" s="4">
        <f t="shared" si="70"/>
        <v>0</v>
      </c>
      <c r="E54" s="4">
        <f t="shared" si="70"/>
        <v>0</v>
      </c>
      <c r="F54" s="4">
        <f t="shared" si="70"/>
        <v>-16577.61014609602</v>
      </c>
      <c r="G54" s="4">
        <f t="shared" si="70"/>
        <v>-25243.029481550468</v>
      </c>
      <c r="H54" s="4">
        <f t="shared" si="70"/>
        <v>-283718.69156942435</v>
      </c>
      <c r="I54" s="4">
        <f t="shared" si="70"/>
        <v>-150233.86202682799</v>
      </c>
      <c r="J54" s="4">
        <f t="shared" si="70"/>
        <v>9556.831880117712</v>
      </c>
      <c r="K54" s="4">
        <f t="shared" si="70"/>
        <v>0</v>
      </c>
      <c r="L54" s="4">
        <f t="shared" si="70"/>
        <v>0</v>
      </c>
      <c r="M54" s="4">
        <f t="shared" si="70"/>
        <v>0</v>
      </c>
      <c r="N54" s="4">
        <f>SUM(B54:M54)</f>
        <v>-466216.36134378111</v>
      </c>
      <c r="O54" s="198">
        <f t="shared" si="60"/>
        <v>-3.4471297354138645E-3</v>
      </c>
    </row>
    <row r="55" spans="1:16">
      <c r="A55" s="90" t="s">
        <v>24</v>
      </c>
      <c r="B55" s="4">
        <f t="shared" ref="B55:M55" si="71">IF(B$32=0,0,B28+B$40*(B28/B$32))</f>
        <v>323292.66937266284</v>
      </c>
      <c r="C55" s="4">
        <f t="shared" si="71"/>
        <v>-195910.88666604593</v>
      </c>
      <c r="D55" s="4">
        <f t="shared" si="71"/>
        <v>-17161.015193317213</v>
      </c>
      <c r="E55" s="4">
        <f t="shared" si="71"/>
        <v>34788.129201732998</v>
      </c>
      <c r="F55" s="4">
        <f t="shared" si="71"/>
        <v>681.77386271700243</v>
      </c>
      <c r="G55" s="4">
        <f t="shared" si="71"/>
        <v>-98430.767731719243</v>
      </c>
      <c r="H55" s="4">
        <f t="shared" si="71"/>
        <v>-1079249.845643267</v>
      </c>
      <c r="I55" s="4">
        <f t="shared" si="71"/>
        <v>-564902.90883828513</v>
      </c>
      <c r="J55" s="4">
        <f t="shared" si="71"/>
        <v>36566.553298201485</v>
      </c>
      <c r="K55" s="4">
        <f t="shared" si="71"/>
        <v>67226.783371692174</v>
      </c>
      <c r="L55" s="4">
        <f t="shared" si="71"/>
        <v>358852.25702775602</v>
      </c>
      <c r="M55" s="4">
        <f t="shared" si="71"/>
        <v>311013.27212499623</v>
      </c>
      <c r="N55" s="4">
        <f>SUM(B55:M55)</f>
        <v>-823233.98581287614</v>
      </c>
      <c r="O55" s="198">
        <f t="shared" si="60"/>
        <v>-6.0868613523545837E-3</v>
      </c>
    </row>
    <row r="56" spans="1:16" s="99" customFormat="1">
      <c r="A56" s="102" t="s">
        <v>8</v>
      </c>
      <c r="B56" s="4">
        <f t="shared" ref="B56:M56" si="72">IF(B$32=0,0,B29+B$40*(B29/B$32))</f>
        <v>1278947.0155178648</v>
      </c>
      <c r="C56" s="4">
        <f t="shared" si="72"/>
        <v>-805360.97786270583</v>
      </c>
      <c r="D56" s="4">
        <f t="shared" si="72"/>
        <v>106972.00302499841</v>
      </c>
      <c r="E56" s="4">
        <f t="shared" si="72"/>
        <v>123335.16021573462</v>
      </c>
      <c r="F56" s="4">
        <f t="shared" si="72"/>
        <v>194841.08872132614</v>
      </c>
      <c r="G56" s="4">
        <f t="shared" si="72"/>
        <v>-22312.587019634633</v>
      </c>
      <c r="H56" s="4">
        <f t="shared" si="72"/>
        <v>-242751.15743170684</v>
      </c>
      <c r="I56" s="4">
        <f t="shared" si="72"/>
        <v>-126241.50046700795</v>
      </c>
      <c r="J56" s="4">
        <f t="shared" si="72"/>
        <v>8171.6990354412555</v>
      </c>
      <c r="K56" s="4">
        <f t="shared" si="72"/>
        <v>77170.155987543854</v>
      </c>
      <c r="L56" s="4">
        <f t="shared" si="72"/>
        <v>1004625.6195221099</v>
      </c>
      <c r="M56" s="4">
        <f t="shared" si="72"/>
        <v>1205908.6704500681</v>
      </c>
      <c r="N56" s="4">
        <f t="shared" si="63"/>
        <v>2803305.1896940321</v>
      </c>
      <c r="O56" s="198">
        <f t="shared" si="60"/>
        <v>2.072719337644327E-2</v>
      </c>
    </row>
    <row r="57" spans="1:16">
      <c r="A57" s="90" t="s">
        <v>59</v>
      </c>
      <c r="B57" s="4">
        <f t="shared" ref="B57:M57" si="73">IF(B$32=0,0,B30+B$40*(B30/B$32))</f>
        <v>31550.575685571574</v>
      </c>
      <c r="C57" s="4">
        <f t="shared" si="73"/>
        <v>-19715.601014669577</v>
      </c>
      <c r="D57" s="4">
        <f t="shared" si="73"/>
        <v>1750.8794533845605</v>
      </c>
      <c r="E57" s="4">
        <f t="shared" si="73"/>
        <v>4765.8653889220859</v>
      </c>
      <c r="F57" s="4">
        <f t="shared" si="73"/>
        <v>10037.355552603472</v>
      </c>
      <c r="G57" s="4">
        <f t="shared" si="73"/>
        <v>-452.48855741942174</v>
      </c>
      <c r="H57" s="4">
        <f t="shared" si="73"/>
        <v>-4922.8769815669093</v>
      </c>
      <c r="I57" s="4">
        <f t="shared" si="73"/>
        <v>-2576.7411855247019</v>
      </c>
      <c r="J57" s="4">
        <f t="shared" si="73"/>
        <v>166.79422679895072</v>
      </c>
      <c r="K57" s="4">
        <f t="shared" si="73"/>
        <v>3161.7850842230041</v>
      </c>
      <c r="L57" s="4">
        <f t="shared" si="73"/>
        <v>31370.451755894184</v>
      </c>
      <c r="M57" s="4">
        <f t="shared" si="73"/>
        <v>30780.235117054261</v>
      </c>
      <c r="N57" s="4">
        <f t="shared" si="63"/>
        <v>85916.234525271488</v>
      </c>
      <c r="O57" s="198">
        <f t="shared" si="60"/>
        <v>6.3525099362282428E-4</v>
      </c>
    </row>
    <row r="58" spans="1:16">
      <c r="A58" s="91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198"/>
    </row>
    <row r="59" spans="1:16" s="91" customFormat="1">
      <c r="A59" s="96" t="s">
        <v>21</v>
      </c>
      <c r="B59" s="92">
        <f t="shared" ref="B59:O59" si="74">SUM(B45:B57)</f>
        <v>83905327.63374871</v>
      </c>
      <c r="C59" s="92">
        <f t="shared" si="74"/>
        <v>-52866388.744541399</v>
      </c>
      <c r="D59" s="92">
        <f t="shared" si="74"/>
        <v>5684788.8911022069</v>
      </c>
      <c r="E59" s="92">
        <f t="shared" si="74"/>
        <v>10522398.951545876</v>
      </c>
      <c r="F59" s="92">
        <f t="shared" si="74"/>
        <v>17148010.417034343</v>
      </c>
      <c r="G59" s="92">
        <f t="shared" si="74"/>
        <v>-5572755.3521982115</v>
      </c>
      <c r="H59" s="92">
        <f t="shared" si="74"/>
        <v>-60632708.159865469</v>
      </c>
      <c r="I59" s="92">
        <f t="shared" si="74"/>
        <v>-31772221.999432091</v>
      </c>
      <c r="J59" s="92">
        <f t="shared" si="74"/>
        <v>2059115.7977056096</v>
      </c>
      <c r="K59" s="92">
        <f t="shared" si="74"/>
        <v>7093494.1109699914</v>
      </c>
      <c r="L59" s="92">
        <f t="shared" si="74"/>
        <v>77005916.314229116</v>
      </c>
      <c r="M59" s="92">
        <f t="shared" si="74"/>
        <v>82672720.116988778</v>
      </c>
      <c r="N59" s="92">
        <f t="shared" si="74"/>
        <v>135247697.97728744</v>
      </c>
      <c r="O59" s="198">
        <f t="shared" si="74"/>
        <v>1</v>
      </c>
    </row>
    <row r="61" spans="1:16">
      <c r="A61" s="96" t="s">
        <v>49</v>
      </c>
      <c r="B61" s="4">
        <f t="shared" ref="B61:N61" si="75">ROUND(B59,1)-B36</f>
        <v>-3.374868631362915E-2</v>
      </c>
      <c r="C61" s="4">
        <f t="shared" si="75"/>
        <v>4.4541403651237488E-2</v>
      </c>
      <c r="D61" s="4">
        <f t="shared" si="75"/>
        <v>8.8977934792637825E-3</v>
      </c>
      <c r="E61" s="4">
        <f t="shared" si="75"/>
        <v>4.8454126343131065E-2</v>
      </c>
      <c r="F61" s="4">
        <f t="shared" si="75"/>
        <v>-1.7034344375133514E-2</v>
      </c>
      <c r="G61" s="4">
        <f t="shared" si="75"/>
        <v>-4.780178889632225E-2</v>
      </c>
      <c r="H61" s="4">
        <f t="shared" si="75"/>
        <v>-4.0134534239768982E-2</v>
      </c>
      <c r="I61" s="4">
        <f t="shared" si="75"/>
        <v>-5.6790187954902649E-4</v>
      </c>
      <c r="J61" s="4">
        <f t="shared" si="75"/>
        <v>2.2943906951695681E-3</v>
      </c>
      <c r="K61" s="4">
        <f t="shared" si="75"/>
        <v>-1.0969990864396095E-2</v>
      </c>
      <c r="L61" s="4">
        <f t="shared" si="75"/>
        <v>-1.4229103922843933E-2</v>
      </c>
      <c r="M61" s="4">
        <f t="shared" si="75"/>
        <v>-1.6988813877105713E-2</v>
      </c>
      <c r="N61" s="4">
        <f t="shared" si="75"/>
        <v>2.2712588310241699E-2</v>
      </c>
    </row>
    <row r="63" spans="1:16" ht="15.75">
      <c r="A63" s="185" t="s">
        <v>185</v>
      </c>
      <c r="H63" s="185" t="s">
        <v>104</v>
      </c>
      <c r="O63"/>
      <c r="P63" s="103"/>
    </row>
    <row r="64" spans="1:16">
      <c r="A64" s="141" t="s">
        <v>103</v>
      </c>
      <c r="B64" s="154" t="s">
        <v>76</v>
      </c>
      <c r="C64" s="154" t="s">
        <v>165</v>
      </c>
      <c r="D64" s="154" t="s">
        <v>77</v>
      </c>
      <c r="E64" s="154" t="s">
        <v>78</v>
      </c>
      <c r="F64" s="154" t="s">
        <v>79</v>
      </c>
      <c r="O64"/>
      <c r="P64" s="103"/>
    </row>
    <row r="65" spans="1:20">
      <c r="A65" s="187" t="s">
        <v>156</v>
      </c>
      <c r="B65" s="373">
        <v>0.45007799999999998</v>
      </c>
      <c r="C65" s="374"/>
      <c r="D65" s="373">
        <v>0.38681100000000002</v>
      </c>
      <c r="E65" s="375"/>
      <c r="F65" s="373">
        <v>0.38304700000000003</v>
      </c>
      <c r="I65" s="63">
        <f t="shared" ref="I65:T65" si="76">B7</f>
        <v>43101</v>
      </c>
      <c r="J65" s="63">
        <f t="shared" si="76"/>
        <v>43132</v>
      </c>
      <c r="K65" s="63">
        <f t="shared" si="76"/>
        <v>43160</v>
      </c>
      <c r="L65" s="63">
        <f t="shared" si="76"/>
        <v>43191</v>
      </c>
      <c r="M65" s="63">
        <f t="shared" si="76"/>
        <v>43221</v>
      </c>
      <c r="N65" s="63">
        <f t="shared" si="76"/>
        <v>43252</v>
      </c>
      <c r="O65" s="63">
        <f t="shared" si="76"/>
        <v>43282</v>
      </c>
      <c r="P65" s="63">
        <f t="shared" si="76"/>
        <v>43313</v>
      </c>
      <c r="Q65" s="63">
        <f t="shared" si="76"/>
        <v>43344</v>
      </c>
      <c r="R65" s="63">
        <f t="shared" si="76"/>
        <v>43374</v>
      </c>
      <c r="S65" s="63">
        <f t="shared" si="76"/>
        <v>43405</v>
      </c>
      <c r="T65" s="63">
        <f t="shared" si="76"/>
        <v>43435</v>
      </c>
    </row>
    <row r="66" spans="1:20">
      <c r="A66" s="187" t="s">
        <v>36</v>
      </c>
      <c r="B66" s="373">
        <v>0.19203000000000001</v>
      </c>
      <c r="C66" s="376"/>
      <c r="D66" s="373">
        <v>0.26062000000000002</v>
      </c>
      <c r="E66" s="373"/>
      <c r="F66" s="373">
        <v>0.110552</v>
      </c>
      <c r="H66" s="30" t="s">
        <v>106</v>
      </c>
      <c r="I66" s="193">
        <f>'System Model '!C$4</f>
        <v>723.21388888888896</v>
      </c>
      <c r="J66" s="193">
        <f>'System Model '!C$5</f>
        <v>616.98611111111097</v>
      </c>
      <c r="K66" s="193">
        <f>'System Model '!C$6</f>
        <v>592.16805555555595</v>
      </c>
      <c r="L66" s="193">
        <f>'System Model '!C$7</f>
        <v>450.14722222222201</v>
      </c>
      <c r="M66" s="193">
        <f>'System Model '!C$8</f>
        <v>296.66111111111098</v>
      </c>
      <c r="N66" s="193">
        <f>'System Model '!C$9</f>
        <v>162.50833333333301</v>
      </c>
      <c r="O66" s="193">
        <f>'System Model '!C$10</f>
        <v>57.0138888888889</v>
      </c>
      <c r="P66" s="193">
        <f>'System Model '!C$11</f>
        <v>47.509722222222202</v>
      </c>
      <c r="Q66" s="193">
        <f>'System Model '!C$12</f>
        <v>136.759722222222</v>
      </c>
      <c r="R66" s="193">
        <f>'System Model '!C$13</f>
        <v>386.027777777778</v>
      </c>
      <c r="S66" s="193">
        <f>'System Model '!C$14</f>
        <v>583.59097222222204</v>
      </c>
      <c r="T66" s="193">
        <f>'System Model '!C$15</f>
        <v>747.57777777777801</v>
      </c>
    </row>
    <row r="67" spans="1:20">
      <c r="A67" s="187" t="s">
        <v>159</v>
      </c>
      <c r="B67" s="373">
        <v>0.290464</v>
      </c>
      <c r="C67" s="376"/>
      <c r="D67" s="373">
        <v>0.79522599999999999</v>
      </c>
      <c r="E67" s="373"/>
      <c r="F67" s="373">
        <v>0.782663</v>
      </c>
      <c r="H67" s="39" t="s">
        <v>107</v>
      </c>
      <c r="I67" s="195">
        <f>'System Model '!E$4</f>
        <v>628.70833333333326</v>
      </c>
      <c r="J67" s="195">
        <f>'System Model '!E$5</f>
        <v>672.58333333333303</v>
      </c>
      <c r="K67" s="195">
        <f>'System Model '!E$6</f>
        <v>589.83333333333337</v>
      </c>
      <c r="L67" s="195">
        <f>'System Model '!E$7</f>
        <v>419.04166666666703</v>
      </c>
      <c r="M67" s="195">
        <f>'System Model '!E$8</f>
        <v>172.458333333333</v>
      </c>
      <c r="N67" s="195">
        <f>'System Model '!E$9</f>
        <v>124.833333333333</v>
      </c>
      <c r="O67" s="195">
        <f>'System Model '!E$10</f>
        <v>16.5833333333333</v>
      </c>
      <c r="P67" s="196">
        <f>'System Model '!E$11</f>
        <v>25.0833333333333</v>
      </c>
      <c r="Q67" s="195">
        <f>'System Model '!E$12</f>
        <v>116.666666666667</v>
      </c>
      <c r="R67" s="195">
        <f>'System Model '!E$13</f>
        <v>366.375</v>
      </c>
      <c r="S67" s="195">
        <f>'System Model '!E$14</f>
        <v>493.60416666666703</v>
      </c>
      <c r="T67" s="195">
        <f>'System Model '!E$15</f>
        <v>653.20833333333303</v>
      </c>
    </row>
    <row r="68" spans="1:20">
      <c r="A68" s="187" t="s">
        <v>37</v>
      </c>
      <c r="B68" s="373">
        <v>6.6323090000000002</v>
      </c>
      <c r="C68" s="376"/>
      <c r="D68" s="373">
        <v>14.319699999999999</v>
      </c>
      <c r="E68" s="373"/>
      <c r="F68" s="373">
        <v>10.76488</v>
      </c>
      <c r="H68" s="30" t="s">
        <v>105</v>
      </c>
      <c r="I68" s="193">
        <f>I66-I67</f>
        <v>94.505555555555702</v>
      </c>
      <c r="J68" s="193">
        <f t="shared" ref="J68:T68" si="77">J66-J67</f>
        <v>-55.597222222222058</v>
      </c>
      <c r="K68" s="193">
        <f t="shared" si="77"/>
        <v>2.334722222222581</v>
      </c>
      <c r="L68" s="193">
        <f t="shared" si="77"/>
        <v>31.105555555554986</v>
      </c>
      <c r="M68" s="193">
        <f t="shared" si="77"/>
        <v>124.20277777777798</v>
      </c>
      <c r="N68" s="193">
        <f t="shared" si="77"/>
        <v>37.675000000000011</v>
      </c>
      <c r="O68" s="193">
        <f t="shared" si="77"/>
        <v>40.4305555555556</v>
      </c>
      <c r="P68" s="193">
        <f t="shared" si="77"/>
        <v>22.426388888888901</v>
      </c>
      <c r="Q68" s="193">
        <f t="shared" si="77"/>
        <v>20.093055555554997</v>
      </c>
      <c r="R68" s="193">
        <f t="shared" si="77"/>
        <v>19.652777777777999</v>
      </c>
      <c r="S68" s="193">
        <f t="shared" si="77"/>
        <v>89.986805555555009</v>
      </c>
      <c r="T68" s="193">
        <f t="shared" si="77"/>
        <v>94.36944444444498</v>
      </c>
    </row>
    <row r="69" spans="1:20">
      <c r="A69" s="187" t="s">
        <v>3</v>
      </c>
      <c r="B69" s="373">
        <v>0.682006</v>
      </c>
      <c r="C69" s="373"/>
      <c r="D69" s="373">
        <v>9.0357529999999997</v>
      </c>
      <c r="E69" s="373"/>
      <c r="F69" s="373">
        <v>9.0908549999999995</v>
      </c>
      <c r="I69" s="66"/>
      <c r="J69" s="66"/>
      <c r="K69" s="66"/>
      <c r="L69" s="66"/>
      <c r="M69" s="66"/>
      <c r="N69" s="66"/>
      <c r="O69" s="66"/>
      <c r="P69" s="192"/>
      <c r="Q69" s="66"/>
      <c r="R69" s="66"/>
      <c r="S69" s="66"/>
      <c r="T69" s="66"/>
    </row>
    <row r="70" spans="1:20">
      <c r="A70" s="187" t="s">
        <v>38</v>
      </c>
      <c r="B70" s="373">
        <v>39.504219999999997</v>
      </c>
      <c r="C70" s="376"/>
      <c r="D70" s="373">
        <v>56.506360000000001</v>
      </c>
      <c r="E70" s="373"/>
      <c r="F70" s="373">
        <v>38.712510000000002</v>
      </c>
      <c r="H70" s="91" t="s">
        <v>166</v>
      </c>
      <c r="I70" s="193">
        <f>'System Model '!Q$4</f>
        <v>413.27916666666698</v>
      </c>
      <c r="J70" s="193">
        <f>'System Model '!Q$5</f>
        <v>337.004166666667</v>
      </c>
      <c r="K70" s="193">
        <f>'System Model '!Q$6</f>
        <v>283.70277777777801</v>
      </c>
      <c r="L70" s="193">
        <f>'System Model '!Q$7</f>
        <v>166.16249999999999</v>
      </c>
      <c r="M70" s="193">
        <f>'System Model '!Q$8</f>
        <v>58.012500000000003</v>
      </c>
      <c r="N70" s="193">
        <f>'System Model '!Q$9</f>
        <v>7.9180555555555596</v>
      </c>
      <c r="O70" s="193">
        <f>'System Model '!Q$10</f>
        <v>0.11944444444444501</v>
      </c>
      <c r="P70" s="193">
        <f>'System Model '!Q$11</f>
        <v>0</v>
      </c>
      <c r="Q70" s="193">
        <f>'System Model '!Q$12</f>
        <v>4.0513888888888898</v>
      </c>
      <c r="R70" s="193">
        <f>'System Model '!Q$13</f>
        <v>99.504166666666606</v>
      </c>
      <c r="S70" s="193">
        <f>'System Model '!Q$14</f>
        <v>285.20763888888899</v>
      </c>
      <c r="T70" s="193">
        <f>'System Model '!Q$15</f>
        <v>437.754166666667</v>
      </c>
    </row>
    <row r="71" spans="1:20">
      <c r="A71" s="187" t="s">
        <v>4</v>
      </c>
      <c r="B71" s="373"/>
      <c r="C71" s="376">
        <v>7.6311780000000002</v>
      </c>
      <c r="D71" s="373"/>
      <c r="E71" s="373"/>
      <c r="F71" s="373">
        <v>46.376089999999998</v>
      </c>
      <c r="H71" s="351" t="s">
        <v>167</v>
      </c>
      <c r="I71" s="195">
        <f>'System Model '!R$4</f>
        <v>318.70833333333337</v>
      </c>
      <c r="J71" s="195">
        <f>'System Model '!R$5</f>
        <v>392.58333333333297</v>
      </c>
      <c r="K71" s="195">
        <f>'System Model '!R$6</f>
        <v>288.375</v>
      </c>
      <c r="L71" s="195">
        <f>'System Model '!R$7</f>
        <v>149.5</v>
      </c>
      <c r="M71" s="195">
        <f>'System Model '!R$8</f>
        <v>2.875</v>
      </c>
      <c r="N71" s="195">
        <f>'System Model '!R$9</f>
        <v>2.125</v>
      </c>
      <c r="O71" s="195">
        <f>'System Model '!R$10</f>
        <v>0</v>
      </c>
      <c r="P71" s="196">
        <f>'System Model '!R$11</f>
        <v>0</v>
      </c>
      <c r="Q71" s="195">
        <f>'System Model '!R$12</f>
        <v>0</v>
      </c>
      <c r="R71" s="195">
        <f>'System Model '!R$13</f>
        <v>69.7083333333333</v>
      </c>
      <c r="S71" s="195">
        <f>'System Model '!R$14</f>
        <v>199.958333333333</v>
      </c>
      <c r="T71" s="195">
        <f>'System Model '!R$15</f>
        <v>343.20833333333297</v>
      </c>
    </row>
    <row r="72" spans="1:20">
      <c r="A72" s="187" t="s">
        <v>39</v>
      </c>
      <c r="B72" s="373">
        <v>54.14217</v>
      </c>
      <c r="C72" s="376"/>
      <c r="D72" s="373">
        <v>73.404399999999995</v>
      </c>
      <c r="E72" s="373"/>
      <c r="F72" s="373">
        <v>68.431479999999993</v>
      </c>
      <c r="H72" s="30" t="s">
        <v>105</v>
      </c>
      <c r="I72" s="193">
        <f>I70-I71</f>
        <v>94.57083333333361</v>
      </c>
      <c r="J72" s="193">
        <f t="shared" ref="J72:T72" si="78">J70-J71</f>
        <v>-55.579166666665969</v>
      </c>
      <c r="K72" s="193">
        <f t="shared" si="78"/>
        <v>-4.6722222222219898</v>
      </c>
      <c r="L72" s="193">
        <f t="shared" si="78"/>
        <v>16.662499999999994</v>
      </c>
      <c r="M72" s="193">
        <f t="shared" si="78"/>
        <v>55.137500000000003</v>
      </c>
      <c r="N72" s="193">
        <f t="shared" si="78"/>
        <v>5.7930555555555596</v>
      </c>
      <c r="O72" s="193">
        <f t="shared" si="78"/>
        <v>0.11944444444444501</v>
      </c>
      <c r="P72" s="193">
        <f t="shared" si="78"/>
        <v>0</v>
      </c>
      <c r="Q72" s="193">
        <f t="shared" si="78"/>
        <v>4.0513888888888898</v>
      </c>
      <c r="R72" s="193">
        <f t="shared" si="78"/>
        <v>29.795833333333306</v>
      </c>
      <c r="S72" s="193">
        <f t="shared" si="78"/>
        <v>85.249305555555992</v>
      </c>
      <c r="T72" s="193">
        <f t="shared" si="78"/>
        <v>94.545833333334031</v>
      </c>
    </row>
    <row r="73" spans="1:20">
      <c r="A73" s="187" t="s">
        <v>6</v>
      </c>
      <c r="B73" s="376"/>
      <c r="C73" s="376">
        <v>12.231680000000001</v>
      </c>
      <c r="D73" s="376"/>
      <c r="E73" s="376"/>
      <c r="F73" s="376">
        <v>26.690750000000001</v>
      </c>
    </row>
    <row r="74" spans="1:20">
      <c r="A74" s="187" t="s">
        <v>5</v>
      </c>
      <c r="B74" s="376"/>
      <c r="C74" s="376"/>
      <c r="D74" s="376"/>
      <c r="E74" s="376"/>
      <c r="F74" s="376">
        <v>4.0881030000000003</v>
      </c>
      <c r="H74" s="30" t="s">
        <v>108</v>
      </c>
      <c r="I74" s="193">
        <f>'System Model '!G$4</f>
        <v>131.923611111111</v>
      </c>
      <c r="J74" s="193">
        <f>'System Model '!G$5</f>
        <v>89.9930555555556</v>
      </c>
      <c r="K74" s="193">
        <f>'System Model '!G$6</f>
        <v>42.775694444444397</v>
      </c>
      <c r="L74" s="193">
        <f>'System Model '!G$7</f>
        <v>8.6638888888888896</v>
      </c>
      <c r="M74" s="193">
        <f>'System Model '!G$8</f>
        <v>0.41666666666666702</v>
      </c>
      <c r="N74" s="193">
        <f>'System Model '!G$9</f>
        <v>0</v>
      </c>
      <c r="O74" s="193">
        <f>'System Model '!G$10</f>
        <v>0</v>
      </c>
      <c r="P74" s="194">
        <f>'System Model '!G$11</f>
        <v>0</v>
      </c>
      <c r="Q74" s="193">
        <f>'System Model '!G$12</f>
        <v>0</v>
      </c>
      <c r="R74" s="193">
        <f>'System Model '!G$13</f>
        <v>2.8333333333333299</v>
      </c>
      <c r="S74" s="193">
        <f>'System Model '!G$14</f>
        <v>54.622222222222199</v>
      </c>
      <c r="T74" s="193">
        <f>'System Model '!G$15</f>
        <v>148.73472222222199</v>
      </c>
    </row>
    <row r="75" spans="1:20">
      <c r="A75" s="187" t="s">
        <v>24</v>
      </c>
      <c r="B75" s="376"/>
      <c r="C75" s="376">
        <v>29.408819999999999</v>
      </c>
      <c r="D75" s="376"/>
      <c r="E75" s="376"/>
      <c r="F75" s="376">
        <v>82.81765</v>
      </c>
      <c r="H75" s="39" t="s">
        <v>109</v>
      </c>
      <c r="I75" s="195">
        <f>'System Model '!H$4</f>
        <v>49.499999999999993</v>
      </c>
      <c r="J75" s="195">
        <f>'System Model '!H$5</f>
        <v>140.583333333333</v>
      </c>
      <c r="K75" s="195">
        <f>'System Model '!H$6</f>
        <v>34.208333333333329</v>
      </c>
      <c r="L75" s="195">
        <f>'System Model '!H$7</f>
        <v>2.9166666666666701</v>
      </c>
      <c r="M75" s="195">
        <f>'System Model '!H$8</f>
        <v>0</v>
      </c>
      <c r="N75" s="195">
        <f>'System Model '!H$9</f>
        <v>0</v>
      </c>
      <c r="O75" s="195">
        <f>'System Model '!H$10</f>
        <v>0</v>
      </c>
      <c r="P75" s="196">
        <f>'System Model '!H$11</f>
        <v>0</v>
      </c>
      <c r="Q75" s="195">
        <f>'System Model '!H$12</f>
        <v>0</v>
      </c>
      <c r="R75" s="195">
        <f>'System Model '!H$13</f>
        <v>0</v>
      </c>
      <c r="S75" s="195">
        <f>'System Model '!H$14</f>
        <v>13.8333333333333</v>
      </c>
      <c r="T75" s="195">
        <f>'System Model '!H$15</f>
        <v>68.4583333333333</v>
      </c>
    </row>
    <row r="76" spans="1:20">
      <c r="A76" s="188" t="s">
        <v>8</v>
      </c>
      <c r="B76" s="376">
        <v>32.608409999999999</v>
      </c>
      <c r="C76" s="376"/>
      <c r="D76" s="376">
        <v>73.142600000000002</v>
      </c>
      <c r="E76" s="376"/>
      <c r="F76" s="376">
        <v>15.503159999999999</v>
      </c>
      <c r="H76" s="30" t="s">
        <v>105</v>
      </c>
      <c r="I76" s="193">
        <f>I74-I75</f>
        <v>82.423611111111001</v>
      </c>
      <c r="J76" s="193">
        <f t="shared" ref="J76" si="79">J74-J75</f>
        <v>-50.590277777777402</v>
      </c>
      <c r="K76" s="193">
        <f t="shared" ref="K76" si="80">K74-K75</f>
        <v>8.5673611111110688</v>
      </c>
      <c r="L76" s="193">
        <f t="shared" ref="L76" si="81">L74-L75</f>
        <v>5.74722222222222</v>
      </c>
      <c r="M76" s="193">
        <f t="shared" ref="M76" si="82">M74-M75</f>
        <v>0.41666666666666702</v>
      </c>
      <c r="N76" s="193">
        <f t="shared" ref="N76" si="83">N74-N75</f>
        <v>0</v>
      </c>
      <c r="O76" s="193">
        <f t="shared" ref="O76" si="84">O74-O75</f>
        <v>0</v>
      </c>
      <c r="P76" s="193">
        <f t="shared" ref="P76" si="85">P74-P75</f>
        <v>0</v>
      </c>
      <c r="Q76" s="193">
        <f t="shared" ref="Q76" si="86">Q74-Q75</f>
        <v>0</v>
      </c>
      <c r="R76" s="193">
        <f t="shared" ref="R76" si="87">R74-R75</f>
        <v>2.8333333333333299</v>
      </c>
      <c r="S76" s="193">
        <f t="shared" ref="S76" si="88">S74-S75</f>
        <v>40.788888888888899</v>
      </c>
      <c r="T76" s="193">
        <f t="shared" ref="T76" si="89">T74-T75</f>
        <v>80.27638888888869</v>
      </c>
    </row>
    <row r="77" spans="1:20">
      <c r="A77" s="189" t="s">
        <v>59</v>
      </c>
      <c r="B77" s="377">
        <v>31.268139999999999</v>
      </c>
      <c r="C77" s="377"/>
      <c r="D77" s="377">
        <v>17.660070000000001</v>
      </c>
      <c r="E77" s="377"/>
      <c r="F77" s="377">
        <v>6.0914349999999997</v>
      </c>
      <c r="I77" s="66"/>
      <c r="J77" s="66"/>
      <c r="K77" s="66"/>
      <c r="L77" s="66"/>
      <c r="M77" s="66"/>
      <c r="N77" s="66"/>
      <c r="O77" s="66"/>
      <c r="P77" s="192"/>
      <c r="Q77" s="66"/>
      <c r="R77" s="66"/>
      <c r="S77" s="66"/>
      <c r="T77" s="66"/>
    </row>
    <row r="78" spans="1:20">
      <c r="H78" s="30" t="s">
        <v>110</v>
      </c>
      <c r="I78" s="193">
        <f>'System Model '!D$4</f>
        <v>0</v>
      </c>
      <c r="J78" s="193">
        <f>'System Model '!D$5</f>
        <v>0</v>
      </c>
      <c r="K78" s="193">
        <f>'System Model '!D$6</f>
        <v>0</v>
      </c>
      <c r="L78" s="193">
        <f>'System Model '!D$7</f>
        <v>0.68472222222222301</v>
      </c>
      <c r="M78" s="193">
        <f>'System Model '!D$8</f>
        <v>6.1736111111111098</v>
      </c>
      <c r="N78" s="193">
        <f>'System Model '!D$9</f>
        <v>25.720833333333299</v>
      </c>
      <c r="O78" s="193">
        <f>'System Model '!D$10</f>
        <v>73.7916666666667</v>
      </c>
      <c r="P78" s="194">
        <f>'System Model '!D$11</f>
        <v>66.988888888888894</v>
      </c>
      <c r="Q78" s="193">
        <f>'System Model '!D$12</f>
        <v>18.197222222222202</v>
      </c>
      <c r="R78" s="193">
        <f>'System Model '!D$13</f>
        <v>0</v>
      </c>
      <c r="S78" s="193">
        <f>'System Model '!D$14</f>
        <v>0</v>
      </c>
      <c r="T78" s="193">
        <f>'System Model '!D$15</f>
        <v>0</v>
      </c>
    </row>
    <row r="79" spans="1:20">
      <c r="H79" s="39" t="s">
        <v>111</v>
      </c>
      <c r="I79" s="195">
        <f>'System Model '!F$4</f>
        <v>0</v>
      </c>
      <c r="J79" s="195">
        <f>'System Model '!F$5</f>
        <v>0</v>
      </c>
      <c r="K79" s="195">
        <f>'System Model '!F$6</f>
        <v>0</v>
      </c>
      <c r="L79" s="195">
        <f>'System Model '!F$7</f>
        <v>1.2083333333333299</v>
      </c>
      <c r="M79" s="195">
        <f>'System Model '!F$8</f>
        <v>13.2083333333333</v>
      </c>
      <c r="N79" s="195">
        <f>'System Model '!F$9</f>
        <v>31.9166666666667</v>
      </c>
      <c r="O79" s="195">
        <f>'System Model '!F$10</f>
        <v>171.208333333333</v>
      </c>
      <c r="P79" s="196">
        <f>'System Model '!F$11</f>
        <v>114.916666666667</v>
      </c>
      <c r="Q79" s="195">
        <f>'System Model '!F$12</f>
        <v>8.5416666666666607</v>
      </c>
      <c r="R79" s="195">
        <f>'System Model '!F$13</f>
        <v>0</v>
      </c>
      <c r="S79" s="195">
        <f>'System Model '!F$14</f>
        <v>0</v>
      </c>
      <c r="T79" s="195">
        <f>'System Model '!F$15</f>
        <v>0</v>
      </c>
    </row>
    <row r="80" spans="1:20">
      <c r="A80" s="36"/>
      <c r="B80" s="363"/>
      <c r="C80" s="363"/>
      <c r="D80" s="363"/>
      <c r="E80" s="363"/>
      <c r="F80" s="363"/>
      <c r="H80" s="30" t="s">
        <v>105</v>
      </c>
      <c r="I80" s="193">
        <f>I78-I79</f>
        <v>0</v>
      </c>
      <c r="J80" s="193">
        <f t="shared" ref="J80" si="90">J78-J79</f>
        <v>0</v>
      </c>
      <c r="K80" s="193">
        <f t="shared" ref="K80" si="91">K78-K79</f>
        <v>0</v>
      </c>
      <c r="L80" s="193">
        <f t="shared" ref="L80" si="92">L78-L79</f>
        <v>-0.52361111111110692</v>
      </c>
      <c r="M80" s="193">
        <f t="shared" ref="M80" si="93">M78-M79</f>
        <v>-7.0347222222221903</v>
      </c>
      <c r="N80" s="193">
        <f t="shared" ref="N80" si="94">N78-N79</f>
        <v>-6.1958333333334004</v>
      </c>
      <c r="O80" s="193">
        <f t="shared" ref="O80" si="95">O78-O79</f>
        <v>-97.416666666666302</v>
      </c>
      <c r="P80" s="193">
        <f t="shared" ref="P80" si="96">P78-P79</f>
        <v>-47.927777777778104</v>
      </c>
      <c r="Q80" s="193">
        <f t="shared" ref="Q80" si="97">Q78-Q79</f>
        <v>9.6555555555555408</v>
      </c>
      <c r="R80" s="193">
        <f t="shared" ref="R80" si="98">R78-R79</f>
        <v>0</v>
      </c>
      <c r="S80" s="193">
        <f t="shared" ref="S80" si="99">S78-S79</f>
        <v>0</v>
      </c>
      <c r="T80" s="193">
        <f t="shared" ref="T80" si="100">T78-T79</f>
        <v>0</v>
      </c>
    </row>
    <row r="81" spans="1:20">
      <c r="I81" s="66"/>
      <c r="J81" s="66"/>
      <c r="K81" s="66"/>
      <c r="L81" s="66"/>
      <c r="M81" s="66"/>
      <c r="N81" s="66"/>
      <c r="O81" s="66"/>
      <c r="P81" s="192"/>
      <c r="Q81" s="66"/>
      <c r="R81" s="66"/>
      <c r="S81" s="66"/>
      <c r="T81" s="66"/>
    </row>
    <row r="82" spans="1:20">
      <c r="H82" s="30" t="s">
        <v>112</v>
      </c>
      <c r="I82" s="193">
        <f>'System Model '!I$4</f>
        <v>0</v>
      </c>
      <c r="J82" s="193">
        <f>'System Model '!I$5</f>
        <v>0</v>
      </c>
      <c r="K82" s="193">
        <f>'System Model '!I$6</f>
        <v>0.102777777777778</v>
      </c>
      <c r="L82" s="193">
        <f>'System Model '!I$7</f>
        <v>3.7069444444444501</v>
      </c>
      <c r="M82" s="193">
        <f>'System Model '!I$8</f>
        <v>26.405555555555601</v>
      </c>
      <c r="N82" s="193">
        <f>'System Model '!I$9</f>
        <v>70.143055555555506</v>
      </c>
      <c r="O82" s="193">
        <f>'System Model '!I$10</f>
        <v>179.29305555555601</v>
      </c>
      <c r="P82" s="194">
        <f>'System Model '!I$11</f>
        <v>178.052777777778</v>
      </c>
      <c r="Q82" s="193">
        <f>'System Model '!I$12</f>
        <v>72.752777777777794</v>
      </c>
      <c r="R82" s="193">
        <f>'System Model '!I$13</f>
        <v>1.8902777777777799</v>
      </c>
      <c r="S82" s="193">
        <f>'System Model '!I$14</f>
        <v>2.9166666666666698E-2</v>
      </c>
      <c r="T82" s="193">
        <f>'System Model '!I$15</f>
        <v>0</v>
      </c>
    </row>
    <row r="83" spans="1:20">
      <c r="H83" s="39" t="s">
        <v>113</v>
      </c>
      <c r="I83" s="195">
        <f>'System Model '!J$4</f>
        <v>0</v>
      </c>
      <c r="J83" s="195">
        <f>'System Model '!J$5</f>
        <v>0</v>
      </c>
      <c r="K83" s="195">
        <f>'System Model '!J$6</f>
        <v>0</v>
      </c>
      <c r="L83" s="195">
        <f>'System Model '!J$7</f>
        <v>13.0833333333333</v>
      </c>
      <c r="M83" s="195">
        <f>'System Model '!J$8</f>
        <v>45.7916666666667</v>
      </c>
      <c r="N83" s="195">
        <f>'System Model '!J$9</f>
        <v>85.2083333333333</v>
      </c>
      <c r="O83" s="195">
        <f>'System Model '!J$10</f>
        <v>309.625</v>
      </c>
      <c r="P83" s="196">
        <f>'System Model '!J$11</f>
        <v>246.5</v>
      </c>
      <c r="Q83" s="195">
        <f>'System Model '!J$12</f>
        <v>62.2916666666666</v>
      </c>
      <c r="R83" s="195">
        <f>'System Model '!J$13</f>
        <v>4.1666666666664298E-2</v>
      </c>
      <c r="S83" s="195">
        <f>'System Model '!J$14</f>
        <v>0</v>
      </c>
      <c r="T83" s="195">
        <f>'System Model '!J$15</f>
        <v>0</v>
      </c>
    </row>
    <row r="84" spans="1:20">
      <c r="H84" s="30" t="s">
        <v>105</v>
      </c>
      <c r="I84" s="193">
        <f>I82-I83</f>
        <v>0</v>
      </c>
      <c r="J84" s="193">
        <f t="shared" ref="J84" si="101">J82-J83</f>
        <v>0</v>
      </c>
      <c r="K84" s="193">
        <f t="shared" ref="K84" si="102">K82-K83</f>
        <v>0.102777777777778</v>
      </c>
      <c r="L84" s="193">
        <f t="shared" ref="L84" si="103">L82-L83</f>
        <v>-9.3763888888888509</v>
      </c>
      <c r="M84" s="193">
        <f t="shared" ref="M84" si="104">M82-M83</f>
        <v>-19.386111111111099</v>
      </c>
      <c r="N84" s="193">
        <f t="shared" ref="N84" si="105">N82-N83</f>
        <v>-15.065277777777794</v>
      </c>
      <c r="O84" s="193">
        <f t="shared" ref="O84" si="106">O82-O83</f>
        <v>-130.33194444444399</v>
      </c>
      <c r="P84" s="193">
        <f t="shared" ref="P84" si="107">P82-P83</f>
        <v>-68.447222222221995</v>
      </c>
      <c r="Q84" s="193">
        <f t="shared" ref="Q84" si="108">Q82-Q83</f>
        <v>10.461111111111194</v>
      </c>
      <c r="R84" s="193">
        <f t="shared" ref="R84" si="109">R82-R83</f>
        <v>1.8486111111111156</v>
      </c>
      <c r="S84" s="193">
        <f t="shared" ref="S84" si="110">S82-S83</f>
        <v>2.9166666666666698E-2</v>
      </c>
      <c r="T84" s="193">
        <f t="shared" ref="T84" si="111">T82-T83</f>
        <v>0</v>
      </c>
    </row>
    <row r="89" spans="1:20" ht="15.75">
      <c r="A89" s="185" t="s">
        <v>187</v>
      </c>
    </row>
    <row r="91" spans="1:20">
      <c r="A91" s="190" t="s">
        <v>103</v>
      </c>
      <c r="B91" s="191">
        <f>B7</f>
        <v>43101</v>
      </c>
      <c r="C91" s="191">
        <f t="shared" ref="C91:M91" si="112">C7</f>
        <v>43132</v>
      </c>
      <c r="D91" s="191">
        <f t="shared" si="112"/>
        <v>43160</v>
      </c>
      <c r="E91" s="191">
        <f t="shared" si="112"/>
        <v>43191</v>
      </c>
      <c r="F91" s="191">
        <f t="shared" si="112"/>
        <v>43221</v>
      </c>
      <c r="G91" s="191">
        <f t="shared" si="112"/>
        <v>43252</v>
      </c>
      <c r="H91" s="191">
        <f t="shared" si="112"/>
        <v>43282</v>
      </c>
      <c r="I91" s="191">
        <f t="shared" si="112"/>
        <v>43313</v>
      </c>
      <c r="J91" s="191">
        <f t="shared" si="112"/>
        <v>43344</v>
      </c>
      <c r="K91" s="191">
        <f t="shared" si="112"/>
        <v>43374</v>
      </c>
      <c r="L91" s="191">
        <f t="shared" si="112"/>
        <v>43405</v>
      </c>
      <c r="M91" s="191">
        <f t="shared" si="112"/>
        <v>43435</v>
      </c>
    </row>
    <row r="92" spans="1:20">
      <c r="A92" s="186" t="s">
        <v>156</v>
      </c>
      <c r="B92" s="299">
        <f>'SAP BW Actual Usage'!C33</f>
        <v>1005060</v>
      </c>
      <c r="C92" s="299">
        <f>'SAP BW Actual Usage'!D33</f>
        <v>1006215</v>
      </c>
      <c r="D92" s="299">
        <f>'SAP BW Actual Usage'!E33</f>
        <v>1006855</v>
      </c>
      <c r="E92" s="299">
        <f>'SAP BW Actual Usage'!F33</f>
        <v>1007514</v>
      </c>
      <c r="F92" s="299">
        <f>'SAP BW Actual Usage'!G33</f>
        <v>1008561</v>
      </c>
      <c r="G92" s="299">
        <f>'SAP BW Actual Usage'!H33</f>
        <v>1009696</v>
      </c>
      <c r="H92" s="299">
        <f>'SAP BW Actual Usage'!I33</f>
        <v>1010120</v>
      </c>
      <c r="I92" s="299">
        <f>'SAP BW Actual Usage'!J33</f>
        <v>1011178</v>
      </c>
      <c r="J92" s="299">
        <f>'SAP BW Actual Usage'!K33</f>
        <v>1012929</v>
      </c>
      <c r="K92" s="299">
        <f>'SAP BW Actual Usage'!L33</f>
        <v>1014406</v>
      </c>
      <c r="L92" s="299">
        <f>'SAP BW Actual Usage'!M33</f>
        <v>1016565</v>
      </c>
      <c r="M92" s="299">
        <f>'SAP BW Actual Usage'!N33</f>
        <v>1017763</v>
      </c>
    </row>
    <row r="93" spans="1:20">
      <c r="A93" s="187" t="s">
        <v>36</v>
      </c>
      <c r="B93" s="299">
        <f>'SAP BW Actual Usage'!C34</f>
        <v>29987</v>
      </c>
      <c r="C93" s="299">
        <f>'SAP BW Actual Usage'!D34</f>
        <v>29970</v>
      </c>
      <c r="D93" s="299">
        <f>'SAP BW Actual Usage'!E34</f>
        <v>30012</v>
      </c>
      <c r="E93" s="299">
        <f>'SAP BW Actual Usage'!F34</f>
        <v>30016</v>
      </c>
      <c r="F93" s="299">
        <f>'SAP BW Actual Usage'!G34</f>
        <v>30040</v>
      </c>
      <c r="G93" s="299">
        <f>'SAP BW Actual Usage'!H34</f>
        <v>30049</v>
      </c>
      <c r="H93" s="299">
        <f>'SAP BW Actual Usage'!I34</f>
        <v>30083</v>
      </c>
      <c r="I93" s="299">
        <f>'SAP BW Actual Usage'!J34</f>
        <v>30112</v>
      </c>
      <c r="J93" s="299">
        <f>'SAP BW Actual Usage'!K34</f>
        <v>30107</v>
      </c>
      <c r="K93" s="299">
        <f>'SAP BW Actual Usage'!L34</f>
        <v>30128</v>
      </c>
      <c r="L93" s="299">
        <f>'SAP BW Actual Usage'!M34</f>
        <v>30153</v>
      </c>
      <c r="M93" s="299">
        <f>'SAP BW Actual Usage'!N34</f>
        <v>30152</v>
      </c>
    </row>
    <row r="94" spans="1:20">
      <c r="A94" s="187" t="s">
        <v>153</v>
      </c>
      <c r="B94" s="299">
        <f>'SAP BW Actual Usage'!C38</f>
        <v>90968</v>
      </c>
      <c r="C94" s="299">
        <f>'SAP BW Actual Usage'!D38</f>
        <v>91153</v>
      </c>
      <c r="D94" s="299">
        <f>'SAP BW Actual Usage'!E38</f>
        <v>91252</v>
      </c>
      <c r="E94" s="299">
        <f>'SAP BW Actual Usage'!F38</f>
        <v>91258</v>
      </c>
      <c r="F94" s="299">
        <f>'SAP BW Actual Usage'!G38</f>
        <v>91332</v>
      </c>
      <c r="G94" s="299">
        <f>'SAP BW Actual Usage'!H38</f>
        <v>91543</v>
      </c>
      <c r="H94" s="299">
        <f>'SAP BW Actual Usage'!I38</f>
        <v>91620</v>
      </c>
      <c r="I94" s="299">
        <f>'SAP BW Actual Usage'!J38</f>
        <v>91735</v>
      </c>
      <c r="J94" s="299">
        <f>'SAP BW Actual Usage'!K38</f>
        <v>91870</v>
      </c>
      <c r="K94" s="299">
        <f>'SAP BW Actual Usage'!L38</f>
        <v>91902</v>
      </c>
      <c r="L94" s="299">
        <f>'SAP BW Actual Usage'!M38</f>
        <v>91842</v>
      </c>
      <c r="M94" s="299">
        <f>'SAP BW Actual Usage'!N38</f>
        <v>91794</v>
      </c>
    </row>
    <row r="95" spans="1:20">
      <c r="A95" s="187" t="s">
        <v>37</v>
      </c>
      <c r="B95" s="299">
        <f>'SAP BW Actual Usage'!C36</f>
        <v>307</v>
      </c>
      <c r="C95" s="299">
        <f>'SAP BW Actual Usage'!D36</f>
        <v>308</v>
      </c>
      <c r="D95" s="299">
        <f>'SAP BW Actual Usage'!E36</f>
        <v>305</v>
      </c>
      <c r="E95" s="299">
        <f>'SAP BW Actual Usage'!F36</f>
        <v>307</v>
      </c>
      <c r="F95" s="299">
        <f>'SAP BW Actual Usage'!G36</f>
        <v>305</v>
      </c>
      <c r="G95" s="299">
        <f>'SAP BW Actual Usage'!H36</f>
        <v>305</v>
      </c>
      <c r="H95" s="299">
        <f>'SAP BW Actual Usage'!I36</f>
        <v>306</v>
      </c>
      <c r="I95" s="299">
        <f>'SAP BW Actual Usage'!J36</f>
        <v>306</v>
      </c>
      <c r="J95" s="299">
        <f>'SAP BW Actual Usage'!K36</f>
        <v>304</v>
      </c>
      <c r="K95" s="299">
        <f>'SAP BW Actual Usage'!L36</f>
        <v>305</v>
      </c>
      <c r="L95" s="299">
        <f>'SAP BW Actual Usage'!M36</f>
        <v>304</v>
      </c>
      <c r="M95" s="299">
        <f>'SAP BW Actual Usage'!N36</f>
        <v>303</v>
      </c>
    </row>
    <row r="96" spans="1:20">
      <c r="A96" s="187" t="s">
        <v>154</v>
      </c>
      <c r="B96" s="299">
        <f>'SAP BW Actual Usage'!C39</f>
        <v>6977</v>
      </c>
      <c r="C96" s="299">
        <f>'SAP BW Actual Usage'!D39</f>
        <v>7077</v>
      </c>
      <c r="D96" s="299">
        <f>'SAP BW Actual Usage'!E39</f>
        <v>7201</v>
      </c>
      <c r="E96" s="299">
        <f>'SAP BW Actual Usage'!F39</f>
        <v>7315</v>
      </c>
      <c r="F96" s="299">
        <f>'SAP BW Actual Usage'!G39</f>
        <v>7372</v>
      </c>
      <c r="G96" s="299">
        <f>'SAP BW Actual Usage'!H39</f>
        <v>7273</v>
      </c>
      <c r="H96" s="299">
        <f>'SAP BW Actual Usage'!I39</f>
        <v>7242</v>
      </c>
      <c r="I96" s="299">
        <f>'SAP BW Actual Usage'!J39</f>
        <v>7243</v>
      </c>
      <c r="J96" s="299">
        <f>'SAP BW Actual Usage'!K39</f>
        <v>7248</v>
      </c>
      <c r="K96" s="299">
        <f>'SAP BW Actual Usage'!L39</f>
        <v>7288</v>
      </c>
      <c r="L96" s="299">
        <f>'SAP BW Actual Usage'!M39</f>
        <v>7339</v>
      </c>
      <c r="M96" s="299">
        <f>'SAP BW Actual Usage'!N39</f>
        <v>7348</v>
      </c>
    </row>
    <row r="97" spans="1:13">
      <c r="A97" s="187" t="s">
        <v>38</v>
      </c>
      <c r="B97" s="299">
        <f>'SAP BW Actual Usage'!C37</f>
        <v>13</v>
      </c>
      <c r="C97" s="299">
        <f>'SAP BW Actual Usage'!D37</f>
        <v>13</v>
      </c>
      <c r="D97" s="299">
        <f>'SAP BW Actual Usage'!E37</f>
        <v>13</v>
      </c>
      <c r="E97" s="299">
        <f>'SAP BW Actual Usage'!F37</f>
        <v>13</v>
      </c>
      <c r="F97" s="299">
        <f>'SAP BW Actual Usage'!G37</f>
        <v>13</v>
      </c>
      <c r="G97" s="299">
        <f>'SAP BW Actual Usage'!H37</f>
        <v>13</v>
      </c>
      <c r="H97" s="299">
        <f>'SAP BW Actual Usage'!I37</f>
        <v>13</v>
      </c>
      <c r="I97" s="299">
        <f>'SAP BW Actual Usage'!J37</f>
        <v>14</v>
      </c>
      <c r="J97" s="299">
        <f>'SAP BW Actual Usage'!K37</f>
        <v>14</v>
      </c>
      <c r="K97" s="299">
        <f>'SAP BW Actual Usage'!L37</f>
        <v>14</v>
      </c>
      <c r="L97" s="299">
        <f>'SAP BW Actual Usage'!M37</f>
        <v>14</v>
      </c>
      <c r="M97" s="299">
        <f>'SAP BW Actual Usage'!N37</f>
        <v>14</v>
      </c>
    </row>
    <row r="98" spans="1:13">
      <c r="A98" s="187" t="s">
        <v>155</v>
      </c>
      <c r="B98" s="299">
        <f>'SAP BW Actual Usage'!C40</f>
        <v>790</v>
      </c>
      <c r="C98" s="299">
        <f>'SAP BW Actual Usage'!D40</f>
        <v>785</v>
      </c>
      <c r="D98" s="299">
        <f>'SAP BW Actual Usage'!E40</f>
        <v>786</v>
      </c>
      <c r="E98" s="299">
        <f>'SAP BW Actual Usage'!F40</f>
        <v>790</v>
      </c>
      <c r="F98" s="299">
        <f>'SAP BW Actual Usage'!G40</f>
        <v>819</v>
      </c>
      <c r="G98" s="299">
        <f>'SAP BW Actual Usage'!H40</f>
        <v>848</v>
      </c>
      <c r="H98" s="299">
        <f>'SAP BW Actual Usage'!I40</f>
        <v>846</v>
      </c>
      <c r="I98" s="299">
        <f>'SAP BW Actual Usage'!J40</f>
        <v>849</v>
      </c>
      <c r="J98" s="299">
        <f>'SAP BW Actual Usage'!K40</f>
        <v>849</v>
      </c>
      <c r="K98" s="299">
        <f>'SAP BW Actual Usage'!L40</f>
        <v>836</v>
      </c>
      <c r="L98" s="299">
        <f>'SAP BW Actual Usage'!M40</f>
        <v>806</v>
      </c>
      <c r="M98" s="299">
        <f>'SAP BW Actual Usage'!N40</f>
        <v>808</v>
      </c>
    </row>
    <row r="99" spans="1:13">
      <c r="A99" s="187" t="s">
        <v>39</v>
      </c>
      <c r="B99" s="299">
        <f>'SAP BW Actual Usage'!C35</f>
        <v>13</v>
      </c>
      <c r="C99" s="299">
        <f>'SAP BW Actual Usage'!D35</f>
        <v>13</v>
      </c>
      <c r="D99" s="299">
        <f>'SAP BW Actual Usage'!E35</f>
        <v>13</v>
      </c>
      <c r="E99" s="299">
        <f>'SAP BW Actual Usage'!F35</f>
        <v>13</v>
      </c>
      <c r="F99" s="299">
        <f>'SAP BW Actual Usage'!G35</f>
        <v>13</v>
      </c>
      <c r="G99" s="299">
        <f>'SAP BW Actual Usage'!H35</f>
        <v>13</v>
      </c>
      <c r="H99" s="299">
        <f>'SAP BW Actual Usage'!I35</f>
        <v>13</v>
      </c>
      <c r="I99" s="299">
        <f>'SAP BW Actual Usage'!J35</f>
        <v>13</v>
      </c>
      <c r="J99" s="299">
        <f>'SAP BW Actual Usage'!K35</f>
        <v>13</v>
      </c>
      <c r="K99" s="299">
        <f>'SAP BW Actual Usage'!L35</f>
        <v>13</v>
      </c>
      <c r="L99" s="299">
        <f>'SAP BW Actual Usage'!M35</f>
        <v>13</v>
      </c>
      <c r="M99" s="299">
        <f>'SAP BW Actual Usage'!N35</f>
        <v>13</v>
      </c>
    </row>
    <row r="100" spans="1:13">
      <c r="A100" s="187" t="s">
        <v>6</v>
      </c>
      <c r="B100" s="299">
        <f>'SAP BW Actual Usage'!C42</f>
        <v>469</v>
      </c>
      <c r="C100" s="299">
        <f>'SAP BW Actual Usage'!D42</f>
        <v>467</v>
      </c>
      <c r="D100" s="299">
        <f>'SAP BW Actual Usage'!E42</f>
        <v>468</v>
      </c>
      <c r="E100" s="299">
        <f>'SAP BW Actual Usage'!F42</f>
        <v>470</v>
      </c>
      <c r="F100" s="299">
        <f>'SAP BW Actual Usage'!G42</f>
        <v>469</v>
      </c>
      <c r="G100" s="299">
        <f>'SAP BW Actual Usage'!H42</f>
        <v>470</v>
      </c>
      <c r="H100" s="299">
        <f>'SAP BW Actual Usage'!I42</f>
        <v>470</v>
      </c>
      <c r="I100" s="299">
        <f>'SAP BW Actual Usage'!J42</f>
        <v>469</v>
      </c>
      <c r="J100" s="299">
        <f>'SAP BW Actual Usage'!K42</f>
        <v>468</v>
      </c>
      <c r="K100" s="299">
        <f>'SAP BW Actual Usage'!L42</f>
        <v>469</v>
      </c>
      <c r="L100" s="299">
        <f>'SAP BW Actual Usage'!M42</f>
        <v>469</v>
      </c>
      <c r="M100" s="299">
        <f>'SAP BW Actual Usage'!N42</f>
        <v>468</v>
      </c>
    </row>
    <row r="101" spans="1:13">
      <c r="A101" s="187" t="s">
        <v>5</v>
      </c>
      <c r="B101" s="299">
        <f>'SAP BW Actual Usage'!C41</f>
        <v>533</v>
      </c>
      <c r="C101" s="299">
        <f>'SAP BW Actual Usage'!D41</f>
        <v>521</v>
      </c>
      <c r="D101" s="299">
        <f>'SAP BW Actual Usage'!E41</f>
        <v>529</v>
      </c>
      <c r="E101" s="299">
        <f>'SAP BW Actual Usage'!F41</f>
        <v>564</v>
      </c>
      <c r="F101" s="299">
        <f>'SAP BW Actual Usage'!G41</f>
        <v>629</v>
      </c>
      <c r="G101" s="299">
        <f>'SAP BW Actual Usage'!H41</f>
        <v>665</v>
      </c>
      <c r="H101" s="299">
        <f>'SAP BW Actual Usage'!I41</f>
        <v>687</v>
      </c>
      <c r="I101" s="299">
        <f>'SAP BW Actual Usage'!J41</f>
        <v>695</v>
      </c>
      <c r="J101" s="299">
        <f>'SAP BW Actual Usage'!K41</f>
        <v>683</v>
      </c>
      <c r="K101" s="299">
        <f>'SAP BW Actual Usage'!L41</f>
        <v>633</v>
      </c>
      <c r="L101" s="299">
        <f>'SAP BW Actual Usage'!M41</f>
        <v>554</v>
      </c>
      <c r="M101" s="299">
        <f>'SAP BW Actual Usage'!N41</f>
        <v>539</v>
      </c>
    </row>
    <row r="102" spans="1:13">
      <c r="A102" s="187" t="s">
        <v>24</v>
      </c>
      <c r="B102" s="299">
        <f>'SAP BW Actual Usage'!C44</f>
        <v>130</v>
      </c>
      <c r="C102" s="299">
        <f>'SAP BW Actual Usage'!D44</f>
        <v>128</v>
      </c>
      <c r="D102" s="299">
        <f>'SAP BW Actual Usage'!E44</f>
        <v>128</v>
      </c>
      <c r="E102" s="299">
        <f>'SAP BW Actual Usage'!F44</f>
        <v>128</v>
      </c>
      <c r="F102" s="299">
        <f>'SAP BW Actual Usage'!G44</f>
        <v>128</v>
      </c>
      <c r="G102" s="299">
        <f>'SAP BW Actual Usage'!H44</f>
        <v>128</v>
      </c>
      <c r="H102" s="299">
        <f>'SAP BW Actual Usage'!I44</f>
        <v>129</v>
      </c>
      <c r="I102" s="299">
        <f>'SAP BW Actual Usage'!J44</f>
        <v>129</v>
      </c>
      <c r="J102" s="299">
        <f>'SAP BW Actual Usage'!K44</f>
        <v>129</v>
      </c>
      <c r="K102" s="299">
        <f>'SAP BW Actual Usage'!L44</f>
        <v>129</v>
      </c>
      <c r="L102" s="299">
        <f>'SAP BW Actual Usage'!M44</f>
        <v>129</v>
      </c>
      <c r="M102" s="299">
        <f>'SAP BW Actual Usage'!N44</f>
        <v>127</v>
      </c>
    </row>
    <row r="103" spans="1:13">
      <c r="A103" s="188" t="s">
        <v>8</v>
      </c>
      <c r="B103" s="299">
        <f>'SAP BW Actual Usage'!C45</f>
        <v>157</v>
      </c>
      <c r="C103" s="299">
        <f>'SAP BW Actual Usage'!D45</f>
        <v>156</v>
      </c>
      <c r="D103" s="299">
        <f>'SAP BW Actual Usage'!E45</f>
        <v>156</v>
      </c>
      <c r="E103" s="299">
        <f>'SAP BW Actual Usage'!F45</f>
        <v>155</v>
      </c>
      <c r="F103" s="299">
        <f>'SAP BW Actual Usage'!G45</f>
        <v>155</v>
      </c>
      <c r="G103" s="299">
        <f>'SAP BW Actual Usage'!H45</f>
        <v>155</v>
      </c>
      <c r="H103" s="299">
        <f>'SAP BW Actual Usage'!I45</f>
        <v>155</v>
      </c>
      <c r="I103" s="299">
        <f>'SAP BW Actual Usage'!J45</f>
        <v>154</v>
      </c>
      <c r="J103" s="299">
        <f>'SAP BW Actual Usage'!K45</f>
        <v>154</v>
      </c>
      <c r="K103" s="299">
        <f>'SAP BW Actual Usage'!L45</f>
        <v>153</v>
      </c>
      <c r="L103" s="299">
        <f>'SAP BW Actual Usage'!M45</f>
        <v>153</v>
      </c>
      <c r="M103" s="299">
        <f>'SAP BW Actual Usage'!N45</f>
        <v>153</v>
      </c>
    </row>
    <row r="104" spans="1:13">
      <c r="A104" s="302" t="s">
        <v>27</v>
      </c>
      <c r="B104" s="299">
        <f>'SAP BW Actual Usage'!C32</f>
        <v>8</v>
      </c>
      <c r="C104" s="299">
        <f>'SAP BW Actual Usage'!D32</f>
        <v>8</v>
      </c>
      <c r="D104" s="299">
        <f>'SAP BW Actual Usage'!E32</f>
        <v>8</v>
      </c>
      <c r="E104" s="299">
        <f>'SAP BW Actual Usage'!F32</f>
        <v>8</v>
      </c>
      <c r="F104" s="299">
        <f>'SAP BW Actual Usage'!G32</f>
        <v>8</v>
      </c>
      <c r="G104" s="299">
        <f>'SAP BW Actual Usage'!H32</f>
        <v>8</v>
      </c>
      <c r="H104" s="299">
        <f>'SAP BW Actual Usage'!I32</f>
        <v>8</v>
      </c>
      <c r="I104" s="299">
        <f>'SAP BW Actual Usage'!J32</f>
        <v>8</v>
      </c>
      <c r="J104" s="299">
        <f>'SAP BW Actual Usage'!K32</f>
        <v>8</v>
      </c>
      <c r="K104" s="299">
        <f>'SAP BW Actual Usage'!L32</f>
        <v>8</v>
      </c>
      <c r="L104" s="299">
        <f>'SAP BW Actual Usage'!M32</f>
        <v>8</v>
      </c>
      <c r="M104" s="299">
        <f>'SAP BW Actual Usage'!N32</f>
        <v>8</v>
      </c>
    </row>
    <row r="105" spans="1:13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</row>
    <row r="106" spans="1:13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</row>
    <row r="107" spans="1:13">
      <c r="A107" s="344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</row>
    <row r="108" spans="1:13">
      <c r="A108" s="344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</row>
    <row r="109" spans="1:13">
      <c r="A109" s="344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</row>
    <row r="110" spans="1:13">
      <c r="A110" s="344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</row>
    <row r="111" spans="1:13"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</row>
    <row r="112" spans="1:13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</row>
    <row r="113" spans="2:13"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</row>
    <row r="114" spans="2:13"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</row>
    <row r="115" spans="2:13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</row>
    <row r="116" spans="2:13"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</row>
    <row r="117" spans="2:13"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</row>
    <row r="118" spans="2:13"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</row>
    <row r="119" spans="2:13"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</row>
    <row r="120" spans="2:13"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</row>
    <row r="121" spans="2:13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</row>
    <row r="122" spans="2:13"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</row>
    <row r="123" spans="2:13"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2:13"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2:13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</row>
    <row r="126" spans="2:13"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</row>
    <row r="127" spans="2:13"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</row>
    <row r="128" spans="2:13"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</row>
    <row r="129" spans="2:13"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</row>
    <row r="130" spans="2:13"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</row>
    <row r="131" spans="2:13"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</row>
    <row r="132" spans="2:13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</row>
    <row r="133" spans="2:13"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</row>
    <row r="134" spans="2:13"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</row>
    <row r="135" spans="2:13"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</row>
    <row r="136" spans="2:13"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</row>
    <row r="137" spans="2:13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</row>
    <row r="138" spans="2:13"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</row>
    <row r="139" spans="2:13"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</row>
    <row r="140" spans="2:13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</row>
    <row r="141" spans="2:13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</row>
    <row r="142" spans="2:13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activeCell="B28" sqref="B28"/>
    </sheetView>
  </sheetViews>
  <sheetFormatPr defaultRowHeight="12.75"/>
  <cols>
    <col min="1" max="1" width="27.7109375" customWidth="1"/>
    <col min="2" max="14" width="16" customWidth="1"/>
    <col min="16" max="16" width="14.28515625" customWidth="1"/>
    <col min="17" max="17" width="12.28515625" customWidth="1"/>
  </cols>
  <sheetData>
    <row r="1" spans="1:28">
      <c r="A1" s="67" t="s">
        <v>41</v>
      </c>
    </row>
    <row r="2" spans="1:28">
      <c r="A2" s="67" t="s">
        <v>28</v>
      </c>
    </row>
    <row r="3" spans="1:28">
      <c r="A3" s="30"/>
    </row>
    <row r="4" spans="1:28">
      <c r="A4" s="110"/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4">
        <f>'Actual Total Usage'!B8+'Temp Adj. by Schedule'!B45</f>
        <v>1312478482.8336635</v>
      </c>
      <c r="C8" s="4">
        <f>'Actual Total Usage'!C8+'Temp Adj. by Schedule'!C45</f>
        <v>1081187639.0991576</v>
      </c>
      <c r="D8" s="4">
        <f>'Actual Total Usage'!D8+'Temp Adj. by Schedule'!D45</f>
        <v>1124111667.4870651</v>
      </c>
      <c r="E8" s="4">
        <f>'Actual Total Usage'!E8+'Temp Adj. by Schedule'!E45</f>
        <v>933663404.66798472</v>
      </c>
      <c r="F8" s="4">
        <f>'Actual Total Usage'!F8+'Temp Adj. by Schedule'!F45</f>
        <v>757682043.58456337</v>
      </c>
      <c r="G8" s="4">
        <f>'Actual Total Usage'!G8+'Temp Adj. by Schedule'!G45</f>
        <v>659761976.2122457</v>
      </c>
      <c r="H8" s="4">
        <f>'Actual Total Usage'!H8+'Temp Adj. by Schedule'!H45</f>
        <v>631249836.28234935</v>
      </c>
      <c r="I8" s="4">
        <f>'Actual Total Usage'!I8+'Temp Adj. by Schedule'!I45</f>
        <v>714848180.45086169</v>
      </c>
      <c r="J8" s="4">
        <f>'Actual Total Usage'!J8+'Temp Adj. by Schedule'!J45</f>
        <v>681691509.27155018</v>
      </c>
      <c r="K8" s="4">
        <f>'Actual Total Usage'!K8+'Temp Adj. by Schedule'!K45</f>
        <v>693718260.41482353</v>
      </c>
      <c r="L8" s="4">
        <f>'Actual Total Usage'!L8+'Temp Adj. by Schedule'!L45</f>
        <v>905701012.86647594</v>
      </c>
      <c r="M8" s="4">
        <f>'Actual Total Usage'!M8+'Temp Adj. by Schedule'!M45</f>
        <v>1151652784.0308547</v>
      </c>
      <c r="N8" s="224">
        <f>SUM(B8:M8)</f>
        <v>10647746797.201597</v>
      </c>
      <c r="P8" s="233" t="s">
        <v>49</v>
      </c>
    </row>
    <row r="9" spans="1:28">
      <c r="A9" s="90" t="s">
        <v>30</v>
      </c>
      <c r="B9" s="119">
        <f t="shared" ref="B9:L9" si="0">SUM(B8:B8)</f>
        <v>1312478482.8336635</v>
      </c>
      <c r="C9" s="119">
        <f t="shared" si="0"/>
        <v>1081187639.0991576</v>
      </c>
      <c r="D9" s="119">
        <f t="shared" si="0"/>
        <v>1124111667.4870651</v>
      </c>
      <c r="E9" s="119">
        <f t="shared" si="0"/>
        <v>933663404.66798472</v>
      </c>
      <c r="F9" s="119">
        <f t="shared" si="0"/>
        <v>757682043.58456337</v>
      </c>
      <c r="G9" s="119">
        <f t="shared" si="0"/>
        <v>659761976.2122457</v>
      </c>
      <c r="H9" s="119">
        <f t="shared" si="0"/>
        <v>631249836.28234935</v>
      </c>
      <c r="I9" s="119">
        <f t="shared" si="0"/>
        <v>714848180.45086169</v>
      </c>
      <c r="J9" s="119">
        <f t="shared" si="0"/>
        <v>681691509.27155018</v>
      </c>
      <c r="K9" s="119">
        <f t="shared" si="0"/>
        <v>693718260.41482353</v>
      </c>
      <c r="L9" s="119">
        <f t="shared" si="0"/>
        <v>905701012.86647594</v>
      </c>
      <c r="M9" s="119">
        <f t="shared" ref="M9" si="1">SUM(M8:M8)</f>
        <v>1151652784.0308547</v>
      </c>
      <c r="N9" s="225">
        <f>SUM(B9:M9)</f>
        <v>10647746797.201597</v>
      </c>
      <c r="P9" s="232">
        <f>N9-'Actual Total Usage'!N9</f>
        <v>128083498.13659859</v>
      </c>
      <c r="Q9" s="231">
        <f>P9-'Temp Adj. by Schedule'!N45</f>
        <v>3.2186508178710938E-6</v>
      </c>
    </row>
    <row r="10" spans="1:28">
      <c r="A10" s="91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26"/>
      <c r="P10" s="233"/>
      <c r="Q10" s="231"/>
    </row>
    <row r="11" spans="1:28">
      <c r="A11" s="97" t="s">
        <v>36</v>
      </c>
      <c r="B11" s="4">
        <f>'Actual Total Usage'!B11+'Temp Adj. by Schedule'!B46</f>
        <v>28654898.408190101</v>
      </c>
      <c r="C11" s="4">
        <f>'Actual Total Usage'!C11+'Temp Adj. by Schedule'!C46</f>
        <v>25073657.200204019</v>
      </c>
      <c r="D11" s="4">
        <f>'Actual Total Usage'!D11+'Temp Adj. by Schedule'!D46</f>
        <v>25226861.772845555</v>
      </c>
      <c r="E11" s="4">
        <f>'Actual Total Usage'!E11+'Temp Adj. by Schedule'!E46</f>
        <v>21936594.336895831</v>
      </c>
      <c r="F11" s="4">
        <f>'Actual Total Usage'!F11+'Temp Adj. by Schedule'!F46</f>
        <v>18274189.460017748</v>
      </c>
      <c r="G11" s="4">
        <f>'Actual Total Usage'!G11+'Temp Adj. by Schedule'!G46</f>
        <v>17660630.35421354</v>
      </c>
      <c r="H11" s="4">
        <f>'Actual Total Usage'!H11+'Temp Adj. by Schedule'!H46</f>
        <v>17173302.941944033</v>
      </c>
      <c r="I11" s="4">
        <f>'Actual Total Usage'!I11+'Temp Adj. by Schedule'!I46</f>
        <v>18487311.825759996</v>
      </c>
      <c r="J11" s="4">
        <f>'Actual Total Usage'!J11+'Temp Adj. by Schedule'!J46</f>
        <v>18039274.076880801</v>
      </c>
      <c r="K11" s="4">
        <f>'Actual Total Usage'!K11+'Temp Adj. by Schedule'!K46</f>
        <v>17516648.284850989</v>
      </c>
      <c r="L11" s="4">
        <f>'Actual Total Usage'!L11+'Temp Adj. by Schedule'!L46</f>
        <v>20217709.737547871</v>
      </c>
      <c r="M11" s="4">
        <f>'Actual Total Usage'!M11+'Temp Adj. by Schedule'!M46</f>
        <v>25275565.801041957</v>
      </c>
      <c r="N11" s="224">
        <f>SUM(B11:M11)</f>
        <v>253536644.20039245</v>
      </c>
      <c r="P11" s="232">
        <f>N11-'Actual Total Usage'!N11</f>
        <v>2333857.4803924561</v>
      </c>
      <c r="Q11" s="231">
        <f>P11-'Temp Adj. by Schedule'!N46</f>
        <v>1.3038516044616699E-8</v>
      </c>
    </row>
    <row r="12" spans="1:28" s="88" customFormat="1">
      <c r="A12" s="97" t="s">
        <v>153</v>
      </c>
      <c r="B12" s="120">
        <f>'Actual Total Usage'!B12+'Temp Adj. by Schedule'!B47</f>
        <v>250024272.26772556</v>
      </c>
      <c r="C12" s="120">
        <f>'Actual Total Usage'!C12+'Temp Adj. by Schedule'!C47</f>
        <v>220054811.4900369</v>
      </c>
      <c r="D12" s="120">
        <f>'Actual Total Usage'!D12+'Temp Adj. by Schedule'!D47</f>
        <v>225313379.37077683</v>
      </c>
      <c r="E12" s="120">
        <f>'Actual Total Usage'!E12+'Temp Adj. by Schedule'!E47</f>
        <v>201269301.62262839</v>
      </c>
      <c r="F12" s="120">
        <f>'Actual Total Usage'!F12+'Temp Adj. by Schedule'!F47</f>
        <v>186293063.81996647</v>
      </c>
      <c r="G12" s="120">
        <f>'Actual Total Usage'!G12+'Temp Adj. by Schedule'!G47</f>
        <v>183469569.60039744</v>
      </c>
      <c r="H12" s="120">
        <f>'Actual Total Usage'!H12+'Temp Adj. by Schedule'!H47</f>
        <v>184969394.14152971</v>
      </c>
      <c r="I12" s="120">
        <f>'Actual Total Usage'!I12+'Temp Adj. by Schedule'!I47</f>
        <v>204201486.13347945</v>
      </c>
      <c r="J12" s="120">
        <f>'Actual Total Usage'!J12+'Temp Adj. by Schedule'!J47</f>
        <v>196341064.28616816</v>
      </c>
      <c r="K12" s="120">
        <f>'Actual Total Usage'!K12+'Temp Adj. by Schedule'!K47</f>
        <v>182409879.85561514</v>
      </c>
      <c r="L12" s="120">
        <f>'Actual Total Usage'!L12+'Temp Adj. by Schedule'!L47</f>
        <v>197281388.11405909</v>
      </c>
      <c r="M12" s="120">
        <f>'Actual Total Usage'!M12+'Temp Adj. by Schedule'!M47</f>
        <v>222413779.72272718</v>
      </c>
      <c r="N12" s="94">
        <f>SUM(B12:M12)</f>
        <v>2454041390.4251103</v>
      </c>
      <c r="P12" s="232">
        <f>N12-'Actual Total Usage'!N12</f>
        <v>7074616.7811107635</v>
      </c>
      <c r="Q12" s="231">
        <f>P12-'Temp Adj. by Schedule'!N47</f>
        <v>3.3155083656311035E-7</v>
      </c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9">
        <f t="shared" ref="B13:L13" si="2">SUM(B11:B12)</f>
        <v>278679170.67591566</v>
      </c>
      <c r="C13" s="119">
        <f t="shared" si="2"/>
        <v>245128468.69024092</v>
      </c>
      <c r="D13" s="119">
        <f t="shared" si="2"/>
        <v>250540241.1436224</v>
      </c>
      <c r="E13" s="119">
        <f t="shared" si="2"/>
        <v>223205895.95952421</v>
      </c>
      <c r="F13" s="119">
        <f t="shared" si="2"/>
        <v>204567253.27998421</v>
      </c>
      <c r="G13" s="119">
        <f t="shared" si="2"/>
        <v>201130199.95461097</v>
      </c>
      <c r="H13" s="119">
        <f t="shared" si="2"/>
        <v>202142697.08347374</v>
      </c>
      <c r="I13" s="119">
        <f t="shared" si="2"/>
        <v>222688797.95923945</v>
      </c>
      <c r="J13" s="119">
        <f t="shared" si="2"/>
        <v>214380338.36304897</v>
      </c>
      <c r="K13" s="119">
        <f t="shared" si="2"/>
        <v>199926528.14046612</v>
      </c>
      <c r="L13" s="119">
        <f t="shared" si="2"/>
        <v>217499097.85160697</v>
      </c>
      <c r="M13" s="119">
        <f t="shared" ref="M13" si="3">SUM(M11:M12)</f>
        <v>247689345.52376914</v>
      </c>
      <c r="N13" s="225">
        <f>SUM(B13:M13)</f>
        <v>2707578034.6255026</v>
      </c>
      <c r="P13" s="232"/>
      <c r="Q13" s="231"/>
    </row>
    <row r="14" spans="1:28">
      <c r="A14" s="91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24"/>
      <c r="P14" s="233"/>
      <c r="Q14" s="231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4">
        <f>'Actual Total Usage'!B15+'Temp Adj. by Schedule'!B48</f>
        <v>15470485.043487655</v>
      </c>
      <c r="C15" s="4">
        <f>'Actual Total Usage'!C15+'Temp Adj. by Schedule'!C48</f>
        <v>13187126.153901452</v>
      </c>
      <c r="D15" s="4">
        <f>'Actual Total Usage'!D15+'Temp Adj. by Schedule'!D48</f>
        <v>13737264.614201911</v>
      </c>
      <c r="E15" s="4">
        <f>'Actual Total Usage'!E15+'Temp Adj. by Schedule'!E48</f>
        <v>11948583.093601178</v>
      </c>
      <c r="F15" s="4">
        <f>'Actual Total Usage'!F15+'Temp Adj. by Schedule'!F48</f>
        <v>10738488.103565283</v>
      </c>
      <c r="G15" s="4">
        <f>'Actual Total Usage'!G15+'Temp Adj. by Schedule'!G48</f>
        <v>10184884.897620693</v>
      </c>
      <c r="H15" s="4">
        <f>'Actual Total Usage'!H15+'Temp Adj. by Schedule'!H48</f>
        <v>9971051.5626008492</v>
      </c>
      <c r="I15" s="4">
        <f>'Actual Total Usage'!I15+'Temp Adj. by Schedule'!I48</f>
        <v>12240609.237473043</v>
      </c>
      <c r="J15" s="4">
        <f>'Actual Total Usage'!J15+'Temp Adj. by Schedule'!J48</f>
        <v>10910304.989748191</v>
      </c>
      <c r="K15" s="4">
        <f>'Actual Total Usage'!K15+'Temp Adj. by Schedule'!K48</f>
        <v>10723758.823235514</v>
      </c>
      <c r="L15" s="4">
        <f>'Actual Total Usage'!L15+'Temp Adj. by Schedule'!L48</f>
        <v>11927729.822764561</v>
      </c>
      <c r="M15" s="4">
        <f>'Actual Total Usage'!M15+'Temp Adj. by Schedule'!M48</f>
        <v>13950288.272190481</v>
      </c>
      <c r="N15" s="224">
        <f>SUM(B15:M15)</f>
        <v>144990574.61439082</v>
      </c>
      <c r="P15" s="232">
        <f>N15-'Actual Total Usage'!N15</f>
        <v>710933.31539082527</v>
      </c>
      <c r="Q15" s="231">
        <f>P15-'Temp Adj. by Schedule'!N48</f>
        <v>1.3271346688270569E-8</v>
      </c>
    </row>
    <row r="16" spans="1:28" s="88" customFormat="1">
      <c r="A16" s="97" t="s">
        <v>154</v>
      </c>
      <c r="B16" s="120">
        <f>'Actual Total Usage'!B16+'Temp Adj. by Schedule'!B49</f>
        <v>258226822.54609665</v>
      </c>
      <c r="C16" s="120">
        <f>'Actual Total Usage'!C16+'Temp Adj. by Schedule'!C49</f>
        <v>243931871.93364576</v>
      </c>
      <c r="D16" s="120">
        <f>'Actual Total Usage'!D16+'Temp Adj. by Schedule'!D49</f>
        <v>248833854.19228622</v>
      </c>
      <c r="E16" s="120">
        <f>'Actual Total Usage'!E16+'Temp Adj. by Schedule'!E49</f>
        <v>231705069.87074754</v>
      </c>
      <c r="F16" s="120">
        <f>'Actual Total Usage'!F16+'Temp Adj. by Schedule'!F49</f>
        <v>227065267.98029324</v>
      </c>
      <c r="G16" s="120">
        <f>'Actual Total Usage'!G16+'Temp Adj. by Schedule'!G49</f>
        <v>221957562.72834712</v>
      </c>
      <c r="H16" s="120">
        <f>'Actual Total Usage'!H16+'Temp Adj. by Schedule'!H49</f>
        <v>219662365.2337454</v>
      </c>
      <c r="I16" s="120">
        <f>'Actual Total Usage'!I16+'Temp Adj. by Schedule'!I49</f>
        <v>251682336.09077811</v>
      </c>
      <c r="J16" s="120">
        <f>'Actual Total Usage'!J16+'Temp Adj. by Schedule'!J49</f>
        <v>231048140.00054011</v>
      </c>
      <c r="K16" s="120">
        <f>'Actual Total Usage'!K16+'Temp Adj. by Schedule'!K49</f>
        <v>219232556.1996626</v>
      </c>
      <c r="L16" s="120">
        <f>'Actual Total Usage'!L16+'Temp Adj. by Schedule'!L49</f>
        <v>228182332.77837625</v>
      </c>
      <c r="M16" s="120">
        <f>'Actual Total Usage'!M16+'Temp Adj. by Schedule'!M49</f>
        <v>252252760.67802849</v>
      </c>
      <c r="N16" s="94">
        <f>SUM(B16:M16)</f>
        <v>2833780940.2325473</v>
      </c>
      <c r="P16" s="232">
        <f>N16-'Actual Total Usage'!N16</f>
        <v>664618.30354690552</v>
      </c>
      <c r="Q16" s="231">
        <f>P16-'Temp Adj. by Schedule'!N49</f>
        <v>-4.9080699682235718E-7</v>
      </c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9">
        <f t="shared" ref="B17:L17" si="4">SUM(B15:B16)</f>
        <v>273697307.58958429</v>
      </c>
      <c r="C17" s="119">
        <f t="shared" si="4"/>
        <v>257118998.08754721</v>
      </c>
      <c r="D17" s="119">
        <f t="shared" si="4"/>
        <v>262571118.80648813</v>
      </c>
      <c r="E17" s="119">
        <f t="shared" si="4"/>
        <v>243653652.9643487</v>
      </c>
      <c r="F17" s="119">
        <f t="shared" si="4"/>
        <v>237803756.08385852</v>
      </c>
      <c r="G17" s="119">
        <f t="shared" si="4"/>
        <v>232142447.6259678</v>
      </c>
      <c r="H17" s="119">
        <f t="shared" si="4"/>
        <v>229633416.79634625</v>
      </c>
      <c r="I17" s="119">
        <f t="shared" si="4"/>
        <v>263922945.32825115</v>
      </c>
      <c r="J17" s="119">
        <f t="shared" si="4"/>
        <v>241958444.99028829</v>
      </c>
      <c r="K17" s="119">
        <f t="shared" si="4"/>
        <v>229956315.02289811</v>
      </c>
      <c r="L17" s="119">
        <f t="shared" si="4"/>
        <v>240110062.6011408</v>
      </c>
      <c r="M17" s="119">
        <f t="shared" ref="M17" si="5">SUM(M15:M16)</f>
        <v>266203048.95021898</v>
      </c>
      <c r="N17" s="225">
        <f>SUM(B17:M17)</f>
        <v>2978771514.8469386</v>
      </c>
      <c r="P17" s="232"/>
      <c r="Q17" s="231"/>
    </row>
    <row r="18" spans="1:28">
      <c r="A18" s="9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24"/>
      <c r="P18" s="233"/>
      <c r="Q18" s="231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4">
        <f>'Actual Total Usage'!B19+'Temp Adj. by Schedule'!B50</f>
        <v>1744576.1891262766</v>
      </c>
      <c r="C19" s="4">
        <f>'Actual Total Usage'!C19+'Temp Adj. by Schedule'!C50</f>
        <v>1371364.8512512157</v>
      </c>
      <c r="D19" s="4">
        <f>'Actual Total Usage'!D19+'Temp Adj. by Schedule'!D50</f>
        <v>1534190.6394492632</v>
      </c>
      <c r="E19" s="4">
        <f>'Actual Total Usage'!E19+'Temp Adj. by Schedule'!E50</f>
        <v>1459101.4286596116</v>
      </c>
      <c r="F19" s="4">
        <f>'Actual Total Usage'!F19+'Temp Adj. by Schedule'!F50</f>
        <v>1140729.0829373805</v>
      </c>
      <c r="G19" s="4">
        <f>'Actual Total Usage'!G19+'Temp Adj. by Schedule'!G50</f>
        <v>961587.03333755094</v>
      </c>
      <c r="H19" s="4">
        <f>'Actual Total Usage'!H19+'Temp Adj. by Schedule'!H50</f>
        <v>1055280.172912667</v>
      </c>
      <c r="I19" s="4">
        <f>'Actual Total Usage'!I19+'Temp Adj. by Schedule'!I50</f>
        <v>2160042.3506782777</v>
      </c>
      <c r="J19" s="4">
        <f>'Actual Total Usage'!J19+'Temp Adj. by Schedule'!J50</f>
        <v>1450295.0293243823</v>
      </c>
      <c r="K19" s="4">
        <f>'Actual Total Usage'!K19+'Temp Adj. by Schedule'!K50</f>
        <v>1199777.2405365212</v>
      </c>
      <c r="L19" s="4">
        <f>'Actual Total Usage'!L19+'Temp Adj. by Schedule'!L50</f>
        <v>1334985.0007827494</v>
      </c>
      <c r="M19" s="4">
        <f>'Actual Total Usage'!M19+'Temp Adj. by Schedule'!M50</f>
        <v>1538941.2046368769</v>
      </c>
      <c r="N19" s="224">
        <f>SUM(B19:M19)</f>
        <v>16950870.223632772</v>
      </c>
      <c r="P19" s="232">
        <f>N19-'Actual Total Usage'!N19</f>
        <v>190990.22363277152</v>
      </c>
      <c r="Q19" s="231">
        <f>P19-'Temp Adj. by Schedule'!N50</f>
        <v>-1.6880221664905548E-9</v>
      </c>
    </row>
    <row r="20" spans="1:28" s="88" customFormat="1">
      <c r="A20" s="97" t="s">
        <v>155</v>
      </c>
      <c r="B20" s="120">
        <f>'Actual Total Usage'!B20+'Temp Adj. by Schedule'!B51</f>
        <v>156985371.57488182</v>
      </c>
      <c r="C20" s="120">
        <f>'Actual Total Usage'!C20+'Temp Adj. by Schedule'!C51</f>
        <v>157309688.38501245</v>
      </c>
      <c r="D20" s="120">
        <f>'Actual Total Usage'!D20+'Temp Adj. by Schedule'!D51</f>
        <v>146458795.71732599</v>
      </c>
      <c r="E20" s="120">
        <f>'Actual Total Usage'!E20+'Temp Adj. by Schedule'!E51</f>
        <v>143276163.91998932</v>
      </c>
      <c r="F20" s="120">
        <f>'Actual Total Usage'!F20+'Temp Adj. by Schedule'!F51</f>
        <v>148922466.30326706</v>
      </c>
      <c r="G20" s="120">
        <f>'Actual Total Usage'!G20+'Temp Adj. by Schedule'!G51</f>
        <v>155036885.38062063</v>
      </c>
      <c r="H20" s="120">
        <f>'Actual Total Usage'!H20+'Temp Adj. by Schedule'!H51</f>
        <v>157802724.16598189</v>
      </c>
      <c r="I20" s="120">
        <f>'Actual Total Usage'!I20+'Temp Adj. by Schedule'!I51</f>
        <v>181533187.25324288</v>
      </c>
      <c r="J20" s="120">
        <f>'Actual Total Usage'!J20+'Temp Adj. by Schedule'!J51</f>
        <v>165634422.84236202</v>
      </c>
      <c r="K20" s="120">
        <f>'Actual Total Usage'!K20+'Temp Adj. by Schedule'!K51</f>
        <v>154809547.65509978</v>
      </c>
      <c r="L20" s="120">
        <f>'Actual Total Usage'!L20+'Temp Adj. by Schedule'!L51</f>
        <v>145950233.13539562</v>
      </c>
      <c r="M20" s="120">
        <f>'Actual Total Usage'!M20+'Temp Adj. by Schedule'!M51</f>
        <v>159329438.61594129</v>
      </c>
      <c r="N20" s="94">
        <f>SUM(B20:M20)</f>
        <v>1873048924.9491208</v>
      </c>
      <c r="P20" s="232">
        <f>N20-'Actual Total Usage'!N20</f>
        <v>-4971337.5798790455</v>
      </c>
      <c r="Q20" s="231">
        <f>P20-'Temp Adj. by Schedule'!N51</f>
        <v>1.7695128917694092E-7</v>
      </c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9">
        <f t="shared" ref="B21:L21" si="6">SUM(B19:B20)</f>
        <v>158729947.7640081</v>
      </c>
      <c r="C21" s="119">
        <f t="shared" si="6"/>
        <v>158681053.23626366</v>
      </c>
      <c r="D21" s="119">
        <f t="shared" si="6"/>
        <v>147992986.35677525</v>
      </c>
      <c r="E21" s="119">
        <f t="shared" si="6"/>
        <v>144735265.34864894</v>
      </c>
      <c r="F21" s="119">
        <f t="shared" si="6"/>
        <v>150063195.38620445</v>
      </c>
      <c r="G21" s="119">
        <f t="shared" si="6"/>
        <v>155998472.41395819</v>
      </c>
      <c r="H21" s="119">
        <f t="shared" si="6"/>
        <v>158858004.33889455</v>
      </c>
      <c r="I21" s="119">
        <f t="shared" si="6"/>
        <v>183693229.60392115</v>
      </c>
      <c r="J21" s="119">
        <f t="shared" si="6"/>
        <v>167084717.8716864</v>
      </c>
      <c r="K21" s="119">
        <f t="shared" si="6"/>
        <v>156009324.89563629</v>
      </c>
      <c r="L21" s="119">
        <f t="shared" si="6"/>
        <v>147285218.13617837</v>
      </c>
      <c r="M21" s="119">
        <f t="shared" ref="M21" si="7">SUM(M19:M20)</f>
        <v>160868379.82057816</v>
      </c>
      <c r="N21" s="225">
        <f>SUM(B21:M21)</f>
        <v>1889999795.1727538</v>
      </c>
      <c r="P21" s="232"/>
      <c r="Q21" s="231"/>
    </row>
    <row r="22" spans="1:28">
      <c r="A22" s="91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24"/>
      <c r="P22" s="233"/>
      <c r="Q22" s="231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4">
        <f>'Actual Total Usage'!B23+'Temp Adj. by Schedule'!B52</f>
        <v>3227846.7362234136</v>
      </c>
      <c r="C23" s="4">
        <f>'Actual Total Usage'!C23+'Temp Adj. by Schedule'!C52</f>
        <v>2532171.4745036447</v>
      </c>
      <c r="D23" s="4">
        <f>'Actual Total Usage'!D23+'Temp Adj. by Schedule'!D52</f>
        <v>2846020.5046865037</v>
      </c>
      <c r="E23" s="4">
        <f>'Actual Total Usage'!E23+'Temp Adj. by Schedule'!E52</f>
        <v>2501464.6140567041</v>
      </c>
      <c r="F23" s="4">
        <f>'Actual Total Usage'!F23+'Temp Adj. by Schedule'!F52</f>
        <v>2295608.6316458848</v>
      </c>
      <c r="G23" s="4">
        <f>'Actual Total Usage'!G23+'Temp Adj. by Schedule'!G52</f>
        <v>2300899.6721446877</v>
      </c>
      <c r="H23" s="4">
        <f>'Actual Total Usage'!H23+'Temp Adj. by Schedule'!H52</f>
        <v>2177531.2570399004</v>
      </c>
      <c r="I23" s="4">
        <f>'Actual Total Usage'!I23+'Temp Adj. by Schedule'!I52</f>
        <v>2309601.1397983534</v>
      </c>
      <c r="J23" s="4">
        <f>'Actual Total Usage'!J23+'Temp Adj. by Schedule'!J52</f>
        <v>2429845.9836222297</v>
      </c>
      <c r="K23" s="4">
        <f>'Actual Total Usage'!K23+'Temp Adj. by Schedule'!K52</f>
        <v>2301106.8262531259</v>
      </c>
      <c r="L23" s="4">
        <f>'Actual Total Usage'!L23+'Temp Adj. by Schedule'!L52</f>
        <v>1804805.5226762721</v>
      </c>
      <c r="M23" s="4">
        <f>'Actual Total Usage'!M23+'Temp Adj. by Schedule'!M52</f>
        <v>3430297.2672824655</v>
      </c>
      <c r="N23" s="224">
        <f>SUM(B23:M23)</f>
        <v>30157199.629933186</v>
      </c>
      <c r="P23" s="232">
        <f>N23-'Actual Total Usage'!N23</f>
        <v>203339.62993318588</v>
      </c>
      <c r="Q23" s="231">
        <f>P23-'Temp Adj. by Schedule'!N52</f>
        <v>-3.4924596548080444E-10</v>
      </c>
    </row>
    <row r="24" spans="1:28" s="88" customFormat="1">
      <c r="A24" s="97" t="s">
        <v>6</v>
      </c>
      <c r="B24" s="120">
        <f>'Actual Total Usage'!B24+'Temp Adj. by Schedule'!B53</f>
        <v>111778531.82077776</v>
      </c>
      <c r="C24" s="120">
        <f>'Actual Total Usage'!C24+'Temp Adj. by Schedule'!C53</f>
        <v>112151044.02028885</v>
      </c>
      <c r="D24" s="120">
        <f>'Actual Total Usage'!D24+'Temp Adj. by Schedule'!D53</f>
        <v>100944363.29917958</v>
      </c>
      <c r="E24" s="120">
        <f>'Actual Total Usage'!E24+'Temp Adj. by Schedule'!E53</f>
        <v>106268329.08517618</v>
      </c>
      <c r="F24" s="120">
        <f>'Actual Total Usage'!F24+'Temp Adj. by Schedule'!F53</f>
        <v>103221910.35878736</v>
      </c>
      <c r="G24" s="120">
        <f>'Actual Total Usage'!G24+'Temp Adj. by Schedule'!G53</f>
        <v>100986596.46566468</v>
      </c>
      <c r="H24" s="120">
        <f>'Actual Total Usage'!H24+'Temp Adj. by Schedule'!H53</f>
        <v>105854582.2746568</v>
      </c>
      <c r="I24" s="120">
        <f>'Actual Total Usage'!I24+'Temp Adj. by Schedule'!I53</f>
        <v>111276136.92301372</v>
      </c>
      <c r="J24" s="120">
        <f>'Actual Total Usage'!J24+'Temp Adj. by Schedule'!J53</f>
        <v>108749187.33606902</v>
      </c>
      <c r="K24" s="120">
        <f>'Actual Total Usage'!K24+'Temp Adj. by Schedule'!K53</f>
        <v>100750157.06544925</v>
      </c>
      <c r="L24" s="120">
        <f>'Actual Total Usage'!L24+'Temp Adj. by Schedule'!L53</f>
        <v>96703365.824844971</v>
      </c>
      <c r="M24" s="120">
        <f>'Actual Total Usage'!M24+'Temp Adj. by Schedule'!M53</f>
        <v>108577313.97259343</v>
      </c>
      <c r="N24" s="94">
        <f>SUM(B24:M24)</f>
        <v>1267261518.4465013</v>
      </c>
      <c r="P24" s="232">
        <f>N24-'Actual Total Usage'!N24</f>
        <v>-642589.39049863815</v>
      </c>
      <c r="Q24" s="231">
        <f>P24-'Temp Adj. by Schedule'!N53</f>
        <v>-2.6728957891464233E-7</v>
      </c>
    </row>
    <row r="25" spans="1:28">
      <c r="A25" s="90" t="s">
        <v>34</v>
      </c>
      <c r="B25" s="119">
        <f t="shared" ref="B25:L25" si="8">SUM(B23:B24)</f>
        <v>115006378.55700117</v>
      </c>
      <c r="C25" s="119">
        <f t="shared" si="8"/>
        <v>114683215.49479251</v>
      </c>
      <c r="D25" s="119">
        <f t="shared" si="8"/>
        <v>103790383.80386609</v>
      </c>
      <c r="E25" s="119">
        <f t="shared" si="8"/>
        <v>108769793.69923289</v>
      </c>
      <c r="F25" s="119">
        <f t="shared" si="8"/>
        <v>105517518.99043325</v>
      </c>
      <c r="G25" s="119">
        <f t="shared" si="8"/>
        <v>103287496.13780937</v>
      </c>
      <c r="H25" s="119">
        <f t="shared" si="8"/>
        <v>108032113.53169671</v>
      </c>
      <c r="I25" s="119">
        <f t="shared" si="8"/>
        <v>113585738.06281208</v>
      </c>
      <c r="J25" s="119">
        <f t="shared" si="8"/>
        <v>111179033.31969124</v>
      </c>
      <c r="K25" s="119">
        <f t="shared" si="8"/>
        <v>103051263.89170238</v>
      </c>
      <c r="L25" s="119">
        <f t="shared" si="8"/>
        <v>98508171.347521245</v>
      </c>
      <c r="M25" s="119">
        <f t="shared" ref="M25" si="9">SUM(M23:M24)</f>
        <v>112007611.2398759</v>
      </c>
      <c r="N25" s="225">
        <f>SUM(N23:N24)</f>
        <v>1297418718.0764344</v>
      </c>
      <c r="P25" s="232"/>
      <c r="Q25" s="231"/>
    </row>
    <row r="26" spans="1:28">
      <c r="A26" s="91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24"/>
      <c r="P26" s="233"/>
      <c r="Q26" s="231"/>
    </row>
    <row r="27" spans="1:28">
      <c r="A27" s="90" t="s">
        <v>5</v>
      </c>
      <c r="B27" s="4">
        <f>'Actual Total Usage'!B27+'Temp Adj. by Schedule'!B54</f>
        <v>269388.78899999999</v>
      </c>
      <c r="C27" s="4">
        <f>'Actual Total Usage'!C27+'Temp Adj. by Schedule'!C54</f>
        <v>276136.7</v>
      </c>
      <c r="D27" s="4">
        <f>'Actual Total Usage'!D27+'Temp Adj. by Schedule'!D54</f>
        <v>280808.11599999998</v>
      </c>
      <c r="E27" s="4">
        <f>'Actual Total Usage'!E27+'Temp Adj. by Schedule'!E54</f>
        <v>266694.74800000002</v>
      </c>
      <c r="F27" s="4">
        <f>'Actual Total Usage'!F27+'Temp Adj. by Schedule'!F54</f>
        <v>692132.65385390399</v>
      </c>
      <c r="G27" s="4">
        <f>'Actual Total Usage'!G27+'Temp Adj. by Schedule'!G54</f>
        <v>1853365.0875184496</v>
      </c>
      <c r="H27" s="4">
        <f>'Actual Total Usage'!H27+'Temp Adj. by Schedule'!H54</f>
        <v>3163665.8384305756</v>
      </c>
      <c r="I27" s="4">
        <f>'Actual Total Usage'!I27+'Temp Adj. by Schedule'!I54</f>
        <v>4378123.3659731718</v>
      </c>
      <c r="J27" s="4">
        <f>'Actual Total Usage'!J27+'Temp Adj. by Schedule'!J54</f>
        <v>3445426.0158801177</v>
      </c>
      <c r="K27" s="4">
        <f>'Actual Total Usage'!K27+'Temp Adj. by Schedule'!K54</f>
        <v>1100229.371</v>
      </c>
      <c r="L27" s="4">
        <f>'Actual Total Usage'!L27+'Temp Adj. by Schedule'!L54</f>
        <v>309864.799</v>
      </c>
      <c r="M27" s="4">
        <f>'Actual Total Usage'!M27+'Temp Adj. by Schedule'!M54</f>
        <v>224088.198</v>
      </c>
      <c r="N27" s="224">
        <f t="shared" ref="N27:N30" si="10">SUM(B27:M27)</f>
        <v>16259923.682656219</v>
      </c>
      <c r="P27" s="232">
        <f>N27-'Actual Total Usage'!N27</f>
        <v>-466216.3613437824</v>
      </c>
      <c r="Q27" s="231">
        <f>P27-'Temp Adj. by Schedule'!N54</f>
        <v>-1.280568540096283E-9</v>
      </c>
    </row>
    <row r="28" spans="1:28">
      <c r="A28" s="90" t="s">
        <v>24</v>
      </c>
      <c r="B28" s="4">
        <f>'Actual Total Usage'!B28+'Temp Adj. by Schedule'!B55</f>
        <v>46069022.971372664</v>
      </c>
      <c r="C28" s="4">
        <f>'Actual Total Usage'!C28+'Temp Adj. by Schedule'!C55</f>
        <v>43733919.691333957</v>
      </c>
      <c r="D28" s="4">
        <f>'Actual Total Usage'!D28+'Temp Adj. by Schedule'!D55</f>
        <v>44486104.677806675</v>
      </c>
      <c r="E28" s="4">
        <f>'Actual Total Usage'!E28+'Temp Adj. by Schedule'!E55</f>
        <v>42585838.534201734</v>
      </c>
      <c r="F28" s="4">
        <f>'Actual Total Usage'!F28+'Temp Adj. by Schedule'!F55</f>
        <v>42098701.132862717</v>
      </c>
      <c r="G28" s="4">
        <f>'Actual Total Usage'!G28+'Temp Adj. by Schedule'!G55</f>
        <v>36355963.409268282</v>
      </c>
      <c r="H28" s="4">
        <f>'Actual Total Usage'!H28+'Temp Adj. by Schedule'!H55</f>
        <v>47638125.478356734</v>
      </c>
      <c r="I28" s="4">
        <f>'Actual Total Usage'!I28+'Temp Adj. by Schedule'!I55</f>
        <v>46131249.610161714</v>
      </c>
      <c r="J28" s="4">
        <f>'Actual Total Usage'!J28+'Temp Adj. by Schedule'!J55</f>
        <v>43415962.344298206</v>
      </c>
      <c r="K28" s="4">
        <f>'Actual Total Usage'!K28+'Temp Adj. by Schedule'!K55</f>
        <v>35113314.727371693</v>
      </c>
      <c r="L28" s="4">
        <f>'Actual Total Usage'!L28+'Temp Adj. by Schedule'!L55</f>
        <v>47515206.209027752</v>
      </c>
      <c r="M28" s="4">
        <f>'Actual Total Usage'!M28+'Temp Adj. by Schedule'!M55</f>
        <v>42578806.473124996</v>
      </c>
      <c r="N28" s="224">
        <f t="shared" si="10"/>
        <v>517722215.2591871</v>
      </c>
      <c r="P28" s="232">
        <f>N28-'Actual Total Usage'!N28</f>
        <v>-823233.98581290245</v>
      </c>
      <c r="Q28" s="231">
        <f>P28-'Temp Adj. by Schedule'!N55</f>
        <v>-2.6309862732887268E-8</v>
      </c>
    </row>
    <row r="29" spans="1:28" s="99" customFormat="1">
      <c r="A29" s="102" t="s">
        <v>8</v>
      </c>
      <c r="B29" s="4">
        <f>'Actual Total Usage'!B29+'Temp Adj. by Schedule'!B56</f>
        <v>15984509.200517865</v>
      </c>
      <c r="C29" s="4">
        <f>'Actual Total Usage'!C29+'Temp Adj. by Schedule'!C56</f>
        <v>12542908.577137293</v>
      </c>
      <c r="D29" s="4">
        <f>'Actual Total Usage'!D29+'Temp Adj. by Schedule'!D56</f>
        <v>14881072.003024999</v>
      </c>
      <c r="E29" s="4">
        <f>'Actual Total Usage'!E29+'Temp Adj. by Schedule'!E56</f>
        <v>12291254.040215736</v>
      </c>
      <c r="F29" s="4">
        <f>'Actual Total Usage'!F29+'Temp Adj. by Schedule'!F56</f>
        <v>9723226.7737213261</v>
      </c>
      <c r="G29" s="4">
        <f>'Actual Total Usage'!G29+'Temp Adj. by Schedule'!G56</f>
        <v>8185652.6829803651</v>
      </c>
      <c r="H29" s="4">
        <f>'Actual Total Usage'!H29+'Temp Adj. by Schedule'!H56</f>
        <v>6090574.6375682931</v>
      </c>
      <c r="I29" s="4">
        <f>'Actual Total Usage'!I29+'Temp Adj. by Schedule'!I56</f>
        <v>5438857.834532992</v>
      </c>
      <c r="J29" s="4">
        <f>'Actual Total Usage'!J29+'Temp Adj. by Schedule'!J56</f>
        <v>5754651.3390354412</v>
      </c>
      <c r="K29" s="4">
        <f>'Actual Total Usage'!K29+'Temp Adj. by Schedule'!K56</f>
        <v>8072675.8809875436</v>
      </c>
      <c r="L29" s="4">
        <f>'Actual Total Usage'!L29+'Temp Adj. by Schedule'!L56</f>
        <v>10198784.454522111</v>
      </c>
      <c r="M29" s="4">
        <f>'Actual Total Usage'!M29+'Temp Adj. by Schedule'!M56</f>
        <v>13778477.715450067</v>
      </c>
      <c r="N29" s="227">
        <f t="shared" si="10"/>
        <v>122942645.13969402</v>
      </c>
      <c r="P29" s="232">
        <f>N29-'Actual Total Usage'!N29</f>
        <v>2803305.1896940172</v>
      </c>
      <c r="Q29" s="231">
        <f>P29-'Temp Adj. by Schedule'!N56</f>
        <v>-1.4901161193847656E-8</v>
      </c>
    </row>
    <row r="30" spans="1:28">
      <c r="A30" s="96" t="s">
        <v>59</v>
      </c>
      <c r="B30" s="4">
        <f>'Actual Total Usage'!B30+'Temp Adj. by Schedule'!B57</f>
        <v>1029010.5756855715</v>
      </c>
      <c r="C30" s="4">
        <f>'Actual Total Usage'!C30+'Temp Adj. by Schedule'!C57</f>
        <v>877424.39898533048</v>
      </c>
      <c r="D30" s="4">
        <f>'Actual Total Usage'!D30+'Temp Adj. by Schedule'!D57</f>
        <v>945410.87945338455</v>
      </c>
      <c r="E30" s="4">
        <f>'Actual Total Usage'!E30+'Temp Adj. by Schedule'!E57</f>
        <v>781385.86538892204</v>
      </c>
      <c r="F30" s="4">
        <f>'Actual Total Usage'!F30+'Temp Adj. by Schedule'!F57</f>
        <v>601117.35555260349</v>
      </c>
      <c r="G30" s="4">
        <f>'Actual Total Usage'!G30+'Temp Adj. by Schedule'!G57</f>
        <v>387267.51144258055</v>
      </c>
      <c r="H30" s="4">
        <f>'Actual Total Usage'!H30+'Temp Adj. by Schedule'!H57</f>
        <v>311337.12301843311</v>
      </c>
      <c r="I30" s="4">
        <f>'Actual Total Usage'!I30+'Temp Adj. by Schedule'!I57</f>
        <v>282563.25881447532</v>
      </c>
      <c r="J30" s="4">
        <f>'Actual Total Usage'!J30+'Temp Adj. by Schedule'!J57</f>
        <v>298426.79422679893</v>
      </c>
      <c r="K30" s="4">
        <f>'Actual Total Usage'!K30+'Temp Adj. by Schedule'!K57</f>
        <v>356601.78508422303</v>
      </c>
      <c r="L30" s="4">
        <f>'Actual Total Usage'!L30+'Temp Adj. by Schedule'!L57</f>
        <v>546846.45175589423</v>
      </c>
      <c r="M30" s="4">
        <f>'Actual Total Usage'!M30+'Temp Adj. by Schedule'!M57</f>
        <v>799404.23511705431</v>
      </c>
      <c r="N30" s="224">
        <f t="shared" si="10"/>
        <v>7216796.2345252726</v>
      </c>
      <c r="P30" s="232">
        <f>N30-'Actual Total Usage'!N30</f>
        <v>85916.234525272623</v>
      </c>
      <c r="Q30" s="231">
        <f>P30-'Temp Adj. by Schedule'!N57</f>
        <v>1.1350493878126144E-9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  <c r="P31" s="233"/>
      <c r="Q31" s="231"/>
    </row>
    <row r="32" spans="1:28" s="91" customFormat="1">
      <c r="A32" s="96" t="s">
        <v>21</v>
      </c>
      <c r="B32" s="119">
        <f t="shared" ref="B32:N32" si="11">SUM(B9,B13,B17,B21,B25,B27:B30)</f>
        <v>2201943218.9567485</v>
      </c>
      <c r="C32" s="119">
        <f t="shared" si="11"/>
        <v>1914229763.9754586</v>
      </c>
      <c r="D32" s="119">
        <f t="shared" si="11"/>
        <v>1949599793.274102</v>
      </c>
      <c r="E32" s="119">
        <f t="shared" si="11"/>
        <v>1709953185.8275456</v>
      </c>
      <c r="F32" s="119">
        <f t="shared" si="11"/>
        <v>1508748945.2410345</v>
      </c>
      <c r="G32" s="119">
        <f t="shared" si="11"/>
        <v>1399102841.0358019</v>
      </c>
      <c r="H32" s="119">
        <f t="shared" si="11"/>
        <v>1387119771.1101348</v>
      </c>
      <c r="I32" s="119">
        <f t="shared" si="11"/>
        <v>1554969685.4745681</v>
      </c>
      <c r="J32" s="119">
        <f t="shared" si="11"/>
        <v>1469208510.3097057</v>
      </c>
      <c r="K32" s="119">
        <f t="shared" si="11"/>
        <v>1427304514.1299701</v>
      </c>
      <c r="L32" s="119">
        <f t="shared" si="11"/>
        <v>1667674264.7172291</v>
      </c>
      <c r="M32" s="119">
        <f t="shared" si="11"/>
        <v>1995801946.1869886</v>
      </c>
      <c r="N32" s="225">
        <f t="shared" si="11"/>
        <v>20185656440.239285</v>
      </c>
      <c r="O32" s="92"/>
      <c r="P32" s="232">
        <f>N32-'Actual Total Usage'!N32</f>
        <v>135247697.97729111</v>
      </c>
      <c r="Q32" s="231">
        <f>SUM(Q9:Q30)</f>
        <v>2.9519724193960428E-6</v>
      </c>
    </row>
    <row r="33" spans="1:16" s="91" customFormat="1">
      <c r="A33" s="96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</row>
    <row r="34" spans="1:16">
      <c r="A34" t="s">
        <v>46</v>
      </c>
      <c r="B34" s="85">
        <f>IF(B32=0,0,B32/'Actual Total Usage'!B32-1)</f>
        <v>3.9614649000135893E-2</v>
      </c>
      <c r="C34" s="85">
        <f>IF(C32=0,0,C32/'Actual Total Usage'!C32-1)</f>
        <v>-2.6875345504306147E-2</v>
      </c>
      <c r="D34" s="85">
        <f>IF(D32=0,0,D32/'Actual Total Usage'!D32-1)</f>
        <v>2.9244019817145084E-3</v>
      </c>
      <c r="E34" s="85">
        <f>IF(E32=0,0,E32/'Actual Total Usage'!E32-1)</f>
        <v>6.1917196233030047E-3</v>
      </c>
      <c r="F34" s="85">
        <f>IF(F32=0,0,F32/'Actual Total Usage'!F32-1)</f>
        <v>1.1496379505191223E-2</v>
      </c>
      <c r="G34" s="85">
        <f>IF(G32=0,0,G32/'Actual Total Usage'!G32-1)</f>
        <v>-3.9672899326562705E-3</v>
      </c>
      <c r="H34" s="85">
        <f>IF(H32=0,0,H32/'Actual Total Usage'!H32-1)</f>
        <v>-4.1880576291907223E-2</v>
      </c>
      <c r="I34" s="85">
        <f>IF(I32=0,0,I32/'Actual Total Usage'!I32-1)</f>
        <v>-2.002356013273221E-2</v>
      </c>
      <c r="J34" s="85">
        <f>IF(J32=0,0,J32/'Actual Total Usage'!J32-1)</f>
        <v>1.4034806580760506E-3</v>
      </c>
      <c r="K34" s="85">
        <f>IF(K32=0,0,K32/'Actual Total Usage'!K32-1)</f>
        <v>4.9946761509254145E-3</v>
      </c>
      <c r="L34" s="85">
        <f>IF(L32=0,0,L32/'Actual Total Usage'!L32-1)</f>
        <v>4.8411044572265194E-2</v>
      </c>
      <c r="M34" s="85">
        <f>IF(M32=0,0,M32/'Actual Total Usage'!M32-1)</f>
        <v>4.3213348575943833E-2</v>
      </c>
      <c r="N34" s="85">
        <f>N32/'Actual Total Usage'!N32-1</f>
        <v>6.7453835837381071E-3</v>
      </c>
      <c r="P34" s="303">
        <f>P32/'Actual Total Usage'!N32</f>
        <v>6.7453835837380091E-3</v>
      </c>
    </row>
    <row r="35" spans="1:16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6">
      <c r="A36" s="87" t="s">
        <v>35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6">
      <c r="A37" s="67" t="s">
        <v>26</v>
      </c>
      <c r="B37" s="63">
        <f t="shared" ref="B37:M37" si="12">B7</f>
        <v>43101</v>
      </c>
      <c r="C37" s="63">
        <f t="shared" si="12"/>
        <v>43132</v>
      </c>
      <c r="D37" s="63">
        <f t="shared" si="12"/>
        <v>43160</v>
      </c>
      <c r="E37" s="63">
        <f t="shared" si="12"/>
        <v>43191</v>
      </c>
      <c r="F37" s="63">
        <f t="shared" si="12"/>
        <v>43221</v>
      </c>
      <c r="G37" s="63">
        <f t="shared" si="12"/>
        <v>43252</v>
      </c>
      <c r="H37" s="63">
        <f t="shared" si="12"/>
        <v>43282</v>
      </c>
      <c r="I37" s="63">
        <f t="shared" si="12"/>
        <v>43313</v>
      </c>
      <c r="J37" s="63">
        <f t="shared" si="12"/>
        <v>43344</v>
      </c>
      <c r="K37" s="63">
        <f t="shared" si="12"/>
        <v>43374</v>
      </c>
      <c r="L37" s="63">
        <f t="shared" si="12"/>
        <v>43405</v>
      </c>
      <c r="M37" s="63">
        <f t="shared" si="12"/>
        <v>43435</v>
      </c>
      <c r="N37" s="86" t="s">
        <v>20</v>
      </c>
    </row>
    <row r="38" spans="1:16">
      <c r="A38" s="68" t="s">
        <v>22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6">
      <c r="A39" s="68" t="s">
        <v>40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6">
      <c r="A40" s="68" t="s">
        <v>7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6">
      <c r="A41" s="68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6">
      <c r="A42" s="96" t="s">
        <v>21</v>
      </c>
      <c r="B42" s="119">
        <f t="shared" ref="B42:N42" si="13">SUM(B38:B40)</f>
        <v>57763059.387000002</v>
      </c>
      <c r="C42" s="119">
        <f t="shared" si="13"/>
        <v>89753589.912</v>
      </c>
      <c r="D42" s="119">
        <f t="shared" si="13"/>
        <v>22183369.438000001</v>
      </c>
      <c r="E42" s="119">
        <f t="shared" si="13"/>
        <v>58640071.186999999</v>
      </c>
      <c r="F42" s="119">
        <f t="shared" si="13"/>
        <v>57444231.626999997</v>
      </c>
      <c r="G42" s="119">
        <f t="shared" si="13"/>
        <v>60327916.325000003</v>
      </c>
      <c r="H42" s="119">
        <f t="shared" si="13"/>
        <v>60674303.888999991</v>
      </c>
      <c r="I42" s="119">
        <f t="shared" si="13"/>
        <v>57761000.374000005</v>
      </c>
      <c r="J42" s="119">
        <f t="shared" si="13"/>
        <v>66111695.027000003</v>
      </c>
      <c r="K42" s="119">
        <f t="shared" si="13"/>
        <v>57822383.287</v>
      </c>
      <c r="L42" s="119">
        <f t="shared" si="13"/>
        <v>58238820.746000007</v>
      </c>
      <c r="M42" s="119">
        <f t="shared" si="13"/>
        <v>45603155.259000003</v>
      </c>
      <c r="N42" s="119">
        <f t="shared" si="13"/>
        <v>692323596.45799994</v>
      </c>
    </row>
    <row r="43" spans="1:16">
      <c r="A43" s="3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6">
      <c r="A44" s="30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6" s="95" customFormat="1" ht="13.5" thickBot="1">
      <c r="A45" s="93" t="s">
        <v>23</v>
      </c>
      <c r="B45" s="118">
        <f t="shared" ref="B45:N45" si="14">B42+B32</f>
        <v>2259706278.3437486</v>
      </c>
      <c r="C45" s="118">
        <f t="shared" si="14"/>
        <v>2003983353.8874586</v>
      </c>
      <c r="D45" s="118">
        <f t="shared" si="14"/>
        <v>1971783162.7121019</v>
      </c>
      <c r="E45" s="118">
        <f t="shared" si="14"/>
        <v>1768593257.0145457</v>
      </c>
      <c r="F45" s="118">
        <f t="shared" si="14"/>
        <v>1566193176.8680346</v>
      </c>
      <c r="G45" s="118">
        <f t="shared" si="14"/>
        <v>1459430757.3608019</v>
      </c>
      <c r="H45" s="118">
        <f t="shared" si="14"/>
        <v>1447794074.9991348</v>
      </c>
      <c r="I45" s="118">
        <f t="shared" si="14"/>
        <v>1612730685.8485682</v>
      </c>
      <c r="J45" s="118">
        <f t="shared" si="14"/>
        <v>1535320205.3367057</v>
      </c>
      <c r="K45" s="118">
        <f t="shared" si="14"/>
        <v>1485126897.41697</v>
      </c>
      <c r="L45" s="118">
        <f t="shared" si="14"/>
        <v>1725913085.4632292</v>
      </c>
      <c r="M45" s="118">
        <f t="shared" si="14"/>
        <v>2041405101.4459887</v>
      </c>
      <c r="N45" s="118">
        <f t="shared" si="14"/>
        <v>20877980036.697285</v>
      </c>
    </row>
    <row r="46" spans="1:16" ht="15.75" thickTop="1">
      <c r="A46" s="30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</row>
    <row r="47" spans="1:16">
      <c r="B47" s="299"/>
      <c r="C47" s="299"/>
      <c r="D47" s="299"/>
      <c r="E47" s="299"/>
      <c r="F47" s="299"/>
      <c r="G47" s="299"/>
      <c r="H47" s="299"/>
      <c r="I47" s="299"/>
    </row>
    <row r="48" spans="1:16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C523628-1804-4403-B5F5-EF24112BD15D}"/>
</file>

<file path=customXml/itemProps2.xml><?xml version="1.0" encoding="utf-8"?>
<ds:datastoreItem xmlns:ds="http://schemas.openxmlformats.org/officeDocument/2006/customXml" ds:itemID="{81231B12-38FD-4A9E-8971-AA50133F9A5D}"/>
</file>

<file path=customXml/itemProps3.xml><?xml version="1.0" encoding="utf-8"?>
<ds:datastoreItem xmlns:ds="http://schemas.openxmlformats.org/officeDocument/2006/customXml" ds:itemID="{38249C0F-A22D-4610-ADFE-7D47ADDFC3F1}"/>
</file>

<file path=customXml/itemProps4.xml><?xml version="1.0" encoding="utf-8"?>
<ds:datastoreItem xmlns:ds="http://schemas.openxmlformats.org/officeDocument/2006/customXml" ds:itemID="{6809E03D-6FE7-4F20-AF73-7CBF11859F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Tables 1 - 3</vt:lpstr>
      <vt:lpstr>Summary Sheet_SC_Migrated</vt:lpstr>
      <vt:lpstr>Sales &amp; Revenue Adj._SCMigrated</vt:lpstr>
      <vt:lpstr>Sch 40 Migration Weather Adj.</vt:lpstr>
      <vt:lpstr>(C)Sch 40 Migration kWh</vt:lpstr>
      <vt:lpstr>Summary Sheet_ Pre Migration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KXu</cp:lastModifiedBy>
  <cp:lastPrinted>2015-04-28T19:11:31Z</cp:lastPrinted>
  <dcterms:created xsi:type="dcterms:W3CDTF">2004-05-04T16:51:38Z</dcterms:created>
  <dcterms:modified xsi:type="dcterms:W3CDTF">2019-06-24T22:52:36Z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